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<sst xmlns="http://schemas.openxmlformats.org/spreadsheetml/2006/main" count="98" uniqueCount="79">
  <si>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</si>
  <si>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</si>
  <si>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</si>
  <si>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</si>
  <si>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</si>
  <si>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</si>
  <si>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</si>
  <si>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</si>
  <si>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</si>
  <si>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</si>
  <si>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</si>
  <si>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</si>
  <si>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</si>
  <si>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</si>
  <si>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</si>
  <si>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</si>
  <si>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</si>
  <si>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</si>
  <si>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</si>
  <si>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</si>
  <si>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</si>
  <si>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</si>
  <si>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</si>
  <si>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</si>
  <si>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</si>
  <si>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</si>
  <si>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</si>
  <si>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</si>
  <si>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</si>
  <si>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</si>
  <si>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</si>
  <si>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</si>
  <si>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</si>
  <si>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</si>
  <si>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</si>
  <si>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</si>
  <si>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</si>
  <si>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</si>
  <si>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</si>
  <si>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</si>
  <si>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</si>
  <si>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</si>
  <si>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</si>
  <si>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</si>
  <si>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</si>
  <si>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</si>
  <si>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</si>
  <si>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</si>
  <si>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</si>
  <si>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</si>
  <si>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</si>
  <si>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</si>
  <si>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</si>
  <si>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</si>
  <si>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</si>
  <si>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</si>
  <si>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</si>
  <si>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</si>
  <si>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</si>
  <si>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</si>
  <si>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</si>
  <si>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</si>
  <si>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</si>
  <si>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</si>
  <si>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</si>
  <si>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</si>
  <si>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</si>
  <si>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</si>
  <si>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</si>
  <si>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</si>
  <si>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</si>
  <si>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</si>
  <si>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</si>
  <si>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</si>
  <si>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</si>
  <si>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</si>
  <si>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</si>
  <si>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</si>
  <si>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II Kwartały 2020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</si>
</sst>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31542547174.57</f>
        <v>31542547174.57</v>
      </c>
      <c r="C13" s="27">
        <f>31542541160.69</f>
        <v>31542541160.69</v>
      </c>
      <c r="D13" s="27">
        <f>2600981840.41</f>
        <v>2600981840.41</v>
      </c>
      <c r="E13" s="27">
        <f>246639935.82</f>
        <v>246639935.82</v>
      </c>
      <c r="F13" s="27">
        <f>273749949.59</f>
        <v>273749949.59</v>
      </c>
      <c r="G13" s="27">
        <f>2075133521.42</f>
        <v>2075133521.42</v>
      </c>
      <c r="H13" s="27">
        <f>5458433.58</f>
        <v>5458433.58</v>
      </c>
      <c r="I13" s="27">
        <f>0</f>
        <v>0</v>
      </c>
      <c r="J13" s="27">
        <f>28105436352.26</f>
        <v>28105436352.26</v>
      </c>
      <c r="K13" s="27">
        <f>600058480.84</f>
        <v>600058480.84</v>
      </c>
      <c r="L13" s="27">
        <f>194897983.07</f>
        <v>194897983.07</v>
      </c>
      <c r="M13" s="27">
        <f>26373582.89</f>
        <v>26373582.89</v>
      </c>
      <c r="N13" s="27">
        <f>14792921.22</f>
        <v>14792921.22</v>
      </c>
      <c r="O13" s="27">
        <f>6013.88</f>
        <v>6013.88</v>
      </c>
      <c r="P13" s="27">
        <f>0</f>
        <v>0</v>
      </c>
      <c r="Q13" s="27">
        <f>6013.88</f>
        <v>6013.88</v>
      </c>
    </row>
    <row r="14" spans="1:17" ht="26.25" customHeight="1">
      <c r="A14" s="28" t="s">
        <v>45</v>
      </c>
      <c r="B14" s="27">
        <f>387197037.88</f>
        <v>387197037.88</v>
      </c>
      <c r="C14" s="27">
        <f>387197037.88</f>
        <v>387197037.88</v>
      </c>
      <c r="D14" s="27">
        <f>532523</f>
        <v>532523</v>
      </c>
      <c r="E14" s="27">
        <f>0</f>
        <v>0</v>
      </c>
      <c r="F14" s="27">
        <f>0</f>
        <v>0</v>
      </c>
      <c r="G14" s="27">
        <f>532523</f>
        <v>532523</v>
      </c>
      <c r="H14" s="27">
        <f>0</f>
        <v>0</v>
      </c>
      <c r="I14" s="27">
        <f>0</f>
        <v>0</v>
      </c>
      <c r="J14" s="27">
        <f>341942514.88</f>
        <v>341942514.88</v>
      </c>
      <c r="K14" s="27">
        <f>43482000</f>
        <v>43482000</v>
      </c>
      <c r="L14" s="27">
        <f>1240000</f>
        <v>1240000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162583.26</f>
        <v>162583.26</v>
      </c>
      <c r="C15" s="32">
        <f>162583.26</f>
        <v>162583.26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162583.26</f>
        <v>162583.26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387034454.62</f>
        <v>387034454.62</v>
      </c>
      <c r="C16" s="32">
        <f>387034454.62</f>
        <v>387034454.62</v>
      </c>
      <c r="D16" s="32">
        <f>532523</f>
        <v>532523</v>
      </c>
      <c r="E16" s="32">
        <f>0</f>
        <v>0</v>
      </c>
      <c r="F16" s="32">
        <f>0</f>
        <v>0</v>
      </c>
      <c r="G16" s="32">
        <f>532523</f>
        <v>532523</v>
      </c>
      <c r="H16" s="32">
        <f>0</f>
        <v>0</v>
      </c>
      <c r="I16" s="32">
        <f>0</f>
        <v>0</v>
      </c>
      <c r="J16" s="32">
        <f>341779931.62</f>
        <v>341779931.62</v>
      </c>
      <c r="K16" s="32">
        <f>43482000</f>
        <v>43482000</v>
      </c>
      <c r="L16" s="32">
        <f>1240000</f>
        <v>1240000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31107722213.75</f>
        <v>31107722213.75</v>
      </c>
      <c r="C17" s="27">
        <f>31107722213.75</f>
        <v>31107722213.75</v>
      </c>
      <c r="D17" s="27">
        <f>2585150557.92</f>
        <v>2585150557.92</v>
      </c>
      <c r="E17" s="27">
        <f>240428431.19</f>
        <v>240428431.19</v>
      </c>
      <c r="F17" s="27">
        <f>273746082.59</f>
        <v>273746082.59</v>
      </c>
      <c r="G17" s="27">
        <f>2067738144.91</f>
        <v>2067738144.91</v>
      </c>
      <c r="H17" s="27">
        <f>3237899.23</f>
        <v>3237899.23</v>
      </c>
      <c r="I17" s="27">
        <f>0</f>
        <v>0</v>
      </c>
      <c r="J17" s="27">
        <f>27763491637.38</f>
        <v>27763491637.38</v>
      </c>
      <c r="K17" s="27">
        <f>556571233.09</f>
        <v>556571233.09</v>
      </c>
      <c r="L17" s="27">
        <f>180448718.38</f>
        <v>180448718.38</v>
      </c>
      <c r="M17" s="27">
        <f>11525591.83</f>
        <v>11525591.83</v>
      </c>
      <c r="N17" s="27">
        <f>10534475.15</f>
        <v>10534475.15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341975923.6</f>
        <v>341975923.6</v>
      </c>
      <c r="C18" s="32">
        <f>341975923.6</f>
        <v>341975923.6</v>
      </c>
      <c r="D18" s="32">
        <f>30781108.86</f>
        <v>30781108.86</v>
      </c>
      <c r="E18" s="32">
        <f>15182669.55</f>
        <v>15182669.55</v>
      </c>
      <c r="F18" s="32">
        <f>3611452.23</f>
        <v>3611452.23</v>
      </c>
      <c r="G18" s="32">
        <f>11986987.08</f>
        <v>11986987.08</v>
      </c>
      <c r="H18" s="32">
        <f>0</f>
        <v>0</v>
      </c>
      <c r="I18" s="32">
        <f>0</f>
        <v>0</v>
      </c>
      <c r="J18" s="32">
        <f>301977417.8</f>
        <v>301977417.8</v>
      </c>
      <c r="K18" s="32">
        <f>6856320</f>
        <v>6856320</v>
      </c>
      <c r="L18" s="32">
        <f>1306729.85</f>
        <v>1306729.85</v>
      </c>
      <c r="M18" s="32">
        <f>802876.5</f>
        <v>802876.5</v>
      </c>
      <c r="N18" s="32">
        <f>251470.59</f>
        <v>251470.59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30765746290.15</f>
        <v>30765746290.15</v>
      </c>
      <c r="C19" s="32">
        <f>30765746290.15</f>
        <v>30765746290.15</v>
      </c>
      <c r="D19" s="32">
        <f>2554369449.06</f>
        <v>2554369449.06</v>
      </c>
      <c r="E19" s="32">
        <f>225245761.64</f>
        <v>225245761.64</v>
      </c>
      <c r="F19" s="32">
        <f>270134630.36</f>
        <v>270134630.36</v>
      </c>
      <c r="G19" s="32">
        <f>2055751157.83</f>
        <v>2055751157.83</v>
      </c>
      <c r="H19" s="32">
        <f>3237899.23</f>
        <v>3237899.23</v>
      </c>
      <c r="I19" s="32">
        <f>0</f>
        <v>0</v>
      </c>
      <c r="J19" s="32">
        <f>27461514219.58</f>
        <v>27461514219.58</v>
      </c>
      <c r="K19" s="32">
        <f>549714913.09</f>
        <v>549714913.09</v>
      </c>
      <c r="L19" s="32">
        <f>179141988.53</f>
        <v>179141988.53</v>
      </c>
      <c r="M19" s="32">
        <f>10722715.33</f>
        <v>10722715.33</v>
      </c>
      <c r="N19" s="32">
        <f>10283004.56</f>
        <v>10283004.56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47627922.94</f>
        <v>47627922.94</v>
      </c>
      <c r="C21" s="27">
        <f>47621909.06</f>
        <v>47621909.06</v>
      </c>
      <c r="D21" s="27">
        <f>15298759.49</f>
        <v>15298759.49</v>
      </c>
      <c r="E21" s="27">
        <f>6211504.63</f>
        <v>6211504.63</v>
      </c>
      <c r="F21" s="27">
        <f>3867</f>
        <v>3867</v>
      </c>
      <c r="G21" s="27">
        <f>6862853.51</f>
        <v>6862853.51</v>
      </c>
      <c r="H21" s="27">
        <f>2220534.35</f>
        <v>2220534.35</v>
      </c>
      <c r="I21" s="27">
        <f>0</f>
        <v>0</v>
      </c>
      <c r="J21" s="27">
        <f>2200</f>
        <v>2200</v>
      </c>
      <c r="K21" s="27">
        <f>5247.75</f>
        <v>5247.75</v>
      </c>
      <c r="L21" s="27">
        <f>13209264.69</f>
        <v>13209264.69</v>
      </c>
      <c r="M21" s="27">
        <f>14847991.06</f>
        <v>14847991.06</v>
      </c>
      <c r="N21" s="27">
        <f>4258446.07</f>
        <v>4258446.07</v>
      </c>
      <c r="O21" s="27">
        <f>6013.88</f>
        <v>6013.88</v>
      </c>
      <c r="P21" s="27">
        <f>0</f>
        <v>0</v>
      </c>
      <c r="Q21" s="27">
        <f>6013.88</f>
        <v>6013.88</v>
      </c>
    </row>
    <row r="22" spans="1:17" ht="27" customHeight="1">
      <c r="A22" s="18" t="s">
        <v>53</v>
      </c>
      <c r="B22" s="32">
        <f>24610170.48</f>
        <v>24610170.48</v>
      </c>
      <c r="C22" s="32">
        <f>24605451.29</f>
        <v>24605451.29</v>
      </c>
      <c r="D22" s="32">
        <f>1030844</f>
        <v>1030844</v>
      </c>
      <c r="E22" s="32">
        <f>227</f>
        <v>227</v>
      </c>
      <c r="F22" s="32">
        <f>0</f>
        <v>0</v>
      </c>
      <c r="G22" s="32">
        <f>1030617</f>
        <v>1030617</v>
      </c>
      <c r="H22" s="32">
        <f>0</f>
        <v>0</v>
      </c>
      <c r="I22" s="32">
        <f>0</f>
        <v>0</v>
      </c>
      <c r="J22" s="32">
        <f>0</f>
        <v>0</v>
      </c>
      <c r="K22" s="32">
        <f>5247.75</f>
        <v>5247.75</v>
      </c>
      <c r="L22" s="32">
        <f>12346939.24</f>
        <v>12346939.24</v>
      </c>
      <c r="M22" s="32">
        <f>7135101.77</f>
        <v>7135101.77</v>
      </c>
      <c r="N22" s="32">
        <f>4087318.53</f>
        <v>4087318.53</v>
      </c>
      <c r="O22" s="32">
        <f>4719.19</f>
        <v>4719.19</v>
      </c>
      <c r="P22" s="32">
        <f>0</f>
        <v>0</v>
      </c>
      <c r="Q22" s="32">
        <f>4719.19</f>
        <v>4719.19</v>
      </c>
    </row>
    <row r="23" spans="1:17" ht="31.5" customHeight="1">
      <c r="A23" s="24" t="s">
        <v>54</v>
      </c>
      <c r="B23" s="32">
        <f>23017752.46</f>
        <v>23017752.46</v>
      </c>
      <c r="C23" s="32">
        <f>23016457.77</f>
        <v>23016457.77</v>
      </c>
      <c r="D23" s="32">
        <f>14267915.49</f>
        <v>14267915.49</v>
      </c>
      <c r="E23" s="32">
        <f>6211277.63</f>
        <v>6211277.63</v>
      </c>
      <c r="F23" s="32">
        <f>3867</f>
        <v>3867</v>
      </c>
      <c r="G23" s="32">
        <f>5832236.51</f>
        <v>5832236.51</v>
      </c>
      <c r="H23" s="32">
        <f>2220534.35</f>
        <v>2220534.35</v>
      </c>
      <c r="I23" s="32">
        <f>0</f>
        <v>0</v>
      </c>
      <c r="J23" s="32">
        <f>2200</f>
        <v>2200</v>
      </c>
      <c r="K23" s="32">
        <f>0</f>
        <v>0</v>
      </c>
      <c r="L23" s="32">
        <f>862325.45</f>
        <v>862325.45</v>
      </c>
      <c r="M23" s="32">
        <f>7712889.29</f>
        <v>7712889.29</v>
      </c>
      <c r="N23" s="32">
        <f>171127.54</f>
        <v>171127.54</v>
      </c>
      <c r="O23" s="32">
        <f>1294.69</f>
        <v>1294.69</v>
      </c>
      <c r="P23" s="32">
        <f>0</f>
        <v>0</v>
      </c>
      <c r="Q23" s="32">
        <f>1294.69</f>
        <v>1294.69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5877467.98</f>
        <v>5877467.98</v>
      </c>
      <c r="C45" s="34">
        <f>5877467.98</f>
        <v>5877467.98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144951.9</f>
        <v>144951.9</v>
      </c>
      <c r="K45" s="34">
        <f>175949.8</f>
        <v>175949.8</v>
      </c>
      <c r="L45" s="34">
        <f>5036694.21</f>
        <v>5036694.21</v>
      </c>
      <c r="M45" s="34">
        <f>519872.07</f>
        <v>519872.07</v>
      </c>
      <c r="N45" s="34">
        <f>0</f>
        <v>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11274.3</f>
        <v>11274.3</v>
      </c>
      <c r="C46" s="25">
        <f>11274.3</f>
        <v>11274.3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6011.3</f>
        <v>6011.3</v>
      </c>
      <c r="K46" s="25">
        <f>0</f>
        <v>0</v>
      </c>
      <c r="L46" s="25">
        <f>0</f>
        <v>0</v>
      </c>
      <c r="M46" s="25">
        <f>5263</f>
        <v>5263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5866193.68</f>
        <v>5866193.68</v>
      </c>
      <c r="C47" s="25">
        <f>5866193.68</f>
        <v>5866193.68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138940.6</f>
        <v>138940.6</v>
      </c>
      <c r="K47" s="25">
        <f>175949.8</f>
        <v>175949.8</v>
      </c>
      <c r="L47" s="25">
        <f>5036694.21</f>
        <v>5036694.21</v>
      </c>
      <c r="M47" s="25">
        <f>514609.07</f>
        <v>514609.07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343481208.94</f>
        <v>343481208.94</v>
      </c>
      <c r="C48" s="25">
        <f>343475480.28</f>
        <v>343475480.28</v>
      </c>
      <c r="D48" s="25">
        <f>14238876.96</f>
        <v>14238876.96</v>
      </c>
      <c r="E48" s="25">
        <f>148583.8</f>
        <v>148583.8</v>
      </c>
      <c r="F48" s="25">
        <f>657850.68</f>
        <v>657850.68</v>
      </c>
      <c r="G48" s="25">
        <f>13432442.45</f>
        <v>13432442.45</v>
      </c>
      <c r="H48" s="25">
        <f>0.03</f>
        <v>0.03</v>
      </c>
      <c r="I48" s="25">
        <f>0</f>
        <v>0</v>
      </c>
      <c r="J48" s="25">
        <f>176508.84</f>
        <v>176508.84</v>
      </c>
      <c r="K48" s="25">
        <f>0</f>
        <v>0</v>
      </c>
      <c r="L48" s="25">
        <f>107606911.53</f>
        <v>107606911.53</v>
      </c>
      <c r="M48" s="25">
        <f>194934229.14</f>
        <v>194934229.14</v>
      </c>
      <c r="N48" s="25">
        <f>26518953.81</f>
        <v>26518953.81</v>
      </c>
      <c r="O48" s="14">
        <f>5728.66</f>
        <v>5728.66</v>
      </c>
      <c r="P48" s="14">
        <f>5728.66</f>
        <v>5728.66</v>
      </c>
      <c r="Q48" s="14">
        <f>0</f>
        <v>0</v>
      </c>
    </row>
    <row r="49" spans="1:17" ht="24.75" customHeight="1">
      <c r="A49" s="22" t="s">
        <v>29</v>
      </c>
      <c r="B49" s="25">
        <f>24320893.45</f>
        <v>24320893.45</v>
      </c>
      <c r="C49" s="25">
        <f>24320893.45</f>
        <v>24320893.45</v>
      </c>
      <c r="D49" s="25">
        <f>3813339.63</f>
        <v>3813339.63</v>
      </c>
      <c r="E49" s="25">
        <f>151</f>
        <v>151</v>
      </c>
      <c r="F49" s="25">
        <f>0</f>
        <v>0</v>
      </c>
      <c r="G49" s="25">
        <f>3813188.63</f>
        <v>3813188.63</v>
      </c>
      <c r="H49" s="25">
        <f>0</f>
        <v>0</v>
      </c>
      <c r="I49" s="25">
        <f>0</f>
        <v>0</v>
      </c>
      <c r="J49" s="25">
        <f>0</f>
        <v>0</v>
      </c>
      <c r="K49" s="25">
        <f>0</f>
        <v>0</v>
      </c>
      <c r="L49" s="25">
        <f>7843395.81</f>
        <v>7843395.81</v>
      </c>
      <c r="M49" s="25">
        <f>2528734.77</f>
        <v>2528734.77</v>
      </c>
      <c r="N49" s="25">
        <f>10135423.24</f>
        <v>10135423.24</v>
      </c>
      <c r="O49" s="14">
        <f>0</f>
        <v>0</v>
      </c>
      <c r="P49" s="14">
        <f>0</f>
        <v>0</v>
      </c>
      <c r="Q49" s="14">
        <f>0</f>
        <v>0</v>
      </c>
    </row>
    <row r="50" spans="1:17" ht="24.75" customHeight="1">
      <c r="A50" s="22" t="s">
        <v>30</v>
      </c>
      <c r="B50" s="25">
        <f>319160315.49</f>
        <v>319160315.49</v>
      </c>
      <c r="C50" s="25">
        <f>319154586.83</f>
        <v>319154586.83</v>
      </c>
      <c r="D50" s="25">
        <f>10425537.33</f>
        <v>10425537.33</v>
      </c>
      <c r="E50" s="25">
        <f>148432.8</f>
        <v>148432.8</v>
      </c>
      <c r="F50" s="25">
        <f>657850.68</f>
        <v>657850.68</v>
      </c>
      <c r="G50" s="25">
        <f>9619253.82</f>
        <v>9619253.82</v>
      </c>
      <c r="H50" s="25">
        <f>0.03</f>
        <v>0.03</v>
      </c>
      <c r="I50" s="25">
        <f>0</f>
        <v>0</v>
      </c>
      <c r="J50" s="25">
        <f>176508.84</f>
        <v>176508.84</v>
      </c>
      <c r="K50" s="25">
        <f>0</f>
        <v>0</v>
      </c>
      <c r="L50" s="25">
        <f>99763515.72</f>
        <v>99763515.72</v>
      </c>
      <c r="M50" s="25">
        <f>192405494.37</f>
        <v>192405494.37</v>
      </c>
      <c r="N50" s="25">
        <f>16383530.57</f>
        <v>16383530.57</v>
      </c>
      <c r="O50" s="14">
        <f>5728.66</f>
        <v>5728.66</v>
      </c>
      <c r="P50" s="14">
        <f>5728.66</f>
        <v>5728.66</v>
      </c>
      <c r="Q50" s="14">
        <f>0</f>
        <v>0</v>
      </c>
    </row>
    <row r="51" spans="1:17" ht="24.75" customHeight="1">
      <c r="A51" s="33" t="s">
        <v>41</v>
      </c>
      <c r="B51" s="34">
        <f>13229476910.75</f>
        <v>13229476910.75</v>
      </c>
      <c r="C51" s="34">
        <f>13229476910.75</f>
        <v>13229476910.75</v>
      </c>
      <c r="D51" s="34">
        <f>20594982.44</f>
        <v>20594982.44</v>
      </c>
      <c r="E51" s="34">
        <f>11994404.86</f>
        <v>11994404.86</v>
      </c>
      <c r="F51" s="34">
        <f>6994.58</f>
        <v>6994.58</v>
      </c>
      <c r="G51" s="34">
        <f>8593583</f>
        <v>8593583</v>
      </c>
      <c r="H51" s="34">
        <f>0</f>
        <v>0</v>
      </c>
      <c r="I51" s="34">
        <f>0</f>
        <v>0</v>
      </c>
      <c r="J51" s="34">
        <f>13203079243.02</f>
        <v>13203079243.02</v>
      </c>
      <c r="K51" s="34">
        <f>5649.47</f>
        <v>5649.47</v>
      </c>
      <c r="L51" s="34">
        <f>3271847.49</f>
        <v>3271847.49</v>
      </c>
      <c r="M51" s="34">
        <f>2525188.33</f>
        <v>2525188.33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8566013.35</f>
        <v>8566013.35</v>
      </c>
      <c r="C52" s="25">
        <f>8566013.35</f>
        <v>8566013.35</v>
      </c>
      <c r="D52" s="25">
        <f>8566013.35</f>
        <v>8566013.35</v>
      </c>
      <c r="E52" s="25">
        <f>0</f>
        <v>0</v>
      </c>
      <c r="F52" s="25">
        <f>0</f>
        <v>0</v>
      </c>
      <c r="G52" s="25">
        <f>8566013.35</f>
        <v>8566013.35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10796573060.6</f>
        <v>10796573060.6</v>
      </c>
      <c r="C53" s="25">
        <f>10796573060.6</f>
        <v>10796573060.6</v>
      </c>
      <c r="D53" s="25">
        <f>11934674.51</f>
        <v>11934674.51</v>
      </c>
      <c r="E53" s="25">
        <f>11916984.86</f>
        <v>11916984.86</v>
      </c>
      <c r="F53" s="25">
        <f>120</f>
        <v>120</v>
      </c>
      <c r="G53" s="25">
        <f>17569.65</f>
        <v>17569.65</v>
      </c>
      <c r="H53" s="25">
        <f>0</f>
        <v>0</v>
      </c>
      <c r="I53" s="25">
        <f>0</f>
        <v>0</v>
      </c>
      <c r="J53" s="25">
        <f>10781645001.36</f>
        <v>10781645001.36</v>
      </c>
      <c r="K53" s="25">
        <f>3143.15</f>
        <v>3143.15</v>
      </c>
      <c r="L53" s="25">
        <f>2988241.58</f>
        <v>2988241.58</v>
      </c>
      <c r="M53" s="25">
        <f>2000</f>
        <v>2000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2424337836.8</f>
        <v>2424337836.8</v>
      </c>
      <c r="C54" s="25">
        <f>2424337836.8</f>
        <v>2424337836.8</v>
      </c>
      <c r="D54" s="25">
        <f>94294.58</f>
        <v>94294.58</v>
      </c>
      <c r="E54" s="25">
        <f>77420</f>
        <v>77420</v>
      </c>
      <c r="F54" s="25">
        <f>6874.58</f>
        <v>6874.58</v>
      </c>
      <c r="G54" s="25">
        <f>10000</f>
        <v>10000</v>
      </c>
      <c r="H54" s="25">
        <f>0</f>
        <v>0</v>
      </c>
      <c r="I54" s="25">
        <f>0</f>
        <v>0</v>
      </c>
      <c r="J54" s="25">
        <f>2421434241.66</f>
        <v>2421434241.66</v>
      </c>
      <c r="K54" s="25">
        <f>2506.32</f>
        <v>2506.32</v>
      </c>
      <c r="L54" s="25">
        <f>283605.91</f>
        <v>283605.91</v>
      </c>
      <c r="M54" s="25">
        <f>2523188.33</f>
        <v>2523188.33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10341950776.78</f>
        <v>10341950776.78</v>
      </c>
      <c r="C55" s="34">
        <f>10320006507.66</f>
        <v>10320006507.66</v>
      </c>
      <c r="D55" s="34">
        <f>123137012.17</f>
        <v>123137012.17</v>
      </c>
      <c r="E55" s="34">
        <f>73948485.39</f>
        <v>73948485.39</v>
      </c>
      <c r="F55" s="34">
        <f>2317838.74</f>
        <v>2317838.74</v>
      </c>
      <c r="G55" s="34">
        <f>46445895.51</f>
        <v>46445895.51</v>
      </c>
      <c r="H55" s="34">
        <f>424792.53</f>
        <v>424792.53</v>
      </c>
      <c r="I55" s="34">
        <f>0</f>
        <v>0</v>
      </c>
      <c r="J55" s="34">
        <f>11799927.99</f>
        <v>11799927.99</v>
      </c>
      <c r="K55" s="34">
        <f>12909475.43</f>
        <v>12909475.43</v>
      </c>
      <c r="L55" s="34">
        <f>2028514887.3</f>
        <v>2028514887.3</v>
      </c>
      <c r="M55" s="34">
        <f>8074553070.13</f>
        <v>8074553070.13</v>
      </c>
      <c r="N55" s="34">
        <f>69092134.64</f>
        <v>69092134.64</v>
      </c>
      <c r="O55" s="34">
        <f>21944269.12</f>
        <v>21944269.12</v>
      </c>
      <c r="P55" s="34">
        <f>14830297.51</f>
        <v>14830297.51</v>
      </c>
      <c r="Q55" s="34">
        <f>7113971.61</f>
        <v>7113971.61</v>
      </c>
    </row>
    <row r="56" spans="1:17" ht="24.75" customHeight="1">
      <c r="A56" s="21" t="s">
        <v>34</v>
      </c>
      <c r="B56" s="25">
        <f>1163844423.7</f>
        <v>1163844423.7</v>
      </c>
      <c r="C56" s="25">
        <f>1163795201.22</f>
        <v>1163795201.22</v>
      </c>
      <c r="D56" s="25">
        <f>4767920.21</f>
        <v>4767920.21</v>
      </c>
      <c r="E56" s="25">
        <f>1750198.54</f>
        <v>1750198.54</v>
      </c>
      <c r="F56" s="25">
        <f>91032.99</f>
        <v>91032.99</v>
      </c>
      <c r="G56" s="25">
        <f>2841020.3</f>
        <v>2841020.3</v>
      </c>
      <c r="H56" s="25">
        <f>85668.38</f>
        <v>85668.38</v>
      </c>
      <c r="I56" s="25">
        <f>0</f>
        <v>0</v>
      </c>
      <c r="J56" s="25">
        <f>39707.95</f>
        <v>39707.95</v>
      </c>
      <c r="K56" s="25">
        <f>2963766.55</f>
        <v>2963766.55</v>
      </c>
      <c r="L56" s="25">
        <f>174544705.29</f>
        <v>174544705.29</v>
      </c>
      <c r="M56" s="25">
        <f>970190494.75</f>
        <v>970190494.75</v>
      </c>
      <c r="N56" s="25">
        <f>11288606.47</f>
        <v>11288606.47</v>
      </c>
      <c r="O56" s="14">
        <f>49222.48</f>
        <v>49222.48</v>
      </c>
      <c r="P56" s="14">
        <f>36121.36</f>
        <v>36121.36</v>
      </c>
      <c r="Q56" s="14">
        <f>13101.12</f>
        <v>13101.12</v>
      </c>
    </row>
    <row r="57" spans="1:17" ht="24.75" customHeight="1">
      <c r="A57" s="22" t="s">
        <v>35</v>
      </c>
      <c r="B57" s="25">
        <f>9178106353.08</f>
        <v>9178106353.08</v>
      </c>
      <c r="C57" s="25">
        <f>9156211306.44</f>
        <v>9156211306.44</v>
      </c>
      <c r="D57" s="25">
        <f>118369091.96</f>
        <v>118369091.96</v>
      </c>
      <c r="E57" s="25">
        <f>72198286.85</f>
        <v>72198286.85</v>
      </c>
      <c r="F57" s="25">
        <f>2226805.75</f>
        <v>2226805.75</v>
      </c>
      <c r="G57" s="25">
        <f>43604875.21</f>
        <v>43604875.21</v>
      </c>
      <c r="H57" s="25">
        <f>339124.15</f>
        <v>339124.15</v>
      </c>
      <c r="I57" s="25">
        <f>0</f>
        <v>0</v>
      </c>
      <c r="J57" s="25">
        <f>11760220.04</f>
        <v>11760220.04</v>
      </c>
      <c r="K57" s="25">
        <f>9945708.88</f>
        <v>9945708.88</v>
      </c>
      <c r="L57" s="25">
        <f>1853970182.01</f>
        <v>1853970182.01</v>
      </c>
      <c r="M57" s="25">
        <f>7104362575.38</f>
        <v>7104362575.38</v>
      </c>
      <c r="N57" s="25">
        <f>57803528.17</f>
        <v>57803528.17</v>
      </c>
      <c r="O57" s="14">
        <f>21895046.64</f>
        <v>21895046.64</v>
      </c>
      <c r="P57" s="14">
        <f>14794176.15</f>
        <v>14794176.15</v>
      </c>
      <c r="Q57" s="14">
        <f>7100870.49</f>
        <v>7100870.49</v>
      </c>
    </row>
    <row r="58" spans="1:17" ht="24.75" customHeight="1">
      <c r="A58" s="33" t="s">
        <v>43</v>
      </c>
      <c r="B58" s="34">
        <f>12598979770.48</f>
        <v>12598979770.48</v>
      </c>
      <c r="C58" s="34">
        <f>12597524285.83</f>
        <v>12597524285.83</v>
      </c>
      <c r="D58" s="34">
        <f>1255613413.9</f>
        <v>1255613413.9</v>
      </c>
      <c r="E58" s="34">
        <f>957625412.94</f>
        <v>957625412.94</v>
      </c>
      <c r="F58" s="34">
        <f>44542881.41</f>
        <v>44542881.41</v>
      </c>
      <c r="G58" s="34">
        <f>237955813.58</f>
        <v>237955813.58</v>
      </c>
      <c r="H58" s="34">
        <f>15489305.97</f>
        <v>15489305.97</v>
      </c>
      <c r="I58" s="34">
        <f>169271</f>
        <v>169271</v>
      </c>
      <c r="J58" s="34">
        <f>15798527.14</f>
        <v>15798527.14</v>
      </c>
      <c r="K58" s="34">
        <f>20461145.09</f>
        <v>20461145.09</v>
      </c>
      <c r="L58" s="34">
        <f>6286615742.39</f>
        <v>6286615742.39</v>
      </c>
      <c r="M58" s="34">
        <f>4896969811.14</f>
        <v>4896969811.14</v>
      </c>
      <c r="N58" s="34">
        <f>121896375.17</f>
        <v>121896375.17</v>
      </c>
      <c r="O58" s="34">
        <f>1455484.65</f>
        <v>1455484.65</v>
      </c>
      <c r="P58" s="34">
        <f>1274783.88</f>
        <v>1274783.88</v>
      </c>
      <c r="Q58" s="34">
        <f>180700.77</f>
        <v>180700.77</v>
      </c>
    </row>
    <row r="59" spans="1:17" ht="30" customHeight="1">
      <c r="A59" s="21" t="s">
        <v>36</v>
      </c>
      <c r="B59" s="25">
        <f>663244965.12</f>
        <v>663244965.12</v>
      </c>
      <c r="C59" s="25">
        <f>663213158.76</f>
        <v>663213158.76</v>
      </c>
      <c r="D59" s="25">
        <f>33540917.21</f>
        <v>33540917.21</v>
      </c>
      <c r="E59" s="25">
        <f>2411846.7</f>
        <v>2411846.7</v>
      </c>
      <c r="F59" s="25">
        <f>754433.82</f>
        <v>754433.82</v>
      </c>
      <c r="G59" s="25">
        <f>29857252.66</f>
        <v>29857252.66</v>
      </c>
      <c r="H59" s="25">
        <f>517384.03</f>
        <v>517384.03</v>
      </c>
      <c r="I59" s="25">
        <f>0</f>
        <v>0</v>
      </c>
      <c r="J59" s="25">
        <f>349266.23</f>
        <v>349266.23</v>
      </c>
      <c r="K59" s="25">
        <f>1065493.2</f>
        <v>1065493.2</v>
      </c>
      <c r="L59" s="25">
        <f>196314689.83</f>
        <v>196314689.83</v>
      </c>
      <c r="M59" s="25">
        <f>425867913.11</f>
        <v>425867913.11</v>
      </c>
      <c r="N59" s="25">
        <f>6074879.18</f>
        <v>6074879.18</v>
      </c>
      <c r="O59" s="14">
        <f>31806.36</f>
        <v>31806.36</v>
      </c>
      <c r="P59" s="14">
        <f>1396.46</f>
        <v>1396.46</v>
      </c>
      <c r="Q59" s="14">
        <f>30409.9</f>
        <v>30409.9</v>
      </c>
    </row>
    <row r="60" spans="1:17" ht="36">
      <c r="A60" s="21" t="s">
        <v>37</v>
      </c>
      <c r="B60" s="25">
        <f>8203433425.91</f>
        <v>8203433425.91</v>
      </c>
      <c r="C60" s="25">
        <f>8202029944.21</f>
        <v>8202029944.21</v>
      </c>
      <c r="D60" s="25">
        <f>854956447.08</f>
        <v>854956447.08</v>
      </c>
      <c r="E60" s="25">
        <f>726911868.54</f>
        <v>726911868.54</v>
      </c>
      <c r="F60" s="25">
        <f>26519793.22</f>
        <v>26519793.22</v>
      </c>
      <c r="G60" s="25">
        <f>91831652.42</f>
        <v>91831652.42</v>
      </c>
      <c r="H60" s="25">
        <f>9693132.9</f>
        <v>9693132.9</v>
      </c>
      <c r="I60" s="25">
        <f>169271</f>
        <v>169271</v>
      </c>
      <c r="J60" s="25">
        <f>9054064.31</f>
        <v>9054064.31</v>
      </c>
      <c r="K60" s="25">
        <f>15396184.93</f>
        <v>15396184.93</v>
      </c>
      <c r="L60" s="25">
        <f>4723667680.26</f>
        <v>4723667680.26</v>
      </c>
      <c r="M60" s="25">
        <f>2547287832.91</f>
        <v>2547287832.91</v>
      </c>
      <c r="N60" s="25">
        <f>51498463.72</f>
        <v>51498463.72</v>
      </c>
      <c r="O60" s="14">
        <f>1403481.7</f>
        <v>1403481.7</v>
      </c>
      <c r="P60" s="14">
        <f>1260188.81</f>
        <v>1260188.81</v>
      </c>
      <c r="Q60" s="14">
        <f>143292.89</f>
        <v>143292.89</v>
      </c>
    </row>
    <row r="61" spans="1:17" ht="30.75" customHeight="1">
      <c r="A61" s="21" t="s">
        <v>38</v>
      </c>
      <c r="B61" s="25">
        <f>3732301379.45</f>
        <v>3732301379.45</v>
      </c>
      <c r="C61" s="25">
        <f>3732281182.86</f>
        <v>3732281182.86</v>
      </c>
      <c r="D61" s="25">
        <f>367116049.61</f>
        <v>367116049.61</v>
      </c>
      <c r="E61" s="25">
        <f>228301697.7</f>
        <v>228301697.7</v>
      </c>
      <c r="F61" s="25">
        <f>17268654.37</f>
        <v>17268654.37</v>
      </c>
      <c r="G61" s="25">
        <f>116266908.5</f>
        <v>116266908.5</v>
      </c>
      <c r="H61" s="25">
        <f>5278789.04</f>
        <v>5278789.04</v>
      </c>
      <c r="I61" s="25">
        <f>0</f>
        <v>0</v>
      </c>
      <c r="J61" s="25">
        <f>6395196.6</f>
        <v>6395196.6</v>
      </c>
      <c r="K61" s="25">
        <f>3999466.96</f>
        <v>3999466.96</v>
      </c>
      <c r="L61" s="25">
        <f>1366633372.3</f>
        <v>1366633372.3</v>
      </c>
      <c r="M61" s="25">
        <f>1923814065.12</f>
        <v>1923814065.12</v>
      </c>
      <c r="N61" s="25">
        <f>64323032.27</f>
        <v>64323032.27</v>
      </c>
      <c r="O61" s="14">
        <f>20196.59</f>
        <v>20196.59</v>
      </c>
      <c r="P61" s="14">
        <f>13198.61</f>
        <v>13198.61</v>
      </c>
      <c r="Q61" s="14">
        <f>6997.98</f>
        <v>6997.98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1023685164.26</f>
        <v>1023685164.26</v>
      </c>
      <c r="G88" s="32">
        <f>371092026.88</f>
        <v>371092026.88</v>
      </c>
      <c r="H88" s="32">
        <f>34981002.21</f>
        <v>34981002.21</v>
      </c>
      <c r="I88" s="32">
        <f>135853808.96</f>
        <v>135853808.96</v>
      </c>
      <c r="J88" s="32">
        <f>195209660.65</f>
        <v>195209660.65</v>
      </c>
      <c r="K88" s="32">
        <f>5047555.06</f>
        <v>5047555.06</v>
      </c>
      <c r="L88" s="32">
        <f>652593137.38</f>
        <v>652593137.38</v>
      </c>
    </row>
    <row r="89" spans="2:12" ht="33.75" customHeight="1">
      <c r="B89" s="72" t="s">
        <v>56</v>
      </c>
      <c r="C89" s="73"/>
      <c r="D89" s="73"/>
      <c r="E89" s="74"/>
      <c r="F89" s="32">
        <f>4267928.31</f>
        <v>4267928.31</v>
      </c>
      <c r="G89" s="32">
        <f>3339683.31</f>
        <v>3339683.31</v>
      </c>
      <c r="H89" s="32">
        <f>1590916.59</f>
        <v>1590916.59</v>
      </c>
      <c r="I89" s="32">
        <f>0</f>
        <v>0</v>
      </c>
      <c r="J89" s="32">
        <f>1748766.72</f>
        <v>1748766.72</v>
      </c>
      <c r="K89" s="32">
        <f>0</f>
        <v>0</v>
      </c>
      <c r="L89" s="32">
        <f>928245</f>
        <v>928245</v>
      </c>
    </row>
    <row r="90" spans="2:12" ht="33.75" customHeight="1">
      <c r="B90" s="72" t="s">
        <v>57</v>
      </c>
      <c r="C90" s="73"/>
      <c r="D90" s="73"/>
      <c r="E90" s="74"/>
      <c r="F90" s="32">
        <f>41574745.37</f>
        <v>41574745.37</v>
      </c>
      <c r="G90" s="32">
        <f>9290087.66</f>
        <v>9290087.66</v>
      </c>
      <c r="H90" s="32">
        <f>1079888.66</f>
        <v>1079888.66</v>
      </c>
      <c r="I90" s="32">
        <f>0</f>
        <v>0</v>
      </c>
      <c r="J90" s="32">
        <f>5770500</f>
        <v>5770500</v>
      </c>
      <c r="K90" s="32">
        <f>2439699</f>
        <v>2439699</v>
      </c>
      <c r="L90" s="32">
        <f>32284657.71</f>
        <v>32284657.71</v>
      </c>
    </row>
    <row r="91" spans="2:12" ht="22.5" customHeight="1">
      <c r="B91" s="72" t="s">
        <v>58</v>
      </c>
      <c r="C91" s="73"/>
      <c r="D91" s="73"/>
      <c r="E91" s="74"/>
      <c r="F91" s="32">
        <f>13373505.8</f>
        <v>13373505.8</v>
      </c>
      <c r="G91" s="32">
        <f>945320</f>
        <v>945320</v>
      </c>
      <c r="H91" s="32">
        <f>0</f>
        <v>0</v>
      </c>
      <c r="I91" s="32">
        <f>0</f>
        <v>0</v>
      </c>
      <c r="J91" s="32">
        <f>945320</f>
        <v>945320</v>
      </c>
      <c r="K91" s="32">
        <f>0</f>
        <v>0</v>
      </c>
      <c r="L91" s="32">
        <f>12428185.8</f>
        <v>12428185.8</v>
      </c>
    </row>
    <row r="92" spans="2:12" ht="33.75" customHeight="1">
      <c r="B92" s="72" t="s">
        <v>59</v>
      </c>
      <c r="C92" s="73"/>
      <c r="D92" s="73"/>
      <c r="E92" s="74"/>
      <c r="F92" s="32">
        <f>18665.97</f>
        <v>18665.97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18665.97</f>
        <v>18665.97</v>
      </c>
    </row>
    <row r="93" spans="2:12" ht="33.75" customHeight="1">
      <c r="B93" s="72" t="s">
        <v>60</v>
      </c>
      <c r="C93" s="73"/>
      <c r="D93" s="73"/>
      <c r="E93" s="74"/>
      <c r="F93" s="32">
        <f>2024420.99</f>
        <v>2024420.99</v>
      </c>
      <c r="G93" s="32">
        <f>111600</f>
        <v>111600</v>
      </c>
      <c r="H93" s="32">
        <f>0</f>
        <v>0</v>
      </c>
      <c r="I93" s="32">
        <f>0</f>
        <v>0</v>
      </c>
      <c r="J93" s="32">
        <f>111600</f>
        <v>111600</v>
      </c>
      <c r="K93" s="32">
        <f>0</f>
        <v>0</v>
      </c>
      <c r="L93" s="32">
        <f>1912820.99</f>
        <v>1912820.99</v>
      </c>
    </row>
    <row r="94" spans="2:12" ht="22.5" customHeight="1">
      <c r="B94" s="72" t="s">
        <v>61</v>
      </c>
      <c r="C94" s="73"/>
      <c r="D94" s="73"/>
      <c r="E94" s="74"/>
      <c r="F94" s="32">
        <f>61000</f>
        <v>61000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61000</f>
        <v>61000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2126</f>
        <v>2126</v>
      </c>
      <c r="H100" s="66"/>
      <c r="I100" s="67">
        <f>6067038463.65</f>
        <v>6067038463.65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284</f>
        <v>284</v>
      </c>
      <c r="H101" s="76"/>
      <c r="I101" s="77">
        <f>-494010278.25</f>
        <v>-494010278.25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2020-08-24T20:27:14Z</dcterms:modified>
  <cp:category/>
  <cp:version/>
  <cp:contentType/>
  <cp:contentStatus/>
</cp:coreProperties>
</file>