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E0A648CD-275D-4B96-8F60-0839BBB76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66" i="7"/>
  <c r="A85" i="7"/>
  <c r="A30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<sst xmlns="http://schemas.openxmlformats.org/spreadsheetml/2006/main" count="97" uniqueCount="81">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</sst>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 Kwartał 2026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59198558085.46</f>
        <v>59198558085.459999</v>
      </c>
      <c r="C13" s="21">
        <f>37931032829.8</f>
        <v>37931032829.800003</v>
      </c>
      <c r="D13" s="21">
        <f>604785727.93</f>
        <v>604785727.92999995</v>
      </c>
      <c r="E13" s="21">
        <f>355592626.27</f>
        <v>355592626.26999998</v>
      </c>
      <c r="F13" s="21">
        <f>139864937.66</f>
        <v>139864937.66</v>
      </c>
      <c r="G13" s="21">
        <f>109328164</f>
        <v>109328164</v>
      </c>
      <c r="H13" s="21">
        <f>0</f>
        <v>0</v>
      </c>
      <c r="I13" s="21">
        <f>0</f>
        <v>0</v>
      </c>
      <c r="J13" s="21">
        <f>35606447459.48</f>
        <v>35606447459.480003</v>
      </c>
      <c r="K13" s="21">
        <f>1059135659.39</f>
        <v>1059135659.39</v>
      </c>
      <c r="L13" s="21">
        <f>649216209.14</f>
        <v>649216209.13999999</v>
      </c>
      <c r="M13" s="21">
        <f>3764062.02</f>
        <v>3764062.02</v>
      </c>
      <c r="N13" s="21">
        <f>7683711.84</f>
        <v>7683711.8399999999</v>
      </c>
      <c r="O13" s="21">
        <f>21267525255.66</f>
        <v>21267525255.66</v>
      </c>
      <c r="P13" s="21">
        <f>21267525255.66</f>
        <v>21267525255.66</v>
      </c>
      <c r="Q13" s="21">
        <f>0</f>
        <v>0</v>
      </c>
    </row>
    <row r="14" spans="1:17" ht="38.25" customHeight="1" x14ac:dyDescent="0.2">
      <c r="A14" s="20" t="s">
        <v>48</v>
      </c>
      <c r="B14" s="21">
        <f>9352115000</f>
        <v>9352115000</v>
      </c>
      <c r="C14" s="21">
        <f>9352115000</f>
        <v>9352115000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9194615000</f>
        <v>9194615000</v>
      </c>
      <c r="K14" s="21">
        <f>157500000</f>
        <v>157500000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9352115000</f>
        <v>9352115000</v>
      </c>
      <c r="C16" s="22">
        <f>9352115000</f>
        <v>9352115000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9194615000</f>
        <v>9194615000</v>
      </c>
      <c r="K16" s="22">
        <f>157500000</f>
        <v>157500000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49832105787.76</f>
        <v>49832105787.760002</v>
      </c>
      <c r="C17" s="21">
        <f>28564580532.1</f>
        <v>28564580532.099998</v>
      </c>
      <c r="D17" s="21">
        <f>602897468.06</f>
        <v>602897468.05999994</v>
      </c>
      <c r="E17" s="21">
        <f>353775049</f>
        <v>353775049</v>
      </c>
      <c r="F17" s="21">
        <f>139862127.66</f>
        <v>139862127.66</v>
      </c>
      <c r="G17" s="21">
        <f>109260291.4</f>
        <v>109260291.40000001</v>
      </c>
      <c r="H17" s="21">
        <f>0</f>
        <v>0</v>
      </c>
      <c r="I17" s="21">
        <f>0</f>
        <v>0</v>
      </c>
      <c r="J17" s="21">
        <f>26411832459.48</f>
        <v>26411832459.48</v>
      </c>
      <c r="K17" s="21">
        <f>901623011.87</f>
        <v>901623011.87</v>
      </c>
      <c r="L17" s="21">
        <f>645997592.69</f>
        <v>645997592.69000006</v>
      </c>
      <c r="M17" s="21">
        <f>1230000</f>
        <v>1230000</v>
      </c>
      <c r="N17" s="21">
        <f>1000000</f>
        <v>1000000</v>
      </c>
      <c r="O17" s="21">
        <f>21267525255.66</f>
        <v>21267525255.66</v>
      </c>
      <c r="P17" s="21">
        <f>21267525255.66</f>
        <v>21267525255.66</v>
      </c>
      <c r="Q17" s="21">
        <f>0</f>
        <v>0</v>
      </c>
    </row>
    <row r="18" spans="1:17" ht="38.25" customHeight="1" x14ac:dyDescent="0.2">
      <c r="A18" s="18" t="s">
        <v>52</v>
      </c>
      <c r="B18" s="22">
        <f>27256280.23</f>
        <v>27256280.23</v>
      </c>
      <c r="C18" s="22">
        <f>27256280.23</f>
        <v>27256280.23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27255542.23</f>
        <v>27255542.23</v>
      </c>
      <c r="K18" s="22">
        <f>0</f>
        <v>0</v>
      </c>
      <c r="L18" s="22">
        <f>738</f>
        <v>738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49804849507.53</f>
        <v>49804849507.529999</v>
      </c>
      <c r="C19" s="22">
        <f>28537324251.87</f>
        <v>28537324251.869999</v>
      </c>
      <c r="D19" s="22">
        <f>602897468.06</f>
        <v>602897468.05999994</v>
      </c>
      <c r="E19" s="22">
        <f>353775049</f>
        <v>353775049</v>
      </c>
      <c r="F19" s="22">
        <f>139862127.66</f>
        <v>139862127.66</v>
      </c>
      <c r="G19" s="22">
        <f>109260291.4</f>
        <v>109260291.40000001</v>
      </c>
      <c r="H19" s="22">
        <f>0</f>
        <v>0</v>
      </c>
      <c r="I19" s="22">
        <f>0</f>
        <v>0</v>
      </c>
      <c r="J19" s="22">
        <f>26384576917.25</f>
        <v>26384576917.25</v>
      </c>
      <c r="K19" s="22">
        <f>901623011.87</f>
        <v>901623011.87</v>
      </c>
      <c r="L19" s="22">
        <f>645996854.69</f>
        <v>645996854.69000006</v>
      </c>
      <c r="M19" s="22">
        <f>1230000</f>
        <v>1230000</v>
      </c>
      <c r="N19" s="22">
        <f>1000000</f>
        <v>1000000</v>
      </c>
      <c r="O19" s="22">
        <f>21267525255.66</f>
        <v>21267525255.66</v>
      </c>
      <c r="P19" s="22">
        <f>21267525255.66</f>
        <v>21267525255.66</v>
      </c>
      <c r="Q19" s="22">
        <f>0</f>
        <v>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14337297.7</f>
        <v>14337297.699999999</v>
      </c>
      <c r="C21" s="21">
        <f>14337297.7</f>
        <v>14337297.699999999</v>
      </c>
      <c r="D21" s="21">
        <f>1888259.87</f>
        <v>1888259.87</v>
      </c>
      <c r="E21" s="21">
        <f>1817577.27</f>
        <v>1817577.27</v>
      </c>
      <c r="F21" s="21">
        <f>2810</f>
        <v>2810</v>
      </c>
      <c r="G21" s="21">
        <f>67872.6</f>
        <v>67872.600000000006</v>
      </c>
      <c r="H21" s="21">
        <f>0</f>
        <v>0</v>
      </c>
      <c r="I21" s="21">
        <f>0</f>
        <v>0</v>
      </c>
      <c r="J21" s="21">
        <f>0</f>
        <v>0</v>
      </c>
      <c r="K21" s="21">
        <f>12647.52</f>
        <v>12647.52</v>
      </c>
      <c r="L21" s="21">
        <f>3218616.45</f>
        <v>3218616.45</v>
      </c>
      <c r="M21" s="21">
        <f>2534062.02</f>
        <v>2534062.02</v>
      </c>
      <c r="N21" s="21">
        <f>6683711.84</f>
        <v>6683711.8399999999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10932205.47</f>
        <v>10932205.470000001</v>
      </c>
      <c r="C22" s="22">
        <f>10932205.47</f>
        <v>10932205.470000001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12647.52</f>
        <v>12647.52</v>
      </c>
      <c r="L22" s="22">
        <f>2691181.9</f>
        <v>2691181.9</v>
      </c>
      <c r="M22" s="22">
        <f>1546664.21</f>
        <v>1546664.21</v>
      </c>
      <c r="N22" s="22">
        <f>6681711.84</f>
        <v>6681711.8399999999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3405092.23</f>
        <v>3405092.23</v>
      </c>
      <c r="C23" s="22">
        <f>3405092.23</f>
        <v>3405092.23</v>
      </c>
      <c r="D23" s="22">
        <f>1888259.87</f>
        <v>1888259.87</v>
      </c>
      <c r="E23" s="22">
        <f>1817577.27</f>
        <v>1817577.27</v>
      </c>
      <c r="F23" s="22">
        <f>2810</f>
        <v>2810</v>
      </c>
      <c r="G23" s="22">
        <f>67872.6</f>
        <v>67872.600000000006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527434.55</f>
        <v>527434.55000000005</v>
      </c>
      <c r="M23" s="22">
        <f>987397.81</f>
        <v>987397.81</v>
      </c>
      <c r="N23" s="22">
        <f>2000</f>
        <v>2000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 Kwartał 2026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156266.23</f>
        <v>156266.23000000001</v>
      </c>
      <c r="C40" s="23">
        <f>156266.23</f>
        <v>156266.23000000001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156266.23</f>
        <v>156266.23000000001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156266.23</f>
        <v>156266.23000000001</v>
      </c>
      <c r="C42" s="24">
        <f>156266.23</f>
        <v>156266.23000000001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156266.23</f>
        <v>156266.23000000001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451624997.83</f>
        <v>451624997.82999998</v>
      </c>
      <c r="C43" s="23">
        <f>451617347.2</f>
        <v>451617347.19999999</v>
      </c>
      <c r="D43" s="23">
        <f>226585230.32</f>
        <v>226585230.31999999</v>
      </c>
      <c r="E43" s="23">
        <f>91822</f>
        <v>91822</v>
      </c>
      <c r="F43" s="23">
        <f>0</f>
        <v>0</v>
      </c>
      <c r="G43" s="23">
        <f>226493408.32</f>
        <v>226493408.31999999</v>
      </c>
      <c r="H43" s="23">
        <f>0</f>
        <v>0</v>
      </c>
      <c r="I43" s="23">
        <f>0</f>
        <v>0</v>
      </c>
      <c r="J43" s="23">
        <f>27112.5</f>
        <v>27112.5</v>
      </c>
      <c r="K43" s="23">
        <f>0</f>
        <v>0</v>
      </c>
      <c r="L43" s="23">
        <f>145812819.53</f>
        <v>145812819.53</v>
      </c>
      <c r="M43" s="23">
        <f>65294570.49</f>
        <v>65294570.490000002</v>
      </c>
      <c r="N43" s="23">
        <f>13897614.36</f>
        <v>13897614.359999999</v>
      </c>
      <c r="O43" s="23">
        <f>7650.63</f>
        <v>7650.63</v>
      </c>
      <c r="P43" s="23">
        <f>7650.63</f>
        <v>7650.63</v>
      </c>
      <c r="Q43" s="23">
        <f>0</f>
        <v>0</v>
      </c>
    </row>
    <row r="44" spans="1:17" ht="26.25" customHeight="1" x14ac:dyDescent="0.2">
      <c r="A44" s="19" t="s">
        <v>32</v>
      </c>
      <c r="B44" s="24">
        <f>73861894.58</f>
        <v>73861894.579999998</v>
      </c>
      <c r="C44" s="24">
        <f>73857443.95</f>
        <v>73857443.950000003</v>
      </c>
      <c r="D44" s="24">
        <f>11023229.43</f>
        <v>11023229.43</v>
      </c>
      <c r="E44" s="24">
        <f>91822</f>
        <v>91822</v>
      </c>
      <c r="F44" s="24">
        <f>0</f>
        <v>0</v>
      </c>
      <c r="G44" s="24">
        <f>10931407.43</f>
        <v>10931407.43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41533695.26</f>
        <v>41533695.259999998</v>
      </c>
      <c r="M44" s="24">
        <f>20537145.9</f>
        <v>20537145.899999999</v>
      </c>
      <c r="N44" s="24">
        <f>763373.36</f>
        <v>763373.36</v>
      </c>
      <c r="O44" s="24">
        <f>4450.63</f>
        <v>4450.63</v>
      </c>
      <c r="P44" s="24">
        <f>4450.63</f>
        <v>4450.63</v>
      </c>
      <c r="Q44" s="24">
        <f>0</f>
        <v>0</v>
      </c>
    </row>
    <row r="45" spans="1:17" ht="26.25" customHeight="1" x14ac:dyDescent="0.2">
      <c r="A45" s="19" t="s">
        <v>33</v>
      </c>
      <c r="B45" s="24">
        <f>377763103.25</f>
        <v>377763103.25</v>
      </c>
      <c r="C45" s="24">
        <f>377759903.25</f>
        <v>377759903.25</v>
      </c>
      <c r="D45" s="24">
        <f>215562000.89</f>
        <v>215562000.88999999</v>
      </c>
      <c r="E45" s="24">
        <f>0</f>
        <v>0</v>
      </c>
      <c r="F45" s="24">
        <f>0</f>
        <v>0</v>
      </c>
      <c r="G45" s="24">
        <f>215562000.89</f>
        <v>215562000.88999999</v>
      </c>
      <c r="H45" s="24">
        <f>0</f>
        <v>0</v>
      </c>
      <c r="I45" s="24">
        <f>0</f>
        <v>0</v>
      </c>
      <c r="J45" s="24">
        <f>27112.5</f>
        <v>27112.5</v>
      </c>
      <c r="K45" s="24">
        <f>0</f>
        <v>0</v>
      </c>
      <c r="L45" s="24">
        <f>104279124.27</f>
        <v>104279124.27</v>
      </c>
      <c r="M45" s="24">
        <f>44757424.59</f>
        <v>44757424.590000004</v>
      </c>
      <c r="N45" s="24">
        <f>13134241</f>
        <v>13134241</v>
      </c>
      <c r="O45" s="24">
        <f>3200</f>
        <v>3200</v>
      </c>
      <c r="P45" s="24">
        <f>3200</f>
        <v>3200</v>
      </c>
      <c r="Q45" s="24">
        <f>0</f>
        <v>0</v>
      </c>
    </row>
    <row r="46" spans="1:17" ht="26.25" customHeight="1" x14ac:dyDescent="0.2">
      <c r="A46" s="25" t="s">
        <v>44</v>
      </c>
      <c r="B46" s="23">
        <f>21612853464.33</f>
        <v>21612853464.330002</v>
      </c>
      <c r="C46" s="23">
        <f>21612842692.58</f>
        <v>21612842692.580002</v>
      </c>
      <c r="D46" s="23">
        <f>19291961.02</f>
        <v>19291961.02</v>
      </c>
      <c r="E46" s="23">
        <f>8070153.58</f>
        <v>8070153.5800000001</v>
      </c>
      <c r="F46" s="23">
        <f>25779.68</f>
        <v>25779.68</v>
      </c>
      <c r="G46" s="23">
        <f>11196027.76</f>
        <v>11196027.76</v>
      </c>
      <c r="H46" s="23">
        <f>0</f>
        <v>0</v>
      </c>
      <c r="I46" s="23">
        <f>5701271.5</f>
        <v>5701271.5</v>
      </c>
      <c r="J46" s="23">
        <f>21585395174.73</f>
        <v>21585395174.73</v>
      </c>
      <c r="K46" s="23">
        <f>43776.59</f>
        <v>43776.59</v>
      </c>
      <c r="L46" s="23">
        <f>2368103.67</f>
        <v>2368103.67</v>
      </c>
      <c r="M46" s="23">
        <f>41756.16</f>
        <v>41756.160000000003</v>
      </c>
      <c r="N46" s="23">
        <f>648.91</f>
        <v>648.91</v>
      </c>
      <c r="O46" s="23">
        <f>10771.75</f>
        <v>10771.75</v>
      </c>
      <c r="P46" s="23">
        <f>0</f>
        <v>0</v>
      </c>
      <c r="Q46" s="23">
        <f>10771.75</f>
        <v>10771.75</v>
      </c>
    </row>
    <row r="47" spans="1:17" ht="26.25" customHeight="1" x14ac:dyDescent="0.2">
      <c r="A47" s="19" t="s">
        <v>34</v>
      </c>
      <c r="B47" s="24">
        <f>8100572.64</f>
        <v>8100572.6399999997</v>
      </c>
      <c r="C47" s="24">
        <f>8100572.64</f>
        <v>8100572.6399999997</v>
      </c>
      <c r="D47" s="24">
        <f>8100572.64</f>
        <v>8100572.6399999997</v>
      </c>
      <c r="E47" s="24">
        <f>0</f>
        <v>0</v>
      </c>
      <c r="F47" s="24">
        <f>0</f>
        <v>0</v>
      </c>
      <c r="G47" s="24">
        <f>8100572.64</f>
        <v>8100572.6399999997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10539035704.58</f>
        <v>10539035704.58</v>
      </c>
      <c r="C48" s="24">
        <f>10539035704.58</f>
        <v>10539035704.58</v>
      </c>
      <c r="D48" s="24">
        <f>10913571.01</f>
        <v>10913571.01</v>
      </c>
      <c r="E48" s="24">
        <f>7981581.5</f>
        <v>7981581.5</v>
      </c>
      <c r="F48" s="24">
        <f>0</f>
        <v>0</v>
      </c>
      <c r="G48" s="24">
        <f>2931989.51</f>
        <v>2931989.51</v>
      </c>
      <c r="H48" s="24">
        <f>0</f>
        <v>0</v>
      </c>
      <c r="I48" s="24">
        <f>5617486.97</f>
        <v>5617486.9699999997</v>
      </c>
      <c r="J48" s="24">
        <f>10521604744.02</f>
        <v>10521604744.02</v>
      </c>
      <c r="K48" s="24">
        <f>43776.59</f>
        <v>43776.59</v>
      </c>
      <c r="L48" s="24">
        <f>856125.99</f>
        <v>856125.99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11065717187.11</f>
        <v>11065717187.110001</v>
      </c>
      <c r="C49" s="24">
        <f>11065706415.36</f>
        <v>11065706415.360001</v>
      </c>
      <c r="D49" s="24">
        <f>277817.37</f>
        <v>277817.37</v>
      </c>
      <c r="E49" s="24">
        <f>88572.08</f>
        <v>88572.08</v>
      </c>
      <c r="F49" s="24">
        <f>25779.68</f>
        <v>25779.68</v>
      </c>
      <c r="G49" s="24">
        <f>163465.61</f>
        <v>163465.60999999999</v>
      </c>
      <c r="H49" s="24">
        <f>0</f>
        <v>0</v>
      </c>
      <c r="I49" s="24">
        <f>83784.53</f>
        <v>83784.53</v>
      </c>
      <c r="J49" s="24">
        <f>11063790430.71</f>
        <v>11063790430.709999</v>
      </c>
      <c r="K49" s="24">
        <f>0</f>
        <v>0</v>
      </c>
      <c r="L49" s="24">
        <f>1511977.68</f>
        <v>1511977.68</v>
      </c>
      <c r="M49" s="24">
        <f>41756.16</f>
        <v>41756.160000000003</v>
      </c>
      <c r="N49" s="24">
        <f>648.91</f>
        <v>648.91</v>
      </c>
      <c r="O49" s="24">
        <f>10771.75</f>
        <v>10771.75</v>
      </c>
      <c r="P49" s="24">
        <f>0</f>
        <v>0</v>
      </c>
      <c r="Q49" s="24">
        <f>10771.75</f>
        <v>10771.75</v>
      </c>
    </row>
    <row r="50" spans="1:17" ht="26.25" customHeight="1" x14ac:dyDescent="0.2">
      <c r="A50" s="25" t="s">
        <v>45</v>
      </c>
      <c r="B50" s="23">
        <f>13525114118.65</f>
        <v>13525114118.65</v>
      </c>
      <c r="C50" s="23">
        <f>13466076212.3</f>
        <v>13466076212.299999</v>
      </c>
      <c r="D50" s="23">
        <f>315442667.67</f>
        <v>315442667.67000002</v>
      </c>
      <c r="E50" s="23">
        <f>61750324.15</f>
        <v>61750324.149999999</v>
      </c>
      <c r="F50" s="23">
        <f>9012943.04</f>
        <v>9012943.0399999991</v>
      </c>
      <c r="G50" s="23">
        <f>244054129.07</f>
        <v>244054129.06999999</v>
      </c>
      <c r="H50" s="23">
        <f>625271.41</f>
        <v>625271.41</v>
      </c>
      <c r="I50" s="23">
        <f>4</f>
        <v>4</v>
      </c>
      <c r="J50" s="23">
        <f>1139722.55</f>
        <v>1139722.55</v>
      </c>
      <c r="K50" s="23">
        <f>27118923.87</f>
        <v>27118923.870000001</v>
      </c>
      <c r="L50" s="23">
        <f>2881433532.54</f>
        <v>2881433532.54</v>
      </c>
      <c r="M50" s="23">
        <f>10150918074.02</f>
        <v>10150918074.02</v>
      </c>
      <c r="N50" s="23">
        <f>90023287.65</f>
        <v>90023287.650000006</v>
      </c>
      <c r="O50" s="23">
        <f>59037906.35</f>
        <v>59037906.350000001</v>
      </c>
      <c r="P50" s="23">
        <f>13454847.76</f>
        <v>13454847.76</v>
      </c>
      <c r="Q50" s="23">
        <f>45583058.59</f>
        <v>45583058.590000004</v>
      </c>
    </row>
    <row r="51" spans="1:17" ht="26.25" customHeight="1" x14ac:dyDescent="0.2">
      <c r="A51" s="19" t="s">
        <v>37</v>
      </c>
      <c r="B51" s="24">
        <f>5355956803.28</f>
        <v>5355956803.2799997</v>
      </c>
      <c r="C51" s="24">
        <f>5320911137.43</f>
        <v>5320911137.4300003</v>
      </c>
      <c r="D51" s="24">
        <f>67986983.5</f>
        <v>67986983.5</v>
      </c>
      <c r="E51" s="24">
        <f>1177516.29</f>
        <v>1177516.29</v>
      </c>
      <c r="F51" s="24">
        <f>4747065.1</f>
        <v>4747065.0999999996</v>
      </c>
      <c r="G51" s="24">
        <f>61938153.83</f>
        <v>61938153.829999998</v>
      </c>
      <c r="H51" s="24">
        <f>124248.28</f>
        <v>124248.28</v>
      </c>
      <c r="I51" s="24">
        <f>0</f>
        <v>0</v>
      </c>
      <c r="J51" s="24">
        <f>68092.71</f>
        <v>68092.710000000006</v>
      </c>
      <c r="K51" s="24">
        <f>760167.84</f>
        <v>760167.84</v>
      </c>
      <c r="L51" s="24">
        <f>711937665.38</f>
        <v>711937665.38</v>
      </c>
      <c r="M51" s="24">
        <f>4497815944.95</f>
        <v>4497815944.9499998</v>
      </c>
      <c r="N51" s="24">
        <f>42342283.05</f>
        <v>42342283.049999997</v>
      </c>
      <c r="O51" s="24">
        <f>35045665.85</f>
        <v>35045665.850000001</v>
      </c>
      <c r="P51" s="24">
        <f>2756755.25</f>
        <v>2756755.25</v>
      </c>
      <c r="Q51" s="24">
        <f>32288910.6</f>
        <v>32288910.600000001</v>
      </c>
    </row>
    <row r="52" spans="1:17" ht="26.25" customHeight="1" x14ac:dyDescent="0.2">
      <c r="A52" s="19" t="s">
        <v>38</v>
      </c>
      <c r="B52" s="24">
        <f>8169157315.37</f>
        <v>8169157315.3699999</v>
      </c>
      <c r="C52" s="24">
        <f>8145165074.87</f>
        <v>8145165074.8699999</v>
      </c>
      <c r="D52" s="24">
        <f>247455684.17</f>
        <v>247455684.16999999</v>
      </c>
      <c r="E52" s="24">
        <f>60572807.86</f>
        <v>60572807.859999999</v>
      </c>
      <c r="F52" s="24">
        <f>4265877.94</f>
        <v>4265877.9400000004</v>
      </c>
      <c r="G52" s="24">
        <f>182115975.24</f>
        <v>182115975.24000001</v>
      </c>
      <c r="H52" s="24">
        <f>501023.13</f>
        <v>501023.13</v>
      </c>
      <c r="I52" s="24">
        <f>4</f>
        <v>4</v>
      </c>
      <c r="J52" s="24">
        <f>1071629.84</f>
        <v>1071629.8400000001</v>
      </c>
      <c r="K52" s="24">
        <f>26358756.03</f>
        <v>26358756.030000001</v>
      </c>
      <c r="L52" s="24">
        <f>2169495867.16</f>
        <v>2169495867.1599998</v>
      </c>
      <c r="M52" s="24">
        <f>5653102129.07</f>
        <v>5653102129.0699997</v>
      </c>
      <c r="N52" s="24">
        <f>47681004.6</f>
        <v>47681004.600000001</v>
      </c>
      <c r="O52" s="24">
        <f>23992240.5</f>
        <v>23992240.5</v>
      </c>
      <c r="P52" s="24">
        <f>10698092.51</f>
        <v>10698092.51</v>
      </c>
      <c r="Q52" s="24">
        <f>13294147.99</f>
        <v>13294147.99</v>
      </c>
    </row>
    <row r="53" spans="1:17" ht="26.25" customHeight="1" x14ac:dyDescent="0.2">
      <c r="A53" s="25" t="s">
        <v>46</v>
      </c>
      <c r="B53" s="23">
        <f>16792103470.78</f>
        <v>16792103470.780001</v>
      </c>
      <c r="C53" s="23">
        <f>16700356149.25</f>
        <v>16700356149.25</v>
      </c>
      <c r="D53" s="23">
        <f>1141671413.88</f>
        <v>1141671413.8800001</v>
      </c>
      <c r="E53" s="23">
        <f>394511024.17</f>
        <v>394511024.17000002</v>
      </c>
      <c r="F53" s="23">
        <f>136073545.24</f>
        <v>136073545.24000001</v>
      </c>
      <c r="G53" s="23">
        <f>590839334.62</f>
        <v>590839334.62</v>
      </c>
      <c r="H53" s="23">
        <f>20247509.85</f>
        <v>20247509.850000001</v>
      </c>
      <c r="I53" s="23">
        <f>3567544.55</f>
        <v>3567544.55</v>
      </c>
      <c r="J53" s="23">
        <f>29317093.42</f>
        <v>29317093.420000002</v>
      </c>
      <c r="K53" s="23">
        <f>50668251.6</f>
        <v>50668251.600000001</v>
      </c>
      <c r="L53" s="23">
        <f>11310093997.24</f>
        <v>11310093997.24</v>
      </c>
      <c r="M53" s="23">
        <f>3702375366.53</f>
        <v>3702375366.5300002</v>
      </c>
      <c r="N53" s="23">
        <f>462662482.03</f>
        <v>462662482.02999997</v>
      </c>
      <c r="O53" s="23">
        <f>91747321.53</f>
        <v>91747321.530000001</v>
      </c>
      <c r="P53" s="23">
        <f>28916803.68</f>
        <v>28916803.68</v>
      </c>
      <c r="Q53" s="23">
        <f>62830517.85</f>
        <v>62830517.850000001</v>
      </c>
    </row>
    <row r="54" spans="1:17" ht="26.25" customHeight="1" x14ac:dyDescent="0.2">
      <c r="A54" s="19" t="s">
        <v>39</v>
      </c>
      <c r="B54" s="24">
        <f>1152073252.23</f>
        <v>1152073252.23</v>
      </c>
      <c r="C54" s="24">
        <f>1093904320.41</f>
        <v>1093904320.4100001</v>
      </c>
      <c r="D54" s="24">
        <f>81034768.47</f>
        <v>81034768.469999999</v>
      </c>
      <c r="E54" s="24">
        <f>1202140.38</f>
        <v>1202140.3799999999</v>
      </c>
      <c r="F54" s="24">
        <f>14500145.36</f>
        <v>14500145.359999999</v>
      </c>
      <c r="G54" s="24">
        <f>58204321.13</f>
        <v>58204321.130000003</v>
      </c>
      <c r="H54" s="24">
        <f>7128161.6</f>
        <v>7128161.5999999996</v>
      </c>
      <c r="I54" s="24">
        <f>3099.6</f>
        <v>3099.6</v>
      </c>
      <c r="J54" s="24">
        <f>376900.78</f>
        <v>376900.78</v>
      </c>
      <c r="K54" s="24">
        <f>943324.5</f>
        <v>943324.5</v>
      </c>
      <c r="L54" s="24">
        <f>513159441.39</f>
        <v>513159441.38999999</v>
      </c>
      <c r="M54" s="24">
        <f>482494297.46</f>
        <v>482494297.45999998</v>
      </c>
      <c r="N54" s="24">
        <f>15892488.21</f>
        <v>15892488.210000001</v>
      </c>
      <c r="O54" s="24">
        <f>58168931.82</f>
        <v>58168931.82</v>
      </c>
      <c r="P54" s="24">
        <f>1104529.95</f>
        <v>1104529.95</v>
      </c>
      <c r="Q54" s="24">
        <f>57064401.87</f>
        <v>57064401.869999997</v>
      </c>
    </row>
    <row r="55" spans="1:17" ht="36.75" customHeight="1" x14ac:dyDescent="0.2">
      <c r="A55" s="19" t="s">
        <v>40</v>
      </c>
      <c r="B55" s="24">
        <f>10488292296.1</f>
        <v>10488292296.1</v>
      </c>
      <c r="C55" s="24">
        <f>10456648599.98</f>
        <v>10456648599.98</v>
      </c>
      <c r="D55" s="24">
        <f>568408799.41</f>
        <v>568408799.40999997</v>
      </c>
      <c r="E55" s="24">
        <f>125265766.88</f>
        <v>125265766.88</v>
      </c>
      <c r="F55" s="24">
        <f>91245096.71</f>
        <v>91245096.709999993</v>
      </c>
      <c r="G55" s="24">
        <f>347104068.13</f>
        <v>347104068.13</v>
      </c>
      <c r="H55" s="24">
        <f>4793867.69</f>
        <v>4793867.6900000004</v>
      </c>
      <c r="I55" s="24">
        <f>3411400.26</f>
        <v>3411400.26</v>
      </c>
      <c r="J55" s="24">
        <f>19588835.06</f>
        <v>19588835.059999999</v>
      </c>
      <c r="K55" s="24">
        <f>45796935.03</f>
        <v>45796935.030000001</v>
      </c>
      <c r="L55" s="24">
        <f>8106607590.48</f>
        <v>8106607590.4799995</v>
      </c>
      <c r="M55" s="24">
        <f>1624721324.63</f>
        <v>1624721324.6300001</v>
      </c>
      <c r="N55" s="24">
        <f>88113715.11</f>
        <v>88113715.109999999</v>
      </c>
      <c r="O55" s="24">
        <f>31643696.12</f>
        <v>31643696.120000001</v>
      </c>
      <c r="P55" s="24">
        <f>26026846.53</f>
        <v>26026846.530000001</v>
      </c>
      <c r="Q55" s="24">
        <f>5616849.59</f>
        <v>5616849.5899999999</v>
      </c>
    </row>
    <row r="56" spans="1:17" ht="26.25" customHeight="1" x14ac:dyDescent="0.2">
      <c r="A56" s="19" t="s">
        <v>41</v>
      </c>
      <c r="B56" s="24">
        <f>5151737922.45</f>
        <v>5151737922.4499998</v>
      </c>
      <c r="C56" s="24">
        <f>5149803228.86</f>
        <v>5149803228.8599997</v>
      </c>
      <c r="D56" s="24">
        <f>492227846</f>
        <v>492227846</v>
      </c>
      <c r="E56" s="24">
        <f>268043116.91</f>
        <v>268043116.91</v>
      </c>
      <c r="F56" s="24">
        <f>30328303.17</f>
        <v>30328303.170000002</v>
      </c>
      <c r="G56" s="24">
        <f>185530945.36</f>
        <v>185530945.36000001</v>
      </c>
      <c r="H56" s="24">
        <f>8325480.56</f>
        <v>8325480.5599999996</v>
      </c>
      <c r="I56" s="24">
        <f>153044.69</f>
        <v>153044.69</v>
      </c>
      <c r="J56" s="24">
        <f>9351357.58</f>
        <v>9351357.5800000001</v>
      </c>
      <c r="K56" s="24">
        <f>3927992.07</f>
        <v>3927992.07</v>
      </c>
      <c r="L56" s="24">
        <f>2690326965.37</f>
        <v>2690326965.3699999</v>
      </c>
      <c r="M56" s="24">
        <f>1595159744.44</f>
        <v>1595159744.4400001</v>
      </c>
      <c r="N56" s="24">
        <f>358656278.71</f>
        <v>358656278.70999998</v>
      </c>
      <c r="O56" s="24">
        <f>1934693.59</f>
        <v>1934693.59</v>
      </c>
      <c r="P56" s="24">
        <f>1785427.2</f>
        <v>1785427.2</v>
      </c>
      <c r="Q56" s="24">
        <f>149266.39</f>
        <v>149266.39000000001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 Kwartał 2026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1428615964.06</f>
        <v>1428615964.0599999</v>
      </c>
      <c r="G76" s="22">
        <f>148032673.67</f>
        <v>148032673.66999999</v>
      </c>
      <c r="H76" s="22">
        <f>17274331</f>
        <v>17274331</v>
      </c>
      <c r="I76" s="22">
        <f>42562369.05</f>
        <v>42562369.049999997</v>
      </c>
      <c r="J76" s="22">
        <f>88195973.62</f>
        <v>88195973.620000005</v>
      </c>
      <c r="K76" s="22">
        <f>0</f>
        <v>0</v>
      </c>
      <c r="L76" s="22">
        <f>1280583290.39</f>
        <v>1280583290.3900001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20180600</f>
        <v>20180600</v>
      </c>
      <c r="G78" s="22">
        <f>15272400</f>
        <v>15272400</v>
      </c>
      <c r="H78" s="22">
        <f>0</f>
        <v>0</v>
      </c>
      <c r="I78" s="22">
        <f>0</f>
        <v>0</v>
      </c>
      <c r="J78" s="22">
        <f>15272400</f>
        <v>15272400</v>
      </c>
      <c r="K78" s="22">
        <f>0</f>
        <v>0</v>
      </c>
      <c r="L78" s="22">
        <f>4908200</f>
        <v>4908200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45182947.65</f>
        <v>45182947.649999999</v>
      </c>
      <c r="G79" s="22">
        <f>41873015.88</f>
        <v>41873015.880000003</v>
      </c>
      <c r="H79" s="22">
        <f>0</f>
        <v>0</v>
      </c>
      <c r="I79" s="22">
        <f>0</f>
        <v>0</v>
      </c>
      <c r="J79" s="22">
        <f>41873015.88</f>
        <v>41873015.880000003</v>
      </c>
      <c r="K79" s="22">
        <f>0</f>
        <v>0</v>
      </c>
      <c r="L79" s="22">
        <f>3309931.77</f>
        <v>3309931.77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8528843.7</f>
        <v>8528843.6999999993</v>
      </c>
      <c r="G80" s="22">
        <f>8528843.7</f>
        <v>8528843.6999999993</v>
      </c>
      <c r="H80" s="22">
        <f>0</f>
        <v>0</v>
      </c>
      <c r="I80" s="22">
        <f>0</f>
        <v>0</v>
      </c>
      <c r="J80" s="22">
        <f>8528843.7</f>
        <v>8528843.6999999993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3713959.22</f>
        <v>3713959.22</v>
      </c>
      <c r="G81" s="22">
        <f>2404027.45</f>
        <v>2404027.4500000002</v>
      </c>
      <c r="H81" s="22">
        <f>0</f>
        <v>0</v>
      </c>
      <c r="I81" s="22">
        <f>0</f>
        <v>0</v>
      </c>
      <c r="J81" s="22">
        <f>2404027.45</f>
        <v>2404027.4500000002</v>
      </c>
      <c r="K81" s="22">
        <f>0</f>
        <v>0</v>
      </c>
      <c r="L81" s="22">
        <f>1309931.77</f>
        <v>1309931.77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 Kwartał 2026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66</f>
        <v>66</v>
      </c>
      <c r="H88" s="60"/>
      <c r="I88" s="46">
        <f>12858237682.14</f>
        <v>12858237682.139999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0</f>
        <v>0</v>
      </c>
      <c r="H89" s="64"/>
      <c r="I89" s="48">
        <f>0</f>
        <v>0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10</v>
      </c>
      <c r="B94" s="8">
        <f>2026</f>
        <v>2026</v>
      </c>
      <c r="C94" s="9"/>
    </row>
    <row r="95" spans="1:13" ht="13.5" customHeight="1" x14ac:dyDescent="0.2">
      <c r="A95" s="8" t="s">
        <v>11</v>
      </c>
      <c r="B95" s="10" t="str">
        <f>"May 18 2026 12:00AM"</f>
        <v>May 18 2026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2026-05-29T11:56:42Z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2026-05-29T13:56:35.9330749+02:00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GRN-232d2f04-0f79-4a40-b703-7a2d4aa2e9fc</vt:lpwstr>
  </property>
  <property fmtid="{D5CDD505-2E9C-101B-9397-08002B2CF9AE}" pid="7" name="MFHash">
    <vt:lpwstr>08w3792BxUzwrIztBeMtmrh7FtGcSdAFwQnovEvjnow=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