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'doch_wyd'!$A$1:$M$116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<sst xmlns="http://schemas.openxmlformats.org/spreadsheetml/2006/main" count="257" uniqueCount="115">
  <si>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</si>
  <si>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</si>
  <si>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</si>
  <si>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</si>
  <si>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</si>
  <si>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</si>
  <si>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</si>
  <si>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</si>
  <si>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</si>
  <si>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</si>
  <si>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</si>
  <si>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</si>
  <si>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</si>
  <si>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</si>
  <si>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</si>
  <si>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</si>
  <si>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</si>
  <si>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</si>
  <si>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</si>
  <si>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</si>
  <si>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</si>
  <si>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</si>
  <si>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</si>
  <si>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</si>
  <si>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</si>
  <si>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</si>
  <si>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</si>
  <si>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</si>
  <si>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</si>
  <si>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</si>
  <si>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</si>
  <si>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</si>
  <si>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</si>
  <si>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</si>
  <si>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</si>
  <si>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</si>
  <si>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</si>
  <si>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</si>
  <si>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</si>
  <si>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</si>
  <si>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</si>
  <si>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</si>
  <si>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</si>
  <si>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</si>
  <si>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</si>
  <si>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</si>
  <si>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</si>
  <si>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</si>
  <si>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</si>
  <si>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</si>
  <si>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</si>
  <si>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</si>
  <si>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</si>
  <si>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</si>
  <si>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</si>
  <si>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</si>
  <si>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</si>
  <si>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</si>
  <si>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</si>
  <si>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</si>
  <si>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</si>
  <si>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</si>
  <si>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</si>
  <si>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</si>
  <si>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</si>
  <si>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</si>
  <si>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</si>
  <si>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</si>
  <si>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</si>
  <si>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</si>
  <si>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</si>
  <si>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</si>
  <si>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z tego:</t>
  </si>
  <si>
    <t>świadczenia na rzecz osób fizycznych</t>
  </si>
  <si>
    <t>majątkowe</t>
  </si>
  <si>
    <t>bieżące</t>
  </si>
  <si>
    <t>Dochody bieżące minus                  wydatki bieżące</t>
  </si>
  <si>
    <t>UE</t>
  </si>
  <si>
    <t>Wydatki ogółem UE        z tego: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</si>
  <si>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</si>
  <si>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</si>
  <si>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</si>
  <si>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</si>
  <si>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</si>
  <si>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</si>
  <si>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</si>
  <si>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</si>
  <si>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</si>
  <si>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</si>
  <si>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</si>
  <si>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</si>
  <si>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</si>
  <si>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</si>
  <si>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</si>
  <si>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</si>
  <si>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</si>
  <si>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</si>
  <si>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</si>
  <si>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</si>
  <si>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</si>
  <si>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</si>
  <si>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</si>
  <si>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</si>
  <si>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</si>
  <si>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</si>
  <si>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</si>
  <si>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>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</si>
  <si>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</si>
  <si>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</si>
  <si>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</si>
  <si>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Dotacje §§ 200 i 620</t>
  </si>
  <si>
    <t>w tym: inwestycyjne § 620</t>
  </si>
  <si>
    <t>Dotacje §§ 205 i 625</t>
  </si>
  <si>
    <t>w tym: inwestycyjne § 625</t>
  </si>
  <si>
    <t xml:space="preserve">Informacja z wykonania budżetów gmin za II Kwartały 2018 rok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</si>
</sst>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[$-415]d\ mmmm\ yyyy"/>
    <numFmt numFmtId="169" formatCode="dd/mm/yy\ h:mm;@"/>
    <numFmt numFmtId="170" formatCode="yyyy/mm/dd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0" xfId="0" applyNumberFormat="1" applyFont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1"/>
    </xf>
    <xf numFmtId="164" fontId="13" fillId="34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12" fillId="34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12" fillId="34" borderId="10" xfId="42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right" vertical="center"/>
    </xf>
    <xf numFmtId="4" fontId="12" fillId="34" borderId="12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34" borderId="12" xfId="0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center"/>
    </xf>
    <xf numFmtId="164" fontId="13" fillId="35" borderId="10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7" fillId="36" borderId="12" xfId="0" applyNumberFormat="1" applyFont="1" applyFill="1" applyBorder="1" applyAlignment="1">
      <alignment horizontal="right" vertical="center"/>
    </xf>
    <xf numFmtId="4" fontId="7" fillId="36" borderId="11" xfId="0" applyNumberFormat="1" applyFont="1" applyFill="1" applyBorder="1" applyAlignment="1">
      <alignment horizontal="right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35" borderId="12" xfId="0" applyNumberFormat="1" applyFont="1" applyFill="1" applyBorder="1" applyAlignment="1">
      <alignment horizontal="right" vertical="center"/>
    </xf>
    <xf numFmtId="164" fontId="12" fillId="36" borderId="10" xfId="42" applyNumberFormat="1" applyFont="1" applyFill="1" applyBorder="1" applyAlignment="1">
      <alignment horizontal="right" vertical="center"/>
    </xf>
    <xf numFmtId="164" fontId="12" fillId="36" borderId="10" xfId="0" applyNumberFormat="1" applyFont="1" applyFill="1" applyBorder="1" applyAlignment="1">
      <alignment horizontal="right" vertical="center"/>
    </xf>
    <xf numFmtId="164" fontId="12" fillId="35" borderId="10" xfId="0" applyNumberFormat="1" applyFont="1" applyFill="1" applyBorder="1" applyAlignment="1">
      <alignment horizontal="right" vertical="center"/>
    </xf>
    <xf numFmtId="0" fontId="50" fillId="0" borderId="10" xfId="52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50" fillId="35" borderId="10" xfId="52" applyFont="1" applyFill="1" applyBorder="1" applyAlignment="1">
      <alignment horizontal="left" vertical="top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indent="2"/>
    </xf>
    <xf numFmtId="164" fontId="5" fillId="35" borderId="10" xfId="0" applyNumberFormat="1" applyFont="1" applyFill="1" applyBorder="1" applyAlignment="1">
      <alignment horizontal="right" vertical="center"/>
    </xf>
    <xf numFmtId="164" fontId="6" fillId="35" borderId="10" xfId="0" applyNumberFormat="1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 indent="1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164" fontId="12" fillId="0" borderId="10" xfId="42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/>
    </xf>
    <xf numFmtId="0" fontId="50" fillId="0" borderId="10" xfId="52" applyFont="1" applyFill="1" applyBorder="1" applyAlignment="1">
      <alignment horizontal="left" vertical="top" wrapText="1"/>
      <protection/>
    </xf>
    <xf numFmtId="0" fontId="50" fillId="35" borderId="11" xfId="52" applyFont="1" applyFill="1" applyBorder="1" applyAlignment="1">
      <alignment horizontal="left" vertical="top" wrapText="1"/>
      <protection/>
    </xf>
    <xf numFmtId="0" fontId="12" fillId="34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 inden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4" fontId="7" fillId="36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13" fillId="34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12" fillId="35" borderId="10" xfId="0" applyNumberFormat="1" applyFont="1" applyFill="1" applyBorder="1" applyAlignment="1">
      <alignment horizontal="right" vertical="center"/>
    </xf>
    <xf numFmtId="4" fontId="13" fillId="37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37" borderId="10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16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2.875" style="1" customWidth="1"/>
    <col min="3" max="5" width="14.625" style="1" customWidth="1"/>
    <col min="6" max="6" width="13.875" style="1" customWidth="1"/>
    <col min="7" max="7" width="13.00390625" style="1" customWidth="1"/>
    <col min="8" max="8" width="11.875" style="1" customWidth="1"/>
    <col min="9" max="9" width="13.00390625" style="1" customWidth="1"/>
    <col min="10" max="10" width="12.75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15">
      <c r="B1" s="101" t="s">
        <v>114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0.75" customHeight="1"/>
    <row r="3" spans="2:13" ht="63.75" customHeight="1">
      <c r="B3" s="102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102"/>
      <c r="C4" s="97" t="s">
        <v>81</v>
      </c>
      <c r="D4" s="97"/>
      <c r="E4" s="97"/>
      <c r="F4" s="97"/>
      <c r="G4" s="97"/>
      <c r="H4" s="97"/>
      <c r="I4" s="97"/>
      <c r="J4" s="97"/>
      <c r="K4" s="97" t="s">
        <v>4</v>
      </c>
      <c r="L4" s="97"/>
      <c r="M4" s="97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12.75">
      <c r="B6" s="82" t="s">
        <v>5</v>
      </c>
      <c r="C6" s="49">
        <f>122894912236.12</f>
        <v>122894912236.12</v>
      </c>
      <c r="D6" s="49">
        <f>60408595275.3</f>
        <v>60408595275.3</v>
      </c>
      <c r="E6" s="49">
        <f>57891117601.66</f>
        <v>57891117601.66</v>
      </c>
      <c r="F6" s="49">
        <f>1370208878.8</f>
        <v>1370208878.8</v>
      </c>
      <c r="G6" s="49">
        <f>316588519.76</f>
        <v>316588519.76</v>
      </c>
      <c r="H6" s="49">
        <f>42907077.19</f>
        <v>42907077.19</v>
      </c>
      <c r="I6" s="49">
        <f>98516323.99</f>
        <v>98516323.99</v>
      </c>
      <c r="J6" s="49">
        <f>341179.41</f>
        <v>341179.41</v>
      </c>
      <c r="K6" s="50">
        <f aca="true" t="shared" si="0" ref="K6:K49">IF($D$6=0,"",100*$D6/$D$6)</f>
        <v>100</v>
      </c>
      <c r="L6" s="50">
        <f aca="true" t="shared" si="1" ref="L6:L45">IF(C6=0,"",100*D6/C6)</f>
        <v>49.15467546714707</v>
      </c>
      <c r="M6" s="50"/>
    </row>
    <row r="7" spans="2:13" ht="25.5" customHeight="1">
      <c r="B7" s="82" t="s">
        <v>64</v>
      </c>
      <c r="C7" s="25">
        <f>C6-C22-C40</f>
        <v>51881942405.91999</v>
      </c>
      <c r="D7" s="25">
        <f>D6-D22-D40</f>
        <v>26015253797.730003</v>
      </c>
      <c r="E7" s="25">
        <f>E6-E22-E40</f>
        <v>25007615678.949997</v>
      </c>
      <c r="F7" s="25">
        <f>F6</f>
        <v>1370208878.8</v>
      </c>
      <c r="G7" s="25">
        <f>G6</f>
        <v>316588519.76</v>
      </c>
      <c r="H7" s="25">
        <f>H6</f>
        <v>42907077.19</v>
      </c>
      <c r="I7" s="25">
        <f>I6</f>
        <v>98516323.99</v>
      </c>
      <c r="J7" s="25">
        <f>J6</f>
        <v>341179.41</v>
      </c>
      <c r="K7" s="33">
        <f t="shared" si="0"/>
        <v>43.06548377622543</v>
      </c>
      <c r="L7" s="33">
        <f t="shared" si="1"/>
        <v>50.14317620221084</v>
      </c>
      <c r="M7" s="33">
        <f aca="true" t="shared" si="2" ref="M7:M21">IF($D$7=0,"",100*$D7/$D$7)</f>
        <v>100</v>
      </c>
    </row>
    <row r="8" spans="2:13" ht="22.5" customHeight="1">
      <c r="B8" s="32" t="s">
        <v>35</v>
      </c>
      <c r="C8" s="24">
        <f>870838499.77</f>
        <v>870838499.77</v>
      </c>
      <c r="D8" s="24">
        <f>507832041.11</f>
        <v>507832041.11</v>
      </c>
      <c r="E8" s="24">
        <f>543469275.98</f>
        <v>543469275.98</v>
      </c>
      <c r="F8" s="24">
        <f>0</f>
        <v>0</v>
      </c>
      <c r="G8" s="24">
        <f>0</f>
        <v>0</v>
      </c>
      <c r="H8" s="24">
        <f>0</f>
        <v>0</v>
      </c>
      <c r="I8" s="24">
        <f>0</f>
        <v>0</v>
      </c>
      <c r="J8" s="24">
        <f>0</f>
        <v>0</v>
      </c>
      <c r="K8" s="34">
        <f t="shared" si="0"/>
        <v>0.8406618938839048</v>
      </c>
      <c r="L8" s="34">
        <f t="shared" si="1"/>
        <v>58.315295114320875</v>
      </c>
      <c r="M8" s="34">
        <f t="shared" si="2"/>
        <v>1.9520549176972148</v>
      </c>
    </row>
    <row r="9" spans="2:13" ht="22.5" customHeight="1">
      <c r="B9" s="32" t="s">
        <v>19</v>
      </c>
      <c r="C9" s="24">
        <f>19607281211.03</f>
        <v>19607281211.03</v>
      </c>
      <c r="D9" s="24">
        <f>9464816955</f>
        <v>9464816955</v>
      </c>
      <c r="E9" s="24">
        <f>8435764386.2</f>
        <v>8435764386.2</v>
      </c>
      <c r="F9" s="24">
        <f>0</f>
        <v>0</v>
      </c>
      <c r="G9" s="24">
        <f>0</f>
        <v>0</v>
      </c>
      <c r="H9" s="24">
        <f>0</f>
        <v>0</v>
      </c>
      <c r="I9" s="24">
        <f>0</f>
        <v>0</v>
      </c>
      <c r="J9" s="24">
        <f>0</f>
        <v>0</v>
      </c>
      <c r="K9" s="34">
        <f t="shared" si="0"/>
        <v>15.667997098535405</v>
      </c>
      <c r="L9" s="34">
        <f t="shared" si="1"/>
        <v>48.271949859502215</v>
      </c>
      <c r="M9" s="34">
        <f t="shared" si="2"/>
        <v>36.381797496920306</v>
      </c>
    </row>
    <row r="10" spans="2:13" ht="13.5" customHeight="1">
      <c r="B10" s="32" t="s">
        <v>20</v>
      </c>
      <c r="C10" s="24">
        <f>1504352223.89</f>
        <v>1504352223.89</v>
      </c>
      <c r="D10" s="24">
        <f>852156211.84</f>
        <v>852156211.84</v>
      </c>
      <c r="E10" s="24">
        <f>852309168.43</f>
        <v>852309168.43</v>
      </c>
      <c r="F10" s="24">
        <f>59082394.08</f>
        <v>59082394.08</v>
      </c>
      <c r="G10" s="24">
        <f>493606.2</f>
        <v>493606.2</v>
      </c>
      <c r="H10" s="24">
        <f>2308795.76</f>
        <v>2308795.76</v>
      </c>
      <c r="I10" s="24">
        <f>3348815.13</f>
        <v>3348815.13</v>
      </c>
      <c r="J10" s="24">
        <f>1192.24</f>
        <v>1192.24</v>
      </c>
      <c r="K10" s="34">
        <f t="shared" si="0"/>
        <v>1.4106539110145995</v>
      </c>
      <c r="L10" s="34">
        <f t="shared" si="1"/>
        <v>56.64605657553178</v>
      </c>
      <c r="M10" s="34">
        <f t="shared" si="2"/>
        <v>3.2756021465927656</v>
      </c>
    </row>
    <row r="11" spans="2:13" ht="13.5" customHeight="1">
      <c r="B11" s="32" t="s">
        <v>21</v>
      </c>
      <c r="C11" s="24">
        <f>13722053747.62</f>
        <v>13722053747.62</v>
      </c>
      <c r="D11" s="62">
        <f>7359984384.07</f>
        <v>7359984384.07</v>
      </c>
      <c r="E11" s="24">
        <f>7359677239.59</f>
        <v>7359677239.59</v>
      </c>
      <c r="F11" s="24">
        <f>973703475.64</f>
        <v>973703475.64</v>
      </c>
      <c r="G11" s="24">
        <f>312817768.15</f>
        <v>312817768.15</v>
      </c>
      <c r="H11" s="24">
        <f>29846382.19</f>
        <v>29846382.19</v>
      </c>
      <c r="I11" s="24">
        <f>79096833.13</f>
        <v>79096833.13</v>
      </c>
      <c r="J11" s="24">
        <f>228313.03</f>
        <v>228313.03</v>
      </c>
      <c r="K11" s="34">
        <f t="shared" si="0"/>
        <v>12.183670801362544</v>
      </c>
      <c r="L11" s="34">
        <f t="shared" si="1"/>
        <v>53.63617224824338</v>
      </c>
      <c r="M11" s="34">
        <f t="shared" si="2"/>
        <v>28.291034334295848</v>
      </c>
    </row>
    <row r="12" spans="2:13" ht="13.5" customHeight="1">
      <c r="B12" s="32" t="s">
        <v>22</v>
      </c>
      <c r="C12" s="24">
        <f>293161611.02</f>
        <v>293161611.02</v>
      </c>
      <c r="D12" s="62">
        <f>163854792.42</f>
        <v>163854792.42</v>
      </c>
      <c r="E12" s="24">
        <f>163660618.07</f>
        <v>163660618.07</v>
      </c>
      <c r="F12" s="24">
        <f>1313450.9</f>
        <v>1313450.9</v>
      </c>
      <c r="G12" s="24">
        <f>512261.78</f>
        <v>512261.78</v>
      </c>
      <c r="H12" s="24">
        <f>107771.69</f>
        <v>107771.69</v>
      </c>
      <c r="I12" s="24">
        <f>48630.67</f>
        <v>48630.67</v>
      </c>
      <c r="J12" s="24">
        <f>36.12</f>
        <v>36.12</v>
      </c>
      <c r="K12" s="34">
        <f t="shared" si="0"/>
        <v>0.27124416926641776</v>
      </c>
      <c r="L12" s="34">
        <f t="shared" si="1"/>
        <v>55.89230863137177</v>
      </c>
      <c r="M12" s="34">
        <f t="shared" si="2"/>
        <v>0.629841221976844</v>
      </c>
    </row>
    <row r="13" spans="2:13" ht="22.5" customHeight="1">
      <c r="B13" s="32" t="s">
        <v>23</v>
      </c>
      <c r="C13" s="24">
        <f>767145663.57</f>
        <v>767145663.57</v>
      </c>
      <c r="D13" s="62">
        <f>406804444.9</f>
        <v>406804444.9</v>
      </c>
      <c r="E13" s="24">
        <f>406783351.46</f>
        <v>406783351.46</v>
      </c>
      <c r="F13" s="24">
        <f>328115644.94</f>
        <v>328115644.94</v>
      </c>
      <c r="G13" s="24">
        <f>1020526.85</f>
        <v>1020526.85</v>
      </c>
      <c r="H13" s="24">
        <f>1535972.2</f>
        <v>1535972.2</v>
      </c>
      <c r="I13" s="24">
        <f>6210293.82</f>
        <v>6210293.82</v>
      </c>
      <c r="J13" s="24">
        <f>17774.47</f>
        <v>17774.47</v>
      </c>
      <c r="K13" s="34">
        <f t="shared" si="0"/>
        <v>0.6734214610455196</v>
      </c>
      <c r="L13" s="34">
        <f t="shared" si="1"/>
        <v>53.028318377880026</v>
      </c>
      <c r="M13" s="34">
        <f t="shared" si="2"/>
        <v>1.5637150729449978</v>
      </c>
    </row>
    <row r="14" spans="2:13" ht="33" customHeight="1">
      <c r="B14" s="32" t="s">
        <v>46</v>
      </c>
      <c r="C14" s="24">
        <f>38389862.92</f>
        <v>38389862.92</v>
      </c>
      <c r="D14" s="62">
        <f>14970741.89</f>
        <v>14970741.89</v>
      </c>
      <c r="E14" s="24">
        <f>14969576.57</f>
        <v>14969576.57</v>
      </c>
      <c r="F14" s="24">
        <f>0</f>
        <v>0</v>
      </c>
      <c r="G14" s="24">
        <f>0</f>
        <v>0</v>
      </c>
      <c r="H14" s="24">
        <f>8885.32</f>
        <v>8885.32</v>
      </c>
      <c r="I14" s="24">
        <f>41428.87</f>
        <v>41428.87</v>
      </c>
      <c r="J14" s="24">
        <f>0</f>
        <v>0</v>
      </c>
      <c r="K14" s="34">
        <f t="shared" si="0"/>
        <v>0.02478246981538614</v>
      </c>
      <c r="L14" s="34">
        <f t="shared" si="1"/>
        <v>38.99660157994646</v>
      </c>
      <c r="M14" s="34">
        <f t="shared" si="2"/>
        <v>0.05754601514326296</v>
      </c>
    </row>
    <row r="15" spans="2:13" ht="22.5" customHeight="1">
      <c r="B15" s="32" t="s">
        <v>28</v>
      </c>
      <c r="C15" s="24">
        <f>106224434.72</f>
        <v>106224434.72</v>
      </c>
      <c r="D15" s="62">
        <f>61169295.98</f>
        <v>61169295.98</v>
      </c>
      <c r="E15" s="24">
        <f>60049915.19</f>
        <v>60049915.19</v>
      </c>
      <c r="F15" s="24">
        <f>0</f>
        <v>0</v>
      </c>
      <c r="G15" s="24">
        <f>19644</f>
        <v>19644</v>
      </c>
      <c r="H15" s="24">
        <f>2339024.74</f>
        <v>2339024.74</v>
      </c>
      <c r="I15" s="24">
        <f>2961224.66</f>
        <v>2961224.66</v>
      </c>
      <c r="J15" s="24">
        <f>0</f>
        <v>0</v>
      </c>
      <c r="K15" s="34">
        <f t="shared" si="0"/>
        <v>0.10125925905284382</v>
      </c>
      <c r="L15" s="34">
        <f t="shared" si="1"/>
        <v>57.58495786891018</v>
      </c>
      <c r="M15" s="34">
        <f t="shared" si="2"/>
        <v>0.2351285767019402</v>
      </c>
    </row>
    <row r="16" spans="2:13" ht="22.5" customHeight="1">
      <c r="B16" s="32" t="s">
        <v>29</v>
      </c>
      <c r="C16" s="24">
        <f>896649612.05</f>
        <v>896649612.05</v>
      </c>
      <c r="D16" s="62">
        <f>581931538.35</f>
        <v>581931538.35</v>
      </c>
      <c r="E16" s="24">
        <f>578406251.9</f>
        <v>578406251.9</v>
      </c>
      <c r="F16" s="24">
        <f>0</f>
        <v>0</v>
      </c>
      <c r="G16" s="24">
        <f>0</f>
        <v>0</v>
      </c>
      <c r="H16" s="24">
        <f>70401.68</f>
        <v>70401.68</v>
      </c>
      <c r="I16" s="24">
        <f>369608.88</f>
        <v>369608.88</v>
      </c>
      <c r="J16" s="24">
        <f>0</f>
        <v>0</v>
      </c>
      <c r="K16" s="34">
        <f t="shared" si="0"/>
        <v>0.9633257249203764</v>
      </c>
      <c r="L16" s="34">
        <f t="shared" si="1"/>
        <v>64.90066248057995</v>
      </c>
      <c r="M16" s="34">
        <f t="shared" si="2"/>
        <v>2.236885878087329</v>
      </c>
    </row>
    <row r="17" spans="2:13" ht="13.5" customHeight="1">
      <c r="B17" s="32" t="s">
        <v>30</v>
      </c>
      <c r="C17" s="24">
        <f>171789909.79</f>
        <v>171789909.79</v>
      </c>
      <c r="D17" s="62">
        <f>90342319.05</f>
        <v>90342319.05</v>
      </c>
      <c r="E17" s="24">
        <f>90357520.66</f>
        <v>90357520.66</v>
      </c>
      <c r="F17" s="24">
        <f>0</f>
        <v>0</v>
      </c>
      <c r="G17" s="24">
        <f>0</f>
        <v>0</v>
      </c>
      <c r="H17" s="24">
        <f>770</f>
        <v>770</v>
      </c>
      <c r="I17" s="24">
        <f>3032</f>
        <v>3032</v>
      </c>
      <c r="J17" s="24">
        <f>0</f>
        <v>0</v>
      </c>
      <c r="K17" s="34">
        <f t="shared" si="0"/>
        <v>0.14955209376792009</v>
      </c>
      <c r="L17" s="34">
        <f t="shared" si="1"/>
        <v>52.5888389838708</v>
      </c>
      <c r="M17" s="34">
        <f t="shared" si="2"/>
        <v>0.34726672187177715</v>
      </c>
    </row>
    <row r="18" spans="2:13" ht="22.5" customHeight="1">
      <c r="B18" s="32" t="s">
        <v>31</v>
      </c>
      <c r="C18" s="24">
        <f>372220654.23</f>
        <v>372220654.23</v>
      </c>
      <c r="D18" s="62">
        <f>192829370.92</f>
        <v>192829370.92</v>
      </c>
      <c r="E18" s="24">
        <f>192818251.52</f>
        <v>192818251.52</v>
      </c>
      <c r="F18" s="24">
        <f>0</f>
        <v>0</v>
      </c>
      <c r="G18" s="24">
        <f>0</f>
        <v>0</v>
      </c>
      <c r="H18" s="24">
        <f>0</f>
        <v>0</v>
      </c>
      <c r="I18" s="24">
        <f>325492.35</f>
        <v>325492.35</v>
      </c>
      <c r="J18" s="24">
        <f>0</f>
        <v>0</v>
      </c>
      <c r="K18" s="34">
        <f t="shared" si="0"/>
        <v>0.3192085001169436</v>
      </c>
      <c r="L18" s="34">
        <f t="shared" si="1"/>
        <v>51.80512385023326</v>
      </c>
      <c r="M18" s="34">
        <f t="shared" si="2"/>
        <v>0.7412165663239679</v>
      </c>
    </row>
    <row r="19" spans="2:13" ht="13.5" customHeight="1">
      <c r="B19" s="32" t="s">
        <v>32</v>
      </c>
      <c r="C19" s="24">
        <f>126310340.12</f>
        <v>126310340.12</v>
      </c>
      <c r="D19" s="62">
        <f>51032448</f>
        <v>51032448</v>
      </c>
      <c r="E19" s="24">
        <f>51013163.1</f>
        <v>51013163.1</v>
      </c>
      <c r="F19" s="24">
        <f>929371.28</f>
        <v>929371.28</v>
      </c>
      <c r="G19" s="24">
        <f>25537.04</f>
        <v>25537.04</v>
      </c>
      <c r="H19" s="24">
        <f>11836.34</f>
        <v>11836.34</v>
      </c>
      <c r="I19" s="24">
        <f>5409.89</f>
        <v>5409.89</v>
      </c>
      <c r="J19" s="24">
        <f>0</f>
        <v>0</v>
      </c>
      <c r="K19" s="34">
        <f t="shared" si="0"/>
        <v>0.08447878611881289</v>
      </c>
      <c r="L19" s="34">
        <f t="shared" si="1"/>
        <v>40.40243098982798</v>
      </c>
      <c r="M19" s="34">
        <f t="shared" si="2"/>
        <v>0.1961635600282051</v>
      </c>
    </row>
    <row r="20" spans="2:13" ht="13.5" customHeight="1">
      <c r="B20" s="32" t="s">
        <v>24</v>
      </c>
      <c r="C20" s="24">
        <f>3819584419.63</f>
        <v>3819584419.63</v>
      </c>
      <c r="D20" s="62">
        <f>1483814603.92</f>
        <v>1483814603.92</v>
      </c>
      <c r="E20" s="24">
        <f>1482044971.14</f>
        <v>1482044971.14</v>
      </c>
      <c r="F20" s="24">
        <f>0</f>
        <v>0</v>
      </c>
      <c r="G20" s="24">
        <f>160.73</f>
        <v>160.73</v>
      </c>
      <c r="H20" s="24">
        <f>0</f>
        <v>0</v>
      </c>
      <c r="I20" s="24">
        <f>156011.8</f>
        <v>156011.8</v>
      </c>
      <c r="J20" s="24">
        <f>80110</f>
        <v>80110</v>
      </c>
      <c r="K20" s="34">
        <f t="shared" si="0"/>
        <v>2.45629714969834</v>
      </c>
      <c r="L20" s="34">
        <f t="shared" si="1"/>
        <v>38.84754048880888</v>
      </c>
      <c r="M20" s="34">
        <f t="shared" si="2"/>
        <v>5.70363301260383</v>
      </c>
    </row>
    <row r="21" spans="2:13" ht="13.5" customHeight="1">
      <c r="B21" s="32" t="s">
        <v>25</v>
      </c>
      <c r="C21" s="24">
        <f>C7-C8-C9-C10-C11-C12-C13-C14-C15-C16-C17-C18-C19-C20</f>
        <v>9585940215.559994</v>
      </c>
      <c r="D21" s="24">
        <f aca="true" t="shared" si="3" ref="D21:J21">D7-D8-D9-D10-D11-D12-D13-D14-D15-D16-D17-D18-D19-D20</f>
        <v>4783714650.280003</v>
      </c>
      <c r="E21" s="24">
        <f t="shared" si="3"/>
        <v>4776291989.139997</v>
      </c>
      <c r="F21" s="24">
        <f t="shared" si="3"/>
        <v>7064541.960000069</v>
      </c>
      <c r="G21" s="24">
        <f t="shared" si="3"/>
        <v>1699015.0100000259</v>
      </c>
      <c r="H21" s="24">
        <f t="shared" si="3"/>
        <v>6677237.27</v>
      </c>
      <c r="I21" s="24">
        <f t="shared" si="3"/>
        <v>5949542.790000006</v>
      </c>
      <c r="J21" s="24">
        <f t="shared" si="3"/>
        <v>13753.549999999988</v>
      </c>
      <c r="K21" s="34">
        <f t="shared" si="0"/>
        <v>7.918930457626414</v>
      </c>
      <c r="L21" s="34">
        <f t="shared" si="1"/>
        <v>49.90344757747424</v>
      </c>
      <c r="M21" s="34">
        <f t="shared" si="2"/>
        <v>18.388114478811705</v>
      </c>
    </row>
    <row r="22" spans="2:13" ht="26.25" customHeight="1">
      <c r="B22" s="82" t="s">
        <v>72</v>
      </c>
      <c r="C22" s="49">
        <f>C23+C36+C38</f>
        <v>42864430469.630005</v>
      </c>
      <c r="D22" s="49">
        <f>D23+D36+D38</f>
        <v>17956231757.57</v>
      </c>
      <c r="E22" s="49">
        <f>E23+E36+E38</f>
        <v>17941650368.99</v>
      </c>
      <c r="F22" s="41" t="s">
        <v>63</v>
      </c>
      <c r="G22" s="41" t="s">
        <v>63</v>
      </c>
      <c r="H22" s="41" t="s">
        <v>63</v>
      </c>
      <c r="I22" s="41" t="s">
        <v>63</v>
      </c>
      <c r="J22" s="41" t="s">
        <v>63</v>
      </c>
      <c r="K22" s="50">
        <f t="shared" si="0"/>
        <v>29.724630535999207</v>
      </c>
      <c r="L22" s="50">
        <f t="shared" si="1"/>
        <v>41.890750817959</v>
      </c>
      <c r="M22" s="28"/>
    </row>
    <row r="23" spans="2:13" ht="25.5" customHeight="1">
      <c r="B23" s="82" t="s">
        <v>65</v>
      </c>
      <c r="C23" s="49">
        <f>C24+C26+C28+C30+C32+C34</f>
        <v>32380851884.7</v>
      </c>
      <c r="D23" s="49">
        <f>D24+D26+D28+D30+D32+D34</f>
        <v>16180551442.830002</v>
      </c>
      <c r="E23" s="49">
        <f>E24+E26+E28+E30+E32+E34</f>
        <v>16174242814.790003</v>
      </c>
      <c r="F23" s="41" t="s">
        <v>63</v>
      </c>
      <c r="G23" s="41" t="s">
        <v>63</v>
      </c>
      <c r="H23" s="41" t="s">
        <v>63</v>
      </c>
      <c r="I23" s="41" t="s">
        <v>63</v>
      </c>
      <c r="J23" s="41" t="s">
        <v>63</v>
      </c>
      <c r="K23" s="50">
        <f t="shared" si="0"/>
        <v>26.78518076623103</v>
      </c>
      <c r="L23" s="50">
        <f t="shared" si="1"/>
        <v>49.96950512742791</v>
      </c>
      <c r="M23" s="28"/>
    </row>
    <row r="24" spans="2:13" ht="22.5" customHeight="1">
      <c r="B24" s="32" t="s">
        <v>9</v>
      </c>
      <c r="C24" s="24">
        <f>27160337274.62</f>
        <v>27160337274.62</v>
      </c>
      <c r="D24" s="24">
        <f>14290333635.08</f>
        <v>14290333635.08</v>
      </c>
      <c r="E24" s="24">
        <f>14285842138.95</f>
        <v>14285842138.95</v>
      </c>
      <c r="F24" s="24" t="s">
        <v>63</v>
      </c>
      <c r="G24" s="24" t="s">
        <v>63</v>
      </c>
      <c r="H24" s="24" t="s">
        <v>63</v>
      </c>
      <c r="I24" s="24" t="s">
        <v>63</v>
      </c>
      <c r="J24" s="24" t="s">
        <v>63</v>
      </c>
      <c r="K24" s="34">
        <f t="shared" si="0"/>
        <v>23.65612636737319</v>
      </c>
      <c r="L24" s="34">
        <f t="shared" si="1"/>
        <v>52.61471347203636</v>
      </c>
      <c r="M24" s="28"/>
    </row>
    <row r="25" spans="2:13" ht="13.5" customHeight="1">
      <c r="B25" s="63" t="s">
        <v>6</v>
      </c>
      <c r="C25" s="24">
        <f>10281089.78</f>
        <v>10281089.78</v>
      </c>
      <c r="D25" s="24">
        <f>1191362</f>
        <v>1191362</v>
      </c>
      <c r="E25" s="24">
        <f>1191362</f>
        <v>1191362</v>
      </c>
      <c r="F25" s="24" t="s">
        <v>63</v>
      </c>
      <c r="G25" s="24" t="s">
        <v>63</v>
      </c>
      <c r="H25" s="24" t="s">
        <v>63</v>
      </c>
      <c r="I25" s="24" t="s">
        <v>63</v>
      </c>
      <c r="J25" s="24" t="s">
        <v>63</v>
      </c>
      <c r="K25" s="34">
        <f t="shared" si="0"/>
        <v>0.0019721729905663385</v>
      </c>
      <c r="L25" s="34">
        <f t="shared" si="1"/>
        <v>11.587896083911058</v>
      </c>
      <c r="M25" s="28"/>
    </row>
    <row r="26" spans="2:13" ht="13.5" customHeight="1">
      <c r="B26" s="32" t="s">
        <v>7</v>
      </c>
      <c r="C26" s="24">
        <f>3997024151.69</f>
        <v>3997024151.69</v>
      </c>
      <c r="D26" s="24">
        <f>1598125231.36</f>
        <v>1598125231.36</v>
      </c>
      <c r="E26" s="24">
        <f>1596518544.29</f>
        <v>1596518544.29</v>
      </c>
      <c r="F26" s="24" t="s">
        <v>63</v>
      </c>
      <c r="G26" s="24" t="s">
        <v>63</v>
      </c>
      <c r="H26" s="24" t="s">
        <v>63</v>
      </c>
      <c r="I26" s="24" t="s">
        <v>63</v>
      </c>
      <c r="J26" s="24" t="s">
        <v>63</v>
      </c>
      <c r="K26" s="34">
        <f t="shared" si="0"/>
        <v>2.645526226982876</v>
      </c>
      <c r="L26" s="34">
        <f t="shared" si="1"/>
        <v>39.98287652788611</v>
      </c>
      <c r="M26" s="28"/>
    </row>
    <row r="27" spans="2:13" ht="13.5" customHeight="1">
      <c r="B27" s="63" t="s">
        <v>6</v>
      </c>
      <c r="C27" s="24">
        <f>1128739986.59</f>
        <v>1128739986.59</v>
      </c>
      <c r="D27" s="24">
        <f>46778993.36</f>
        <v>46778993.36</v>
      </c>
      <c r="E27" s="24">
        <f>46777996.57</f>
        <v>46777996.57</v>
      </c>
      <c r="F27" s="24" t="s">
        <v>63</v>
      </c>
      <c r="G27" s="24" t="s">
        <v>63</v>
      </c>
      <c r="H27" s="24" t="s">
        <v>63</v>
      </c>
      <c r="I27" s="24" t="s">
        <v>63</v>
      </c>
      <c r="J27" s="24" t="s">
        <v>63</v>
      </c>
      <c r="K27" s="34">
        <f t="shared" si="0"/>
        <v>0.07743764467095147</v>
      </c>
      <c r="L27" s="34">
        <f t="shared" si="1"/>
        <v>4.144355114176695</v>
      </c>
      <c r="M27" s="28"/>
    </row>
    <row r="28" spans="2:13" ht="33" customHeight="1">
      <c r="B28" s="32" t="s">
        <v>10</v>
      </c>
      <c r="C28" s="24">
        <f>20904877.31</f>
        <v>20904877.31</v>
      </c>
      <c r="D28" s="24">
        <f>7289551.12</f>
        <v>7289551.12</v>
      </c>
      <c r="E28" s="24">
        <f>7286063.28</f>
        <v>7286063.28</v>
      </c>
      <c r="F28" s="24" t="s">
        <v>63</v>
      </c>
      <c r="G28" s="24" t="s">
        <v>63</v>
      </c>
      <c r="H28" s="24" t="s">
        <v>63</v>
      </c>
      <c r="I28" s="24" t="s">
        <v>63</v>
      </c>
      <c r="J28" s="24" t="s">
        <v>63</v>
      </c>
      <c r="K28" s="34">
        <f t="shared" si="0"/>
        <v>0.01206707602913019</v>
      </c>
      <c r="L28" s="34">
        <f t="shared" si="1"/>
        <v>34.87009759446419</v>
      </c>
      <c r="M28" s="28"/>
    </row>
    <row r="29" spans="2:13" ht="13.5" customHeight="1">
      <c r="B29" s="63" t="s">
        <v>6</v>
      </c>
      <c r="C29" s="24">
        <f>7659996</f>
        <v>7659996</v>
      </c>
      <c r="D29" s="24">
        <f>272826.15</f>
        <v>272826.15</v>
      </c>
      <c r="E29" s="24">
        <f>272826.15</f>
        <v>272826.15</v>
      </c>
      <c r="F29" s="24" t="s">
        <v>63</v>
      </c>
      <c r="G29" s="24" t="s">
        <v>63</v>
      </c>
      <c r="H29" s="24" t="s">
        <v>63</v>
      </c>
      <c r="I29" s="24" t="s">
        <v>63</v>
      </c>
      <c r="J29" s="24" t="s">
        <v>63</v>
      </c>
      <c r="K29" s="34">
        <f t="shared" si="0"/>
        <v>0.00045163465357313774</v>
      </c>
      <c r="L29" s="34">
        <f t="shared" si="1"/>
        <v>3.5617009460579356</v>
      </c>
      <c r="M29" s="28"/>
    </row>
    <row r="30" spans="2:13" ht="33.75">
      <c r="B30" s="32" t="s">
        <v>11</v>
      </c>
      <c r="C30" s="24">
        <f>592804199.29</f>
        <v>592804199.29</v>
      </c>
      <c r="D30" s="24">
        <f>151825240.55</f>
        <v>151825240.55</v>
      </c>
      <c r="E30" s="24">
        <f>151803649.37</f>
        <v>151803649.37</v>
      </c>
      <c r="F30" s="24" t="s">
        <v>63</v>
      </c>
      <c r="G30" s="24" t="s">
        <v>63</v>
      </c>
      <c r="H30" s="24" t="s">
        <v>63</v>
      </c>
      <c r="I30" s="24" t="s">
        <v>63</v>
      </c>
      <c r="J30" s="24" t="s">
        <v>63</v>
      </c>
      <c r="K30" s="34">
        <f t="shared" si="0"/>
        <v>0.2513305264889658</v>
      </c>
      <c r="L30" s="34">
        <f t="shared" si="1"/>
        <v>25.61136387560019</v>
      </c>
      <c r="M30" s="28"/>
    </row>
    <row r="31" spans="2:13" ht="12.75">
      <c r="B31" s="63" t="s">
        <v>6</v>
      </c>
      <c r="C31" s="24">
        <f>327263111.42</f>
        <v>327263111.42</v>
      </c>
      <c r="D31" s="24">
        <f>25428801.91</f>
        <v>25428801.91</v>
      </c>
      <c r="E31" s="24">
        <f>25496911.41</f>
        <v>25496911.41</v>
      </c>
      <c r="F31" s="24" t="s">
        <v>63</v>
      </c>
      <c r="G31" s="24" t="s">
        <v>63</v>
      </c>
      <c r="H31" s="24" t="s">
        <v>63</v>
      </c>
      <c r="I31" s="24" t="s">
        <v>63</v>
      </c>
      <c r="J31" s="24" t="s">
        <v>63</v>
      </c>
      <c r="K31" s="34">
        <f t="shared" si="0"/>
        <v>0.042094675094021566</v>
      </c>
      <c r="L31" s="34">
        <f t="shared" si="1"/>
        <v>7.770139995205696</v>
      </c>
      <c r="M31" s="28"/>
    </row>
    <row r="32" spans="2:13" ht="45">
      <c r="B32" s="32" t="s">
        <v>82</v>
      </c>
      <c r="C32" s="24">
        <f>303129121.65</f>
        <v>303129121.65</v>
      </c>
      <c r="D32" s="24">
        <f>82376723.44</f>
        <v>82376723.44</v>
      </c>
      <c r="E32" s="24">
        <f>82178847.25</f>
        <v>82178847.25</v>
      </c>
      <c r="F32" s="24" t="s">
        <v>63</v>
      </c>
      <c r="G32" s="24" t="s">
        <v>63</v>
      </c>
      <c r="H32" s="24" t="s">
        <v>63</v>
      </c>
      <c r="I32" s="24" t="s">
        <v>63</v>
      </c>
      <c r="J32" s="24" t="s">
        <v>63</v>
      </c>
      <c r="K32" s="34">
        <f t="shared" si="0"/>
        <v>0.13636589803915267</v>
      </c>
      <c r="L32" s="34">
        <f t="shared" si="1"/>
        <v>27.17545677947568</v>
      </c>
      <c r="M32" s="28"/>
    </row>
    <row r="33" spans="2:13" ht="12.75">
      <c r="B33" s="63" t="s">
        <v>6</v>
      </c>
      <c r="C33" s="24">
        <f>270244378.28</f>
        <v>270244378.28</v>
      </c>
      <c r="D33" s="24">
        <f>68672365.72</f>
        <v>68672365.72</v>
      </c>
      <c r="E33" s="24">
        <f>68492365.72</f>
        <v>68492365.72</v>
      </c>
      <c r="F33" s="24" t="s">
        <v>63</v>
      </c>
      <c r="G33" s="24" t="s">
        <v>63</v>
      </c>
      <c r="H33" s="24" t="s">
        <v>63</v>
      </c>
      <c r="I33" s="24" t="s">
        <v>63</v>
      </c>
      <c r="J33" s="24" t="s">
        <v>63</v>
      </c>
      <c r="K33" s="34">
        <f t="shared" si="0"/>
        <v>0.11367979243192054</v>
      </c>
      <c r="L33" s="34">
        <f t="shared" si="1"/>
        <v>25.411209719540814</v>
      </c>
      <c r="M33" s="28"/>
    </row>
    <row r="34" spans="2:13" ht="22.5">
      <c r="B34" s="32" t="s">
        <v>8</v>
      </c>
      <c r="C34" s="24">
        <f>306652260.14</f>
        <v>306652260.14</v>
      </c>
      <c r="D34" s="24">
        <f>50601061.28</f>
        <v>50601061.28</v>
      </c>
      <c r="E34" s="24">
        <f>50613571.65</f>
        <v>50613571.65</v>
      </c>
      <c r="F34" s="24" t="s">
        <v>63</v>
      </c>
      <c r="G34" s="24" t="s">
        <v>63</v>
      </c>
      <c r="H34" s="24" t="s">
        <v>63</v>
      </c>
      <c r="I34" s="24" t="s">
        <v>63</v>
      </c>
      <c r="J34" s="24" t="s">
        <v>63</v>
      </c>
      <c r="K34" s="34">
        <f t="shared" si="0"/>
        <v>0.08376467131770877</v>
      </c>
      <c r="L34" s="34">
        <f t="shared" si="1"/>
        <v>16.501121256011103</v>
      </c>
      <c r="M34" s="28"/>
    </row>
    <row r="35" spans="2:13" ht="12.75">
      <c r="B35" s="31" t="s">
        <v>6</v>
      </c>
      <c r="C35" s="22">
        <f>278909414.82</f>
        <v>278909414.82</v>
      </c>
      <c r="D35" s="22">
        <f>33677705.29</f>
        <v>33677705.29</v>
      </c>
      <c r="E35" s="22">
        <f>33705725.29</f>
        <v>33705725.29</v>
      </c>
      <c r="F35" s="24" t="s">
        <v>63</v>
      </c>
      <c r="G35" s="24" t="s">
        <v>63</v>
      </c>
      <c r="H35" s="24" t="s">
        <v>63</v>
      </c>
      <c r="I35" s="24" t="s">
        <v>63</v>
      </c>
      <c r="J35" s="24" t="s">
        <v>63</v>
      </c>
      <c r="K35" s="34">
        <f t="shared" si="0"/>
        <v>0.05574985668268008</v>
      </c>
      <c r="L35" s="34">
        <f t="shared" si="1"/>
        <v>12.074782528131799</v>
      </c>
      <c r="M35" s="28"/>
    </row>
    <row r="36" spans="2:13" ht="12.75">
      <c r="B36" s="82" t="s">
        <v>110</v>
      </c>
      <c r="C36" s="49">
        <f>2091711956.63</f>
        <v>2091711956.63</v>
      </c>
      <c r="D36" s="49">
        <f>322813906.32</f>
        <v>322813906.32</v>
      </c>
      <c r="E36" s="49">
        <f>322666098.05</f>
        <v>322666098.05</v>
      </c>
      <c r="F36" s="41" t="s">
        <v>63</v>
      </c>
      <c r="G36" s="41" t="s">
        <v>63</v>
      </c>
      <c r="H36" s="41" t="s">
        <v>63</v>
      </c>
      <c r="I36" s="41" t="s">
        <v>63</v>
      </c>
      <c r="J36" s="41" t="s">
        <v>63</v>
      </c>
      <c r="K36" s="50">
        <f t="shared" si="0"/>
        <v>0.5343840638055573</v>
      </c>
      <c r="L36" s="50">
        <f t="shared" si="1"/>
        <v>15.433000002547773</v>
      </c>
      <c r="M36" s="28"/>
    </row>
    <row r="37" spans="2:13" ht="13.5" customHeight="1">
      <c r="B37" s="31" t="s">
        <v>111</v>
      </c>
      <c r="C37" s="22">
        <f>1935531861.83</f>
        <v>1935531861.83</v>
      </c>
      <c r="D37" s="22">
        <f>246585801.49</f>
        <v>246585801.49</v>
      </c>
      <c r="E37" s="22">
        <f>246575052.62</f>
        <v>246575052.62</v>
      </c>
      <c r="F37" s="24" t="s">
        <v>63</v>
      </c>
      <c r="G37" s="24" t="s">
        <v>63</v>
      </c>
      <c r="H37" s="24" t="s">
        <v>63</v>
      </c>
      <c r="I37" s="24" t="s">
        <v>63</v>
      </c>
      <c r="J37" s="24" t="s">
        <v>63</v>
      </c>
      <c r="K37" s="34">
        <f t="shared" si="0"/>
        <v>0.408196549458293</v>
      </c>
      <c r="L37" s="34">
        <f t="shared" si="1"/>
        <v>12.739950519691208</v>
      </c>
      <c r="M37" s="28"/>
    </row>
    <row r="38" spans="2:13" ht="13.5" customHeight="1">
      <c r="B38" s="82" t="s">
        <v>112</v>
      </c>
      <c r="C38" s="41">
        <f>8391866628.3</f>
        <v>8391866628.3</v>
      </c>
      <c r="D38" s="41">
        <f>1452866408.42</f>
        <v>1452866408.42</v>
      </c>
      <c r="E38" s="41">
        <f>1444741456.15</f>
        <v>1444741456.15</v>
      </c>
      <c r="F38" s="41" t="s">
        <v>63</v>
      </c>
      <c r="G38" s="41" t="s">
        <v>63</v>
      </c>
      <c r="H38" s="41" t="s">
        <v>63</v>
      </c>
      <c r="I38" s="41" t="s">
        <v>63</v>
      </c>
      <c r="J38" s="41" t="s">
        <v>63</v>
      </c>
      <c r="K38" s="64">
        <f t="shared" si="0"/>
        <v>2.4050657059626266</v>
      </c>
      <c r="L38" s="64">
        <f t="shared" si="1"/>
        <v>17.31279193023016</v>
      </c>
      <c r="M38" s="28"/>
    </row>
    <row r="39" spans="2:13" ht="13.5" customHeight="1">
      <c r="B39" s="31" t="s">
        <v>113</v>
      </c>
      <c r="C39" s="22">
        <f>7735203684.45</f>
        <v>7735203684.45</v>
      </c>
      <c r="D39" s="22">
        <f>1170447577.84</f>
        <v>1170447577.84</v>
      </c>
      <c r="E39" s="22">
        <f>1166249810.39</f>
        <v>1166249810.39</v>
      </c>
      <c r="F39" s="24" t="s">
        <v>63</v>
      </c>
      <c r="G39" s="24" t="s">
        <v>63</v>
      </c>
      <c r="H39" s="24" t="s">
        <v>63</v>
      </c>
      <c r="I39" s="24" t="s">
        <v>63</v>
      </c>
      <c r="J39" s="24" t="s">
        <v>63</v>
      </c>
      <c r="K39" s="34">
        <f t="shared" si="0"/>
        <v>1.9375513906686967</v>
      </c>
      <c r="L39" s="34">
        <f t="shared" si="1"/>
        <v>15.131438363968858</v>
      </c>
      <c r="M39" s="28"/>
    </row>
    <row r="40" spans="2:13" s="5" customFormat="1" ht="25.5" customHeight="1">
      <c r="B40" s="82" t="s">
        <v>66</v>
      </c>
      <c r="C40" s="25">
        <f>C41+C42+C43+C44+C45</f>
        <v>28148539360.57</v>
      </c>
      <c r="D40" s="25">
        <f>D41+D42+D43+D44+D45</f>
        <v>16437109720</v>
      </c>
      <c r="E40" s="25">
        <f>E41+E42+E43+E44+E45</f>
        <v>14941851553.72</v>
      </c>
      <c r="F40" s="23" t="s">
        <v>63</v>
      </c>
      <c r="G40" s="23" t="s">
        <v>63</v>
      </c>
      <c r="H40" s="23" t="s">
        <v>63</v>
      </c>
      <c r="I40" s="23" t="s">
        <v>63</v>
      </c>
      <c r="J40" s="23" t="s">
        <v>63</v>
      </c>
      <c r="K40" s="33">
        <f t="shared" si="0"/>
        <v>27.209885687775362</v>
      </c>
      <c r="L40" s="33">
        <f t="shared" si="1"/>
        <v>58.39418347591004</v>
      </c>
      <c r="M40" s="29"/>
    </row>
    <row r="41" spans="2:13" ht="13.5" customHeight="1">
      <c r="B41" s="20" t="s">
        <v>50</v>
      </c>
      <c r="C41" s="22">
        <f>7307349147</f>
        <v>7307349147</v>
      </c>
      <c r="D41" s="22">
        <f>3653882104</f>
        <v>3653882104</v>
      </c>
      <c r="E41" s="22">
        <f>3653882104</f>
        <v>3653882104</v>
      </c>
      <c r="F41" s="24" t="s">
        <v>63</v>
      </c>
      <c r="G41" s="24" t="s">
        <v>63</v>
      </c>
      <c r="H41" s="24" t="s">
        <v>63</v>
      </c>
      <c r="I41" s="24" t="s">
        <v>63</v>
      </c>
      <c r="J41" s="24" t="s">
        <v>63</v>
      </c>
      <c r="K41" s="34">
        <f t="shared" si="0"/>
        <v>6.048612928918755</v>
      </c>
      <c r="L41" s="34">
        <f t="shared" si="1"/>
        <v>50.00284002441686</v>
      </c>
      <c r="M41" s="28"/>
    </row>
    <row r="42" spans="2:13" ht="13.5" customHeight="1">
      <c r="B42" s="32" t="s">
        <v>49</v>
      </c>
      <c r="C42" s="24">
        <f>20515013383.57</f>
        <v>20515013383.57</v>
      </c>
      <c r="D42" s="24">
        <f>12620918808</f>
        <v>12620918808</v>
      </c>
      <c r="E42" s="24">
        <f>11125660641.72</f>
        <v>11125660641.72</v>
      </c>
      <c r="F42" s="24" t="s">
        <v>63</v>
      </c>
      <c r="G42" s="24" t="s">
        <v>63</v>
      </c>
      <c r="H42" s="24" t="s">
        <v>63</v>
      </c>
      <c r="I42" s="24" t="s">
        <v>63</v>
      </c>
      <c r="J42" s="24" t="s">
        <v>63</v>
      </c>
      <c r="K42" s="34">
        <f t="shared" si="0"/>
        <v>20.89258780225348</v>
      </c>
      <c r="L42" s="34">
        <f t="shared" si="1"/>
        <v>61.520402507306194</v>
      </c>
      <c r="M42" s="28"/>
    </row>
    <row r="43" spans="2:13" ht="13.5" customHeight="1">
      <c r="B43" s="32" t="s">
        <v>48</v>
      </c>
      <c r="C43" s="24">
        <f>1563829</f>
        <v>1563829</v>
      </c>
      <c r="D43" s="24">
        <f>0</f>
        <v>0</v>
      </c>
      <c r="E43" s="24">
        <f>0</f>
        <v>0</v>
      </c>
      <c r="F43" s="24" t="s">
        <v>63</v>
      </c>
      <c r="G43" s="24" t="s">
        <v>63</v>
      </c>
      <c r="H43" s="24" t="s">
        <v>63</v>
      </c>
      <c r="I43" s="24" t="s">
        <v>63</v>
      </c>
      <c r="J43" s="24" t="s">
        <v>63</v>
      </c>
      <c r="K43" s="34">
        <f t="shared" si="0"/>
        <v>0</v>
      </c>
      <c r="L43" s="34">
        <f t="shared" si="1"/>
        <v>0</v>
      </c>
      <c r="M43" s="28"/>
    </row>
    <row r="44" spans="2:13" ht="13.5" customHeight="1">
      <c r="B44" s="32" t="s">
        <v>47</v>
      </c>
      <c r="C44" s="24">
        <f>324610701</f>
        <v>324610701</v>
      </c>
      <c r="D44" s="24">
        <f>162308808</f>
        <v>162308808</v>
      </c>
      <c r="E44" s="24">
        <f>162308808</f>
        <v>162308808</v>
      </c>
      <c r="F44" s="24" t="s">
        <v>63</v>
      </c>
      <c r="G44" s="24" t="s">
        <v>63</v>
      </c>
      <c r="H44" s="24" t="s">
        <v>63</v>
      </c>
      <c r="I44" s="24" t="s">
        <v>63</v>
      </c>
      <c r="J44" s="24" t="s">
        <v>63</v>
      </c>
      <c r="K44" s="34">
        <f t="shared" si="0"/>
        <v>0.2686849566031296</v>
      </c>
      <c r="L44" s="34">
        <f t="shared" si="1"/>
        <v>50.00106512200286</v>
      </c>
      <c r="M44" s="28"/>
    </row>
    <row r="45" spans="2:13" s="5" customFormat="1" ht="22.5" customHeight="1">
      <c r="B45" s="32" t="s">
        <v>45</v>
      </c>
      <c r="C45" s="24">
        <f>2300</f>
        <v>2300</v>
      </c>
      <c r="D45" s="24">
        <f>0</f>
        <v>0</v>
      </c>
      <c r="E45" s="24">
        <f>0</f>
        <v>0</v>
      </c>
      <c r="F45" s="24" t="s">
        <v>63</v>
      </c>
      <c r="G45" s="24" t="s">
        <v>63</v>
      </c>
      <c r="H45" s="24" t="s">
        <v>63</v>
      </c>
      <c r="I45" s="24" t="s">
        <v>63</v>
      </c>
      <c r="J45" s="24" t="s">
        <v>63</v>
      </c>
      <c r="K45" s="34">
        <f t="shared" si="0"/>
        <v>0</v>
      </c>
      <c r="L45" s="34">
        <f t="shared" si="1"/>
        <v>0</v>
      </c>
      <c r="M45" s="29"/>
    </row>
    <row r="46" spans="1:13" s="5" customFormat="1" ht="9" customHeight="1">
      <c r="A46" s="2"/>
      <c r="B46" s="21"/>
      <c r="C46" s="7"/>
      <c r="D46" s="8"/>
      <c r="E46" s="8"/>
      <c r="F46" s="16"/>
      <c r="G46" s="16"/>
      <c r="H46" s="16"/>
      <c r="I46" s="16"/>
      <c r="J46" s="16"/>
      <c r="K46" s="9"/>
      <c r="L46" s="9"/>
      <c r="M46" s="3"/>
    </row>
    <row r="47" spans="1:13" s="5" customFormat="1" ht="13.5" customHeight="1">
      <c r="A47" s="2"/>
      <c r="B47" s="82" t="s">
        <v>5</v>
      </c>
      <c r="C47" s="41">
        <f aca="true" t="shared" si="4" ref="C47:J47">+C6</f>
        <v>122894912236.12</v>
      </c>
      <c r="D47" s="41">
        <f t="shared" si="4"/>
        <v>60408595275.3</v>
      </c>
      <c r="E47" s="41">
        <f t="shared" si="4"/>
        <v>57891117601.66</v>
      </c>
      <c r="F47" s="41">
        <f t="shared" si="4"/>
        <v>1370208878.8</v>
      </c>
      <c r="G47" s="41">
        <f t="shared" si="4"/>
        <v>316588519.76</v>
      </c>
      <c r="H47" s="41">
        <f t="shared" si="4"/>
        <v>42907077.19</v>
      </c>
      <c r="I47" s="41">
        <f t="shared" si="4"/>
        <v>98516323.99</v>
      </c>
      <c r="J47" s="41">
        <f t="shared" si="4"/>
        <v>341179.41</v>
      </c>
      <c r="K47" s="65">
        <f t="shared" si="0"/>
        <v>100</v>
      </c>
      <c r="L47" s="65">
        <f>IF(C47=0,"",100*D47/C47)</f>
        <v>49.15467546714707</v>
      </c>
      <c r="M47" s="65"/>
    </row>
    <row r="48" spans="1:13" s="5" customFormat="1" ht="13.5" customHeight="1">
      <c r="A48" s="2"/>
      <c r="B48" s="83" t="s">
        <v>74</v>
      </c>
      <c r="C48" s="24">
        <f>15775843815.55</f>
        <v>15775843815.55</v>
      </c>
      <c r="D48" s="24">
        <f>2795194124.73</f>
        <v>2795194124.73</v>
      </c>
      <c r="E48" s="24">
        <f>2788810875.54</f>
        <v>2788810875.54</v>
      </c>
      <c r="F48" s="24">
        <f>0</f>
        <v>0</v>
      </c>
      <c r="G48" s="24">
        <f>160.73</f>
        <v>160.73</v>
      </c>
      <c r="H48" s="24">
        <f>0</f>
        <v>0</v>
      </c>
      <c r="I48" s="24">
        <f>156011.8</f>
        <v>156011.8</v>
      </c>
      <c r="J48" s="24">
        <f>80110</f>
        <v>80110</v>
      </c>
      <c r="K48" s="38">
        <f t="shared" si="0"/>
        <v>4.6271463721205</v>
      </c>
      <c r="L48" s="38">
        <f>IF(C48=0,"",100*D48/C48)</f>
        <v>17.718190908906067</v>
      </c>
      <c r="M48" s="38"/>
    </row>
    <row r="49" spans="1:13" s="5" customFormat="1" ht="13.5" customHeight="1">
      <c r="A49" s="2"/>
      <c r="B49" s="83" t="s">
        <v>75</v>
      </c>
      <c r="C49" s="24">
        <f>C47-C48</f>
        <v>107119068420.56999</v>
      </c>
      <c r="D49" s="24">
        <f aca="true" t="shared" si="5" ref="D49:J49">D47-D48</f>
        <v>57613401150.57</v>
      </c>
      <c r="E49" s="24">
        <f t="shared" si="5"/>
        <v>55102306726.12</v>
      </c>
      <c r="F49" s="24">
        <f t="shared" si="5"/>
        <v>1370208878.8</v>
      </c>
      <c r="G49" s="24">
        <f t="shared" si="5"/>
        <v>316588359.03</v>
      </c>
      <c r="H49" s="24">
        <f t="shared" si="5"/>
        <v>42907077.19</v>
      </c>
      <c r="I49" s="24">
        <f t="shared" si="5"/>
        <v>98360312.19</v>
      </c>
      <c r="J49" s="24">
        <f t="shared" si="5"/>
        <v>261069.40999999997</v>
      </c>
      <c r="K49" s="38">
        <f t="shared" si="0"/>
        <v>95.3728536278795</v>
      </c>
      <c r="L49" s="38">
        <f>IF(C49=0,"",100*D49/C49)</f>
        <v>53.78444939827963</v>
      </c>
      <c r="M49" s="38"/>
    </row>
    <row r="50" spans="2:13" ht="15">
      <c r="B50" s="101" t="s">
        <v>114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 s="5" customFormat="1" ht="7.5" customHeight="1">
      <c r="B51" s="6"/>
      <c r="C51" s="7"/>
      <c r="D51" s="8"/>
      <c r="E51" s="8"/>
      <c r="F51" s="4"/>
      <c r="G51" s="4"/>
      <c r="H51" s="4"/>
      <c r="I51" s="4"/>
      <c r="J51" s="4"/>
      <c r="K51" s="9"/>
      <c r="L51" s="9"/>
      <c r="M51" s="3"/>
    </row>
    <row r="52" spans="2:27" ht="29.25" customHeight="1">
      <c r="B52" s="102" t="s">
        <v>0</v>
      </c>
      <c r="C52" s="98" t="s">
        <v>59</v>
      </c>
      <c r="D52" s="98" t="s">
        <v>60</v>
      </c>
      <c r="E52" s="98" t="s">
        <v>61</v>
      </c>
      <c r="F52" s="98" t="s">
        <v>12</v>
      </c>
      <c r="G52" s="98"/>
      <c r="H52" s="98"/>
      <c r="I52" s="98" t="s">
        <v>98</v>
      </c>
      <c r="J52" s="98"/>
      <c r="K52" s="98" t="s">
        <v>2</v>
      </c>
      <c r="L52" s="105" t="s">
        <v>36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2:27" ht="18" customHeight="1">
      <c r="B53" s="102"/>
      <c r="C53" s="98"/>
      <c r="D53" s="103"/>
      <c r="E53" s="98"/>
      <c r="F53" s="91" t="s">
        <v>62</v>
      </c>
      <c r="G53" s="104" t="s">
        <v>34</v>
      </c>
      <c r="H53" s="103"/>
      <c r="I53" s="98"/>
      <c r="J53" s="98"/>
      <c r="K53" s="98"/>
      <c r="L53" s="105"/>
      <c r="M53" s="11"/>
      <c r="N53" s="12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2:27" ht="36" customHeight="1">
      <c r="B54" s="102"/>
      <c r="C54" s="98"/>
      <c r="D54" s="103"/>
      <c r="E54" s="98"/>
      <c r="F54" s="103"/>
      <c r="G54" s="18" t="s">
        <v>57</v>
      </c>
      <c r="H54" s="18" t="s">
        <v>58</v>
      </c>
      <c r="I54" s="98"/>
      <c r="J54" s="98"/>
      <c r="K54" s="98"/>
      <c r="L54" s="105"/>
      <c r="M54" s="11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ht="13.5" customHeight="1">
      <c r="B55" s="102"/>
      <c r="C55" s="97" t="s">
        <v>81</v>
      </c>
      <c r="D55" s="97"/>
      <c r="E55" s="97"/>
      <c r="F55" s="97"/>
      <c r="G55" s="97"/>
      <c r="H55" s="97"/>
      <c r="I55" s="97"/>
      <c r="J55" s="97"/>
      <c r="K55" s="97" t="s">
        <v>4</v>
      </c>
      <c r="L55" s="97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2:27" ht="11.25" customHeight="1">
      <c r="B56" s="17">
        <v>1</v>
      </c>
      <c r="C56" s="19">
        <v>2</v>
      </c>
      <c r="D56" s="19">
        <v>3</v>
      </c>
      <c r="E56" s="19">
        <v>4</v>
      </c>
      <c r="F56" s="17">
        <v>5</v>
      </c>
      <c r="G56" s="17">
        <v>6</v>
      </c>
      <c r="H56" s="19">
        <v>7</v>
      </c>
      <c r="I56" s="103">
        <v>8</v>
      </c>
      <c r="J56" s="103"/>
      <c r="K56" s="17">
        <v>9</v>
      </c>
      <c r="L56" s="19">
        <v>10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12" ht="25.5" customHeight="1">
      <c r="B57" s="82" t="s">
        <v>67</v>
      </c>
      <c r="C57" s="66">
        <f>136359285907.2</f>
        <v>136359285907.2</v>
      </c>
      <c r="D57" s="66">
        <f>92503175821.61</f>
        <v>92503175821.61</v>
      </c>
      <c r="E57" s="66">
        <f>55227475729.77</f>
        <v>55227475729.77</v>
      </c>
      <c r="F57" s="66">
        <f>2765703902.87</f>
        <v>2765703902.87</v>
      </c>
      <c r="G57" s="66">
        <f>15963619.61</f>
        <v>15963619.61</v>
      </c>
      <c r="H57" s="66">
        <f>24711235.5</f>
        <v>24711235.5</v>
      </c>
      <c r="I57" s="107">
        <f>0</f>
        <v>0</v>
      </c>
      <c r="J57" s="107"/>
      <c r="K57" s="58">
        <f aca="true" t="shared" si="6" ref="K57:K68">IF($E$57=0,"",100*$E57/$E$57)</f>
        <v>100</v>
      </c>
      <c r="L57" s="58">
        <f aca="true" t="shared" si="7" ref="L57:L68">IF(C57=0,"",100*E57/C57)</f>
        <v>40.50144100003232</v>
      </c>
    </row>
    <row r="58" spans="2:12" ht="24" customHeight="1">
      <c r="B58" s="82" t="s">
        <v>14</v>
      </c>
      <c r="C58" s="26">
        <f>35238635667.69</f>
        <v>35238635667.69</v>
      </c>
      <c r="D58" s="26">
        <f>17353871241.96</f>
        <v>17353871241.96</v>
      </c>
      <c r="E58" s="26">
        <f>5813231856.94</f>
        <v>5813231856.94</v>
      </c>
      <c r="F58" s="26">
        <f>1132341380.45</f>
        <v>1132341380.45</v>
      </c>
      <c r="G58" s="26">
        <f>225295.59</f>
        <v>225295.59</v>
      </c>
      <c r="H58" s="26">
        <f>4220010.39</f>
        <v>4220010.39</v>
      </c>
      <c r="I58" s="100">
        <f>0</f>
        <v>0</v>
      </c>
      <c r="J58" s="108"/>
      <c r="K58" s="35">
        <f t="shared" si="6"/>
        <v>10.525977840059811</v>
      </c>
      <c r="L58" s="35">
        <f t="shared" si="7"/>
        <v>16.496756320989185</v>
      </c>
    </row>
    <row r="59" spans="2:12" ht="22.5" customHeight="1">
      <c r="B59" s="20" t="s">
        <v>13</v>
      </c>
      <c r="C59" s="22">
        <f>34816061204.85</f>
        <v>34816061204.85</v>
      </c>
      <c r="D59" s="22">
        <f>17109541884.56</f>
        <v>17109541884.56</v>
      </c>
      <c r="E59" s="22">
        <f>5604718015.57</f>
        <v>5604718015.57</v>
      </c>
      <c r="F59" s="22">
        <f>1129516980.45</f>
        <v>1129516980.45</v>
      </c>
      <c r="G59" s="22">
        <f>225295.59</f>
        <v>225295.59</v>
      </c>
      <c r="H59" s="22">
        <f>4220010.39</f>
        <v>4220010.39</v>
      </c>
      <c r="I59" s="109">
        <f>0</f>
        <v>0</v>
      </c>
      <c r="J59" s="110"/>
      <c r="K59" s="36">
        <f t="shared" si="6"/>
        <v>10.148423301101221</v>
      </c>
      <c r="L59" s="36">
        <f t="shared" si="7"/>
        <v>16.0980818094071</v>
      </c>
    </row>
    <row r="60" spans="2:12" ht="25.5" customHeight="1">
      <c r="B60" s="82" t="s">
        <v>68</v>
      </c>
      <c r="C60" s="26">
        <f aca="true" t="shared" si="8" ref="C60:I60">C57-C58</f>
        <v>101120650239.51</v>
      </c>
      <c r="D60" s="26">
        <f t="shared" si="8"/>
        <v>75149304579.65</v>
      </c>
      <c r="E60" s="26">
        <f t="shared" si="8"/>
        <v>49414243872.829994</v>
      </c>
      <c r="F60" s="26">
        <f t="shared" si="8"/>
        <v>1633362522.4199998</v>
      </c>
      <c r="G60" s="26">
        <f t="shared" si="8"/>
        <v>15738324.02</v>
      </c>
      <c r="H60" s="26">
        <f t="shared" si="8"/>
        <v>20491225.11</v>
      </c>
      <c r="I60" s="100">
        <f t="shared" si="8"/>
        <v>0</v>
      </c>
      <c r="J60" s="100"/>
      <c r="K60" s="35">
        <f t="shared" si="6"/>
        <v>89.47402215994018</v>
      </c>
      <c r="L60" s="35">
        <f t="shared" si="7"/>
        <v>48.86661997899495</v>
      </c>
    </row>
    <row r="61" spans="2:12" ht="13.5" customHeight="1">
      <c r="B61" s="20" t="s">
        <v>56</v>
      </c>
      <c r="C61" s="22">
        <f>32191185010.2</f>
        <v>32191185010.2</v>
      </c>
      <c r="D61" s="22">
        <f>28040471923.6</f>
        <v>28040471923.6</v>
      </c>
      <c r="E61" s="22">
        <f>16372237996.17</f>
        <v>16372237996.17</v>
      </c>
      <c r="F61" s="22">
        <f>446678907.85</f>
        <v>446678907.85</v>
      </c>
      <c r="G61" s="22">
        <f>433836.47</f>
        <v>433836.47</v>
      </c>
      <c r="H61" s="22">
        <f>2721506.95</f>
        <v>2721506.95</v>
      </c>
      <c r="I61" s="109">
        <f>0</f>
        <v>0</v>
      </c>
      <c r="J61" s="110"/>
      <c r="K61" s="36">
        <f t="shared" si="6"/>
        <v>29.645095633702223</v>
      </c>
      <c r="L61" s="36">
        <f t="shared" si="7"/>
        <v>50.859382750222906</v>
      </c>
    </row>
    <row r="62" spans="2:12" ht="22.5" customHeight="1">
      <c r="B62" s="63" t="s">
        <v>51</v>
      </c>
      <c r="C62" s="68">
        <f>29093831511.54</f>
        <v>29093831511.54</v>
      </c>
      <c r="D62" s="68">
        <f>25374338731.87</f>
        <v>25374338731.87</v>
      </c>
      <c r="E62" s="68">
        <f>13922391706.26</f>
        <v>13922391706.26</v>
      </c>
      <c r="F62" s="68">
        <f>430637111.55</f>
        <v>430637111.55</v>
      </c>
      <c r="G62" s="68">
        <f>433787.69</f>
        <v>433787.69</v>
      </c>
      <c r="H62" s="68">
        <f>2358952.48</f>
        <v>2358952.48</v>
      </c>
      <c r="I62" s="99">
        <f>0</f>
        <v>0</v>
      </c>
      <c r="J62" s="99"/>
      <c r="K62" s="69">
        <f t="shared" si="6"/>
        <v>25.20917627012822</v>
      </c>
      <c r="L62" s="69">
        <f t="shared" si="7"/>
        <v>47.8534142219725</v>
      </c>
    </row>
    <row r="63" spans="2:12" ht="13.5" customHeight="1">
      <c r="B63" s="32" t="s">
        <v>55</v>
      </c>
      <c r="C63" s="24">
        <f>6507693389.33</f>
        <v>6507693389.33</v>
      </c>
      <c r="D63" s="24">
        <f>5654495606.43</f>
        <v>5654495606.43</v>
      </c>
      <c r="E63" s="24">
        <f>3117045485.34</f>
        <v>3117045485.34</v>
      </c>
      <c r="F63" s="24">
        <f>263528031.73</f>
        <v>263528031.73</v>
      </c>
      <c r="G63" s="24">
        <f>81537.36</f>
        <v>81537.36</v>
      </c>
      <c r="H63" s="24">
        <f>1057179.38</f>
        <v>1057179.38</v>
      </c>
      <c r="I63" s="106">
        <f>0</f>
        <v>0</v>
      </c>
      <c r="J63" s="106"/>
      <c r="K63" s="69">
        <f t="shared" si="6"/>
        <v>5.644012231505591</v>
      </c>
      <c r="L63" s="69">
        <f t="shared" si="7"/>
        <v>47.897854106813035</v>
      </c>
    </row>
    <row r="64" spans="2:12" ht="13.5" customHeight="1">
      <c r="B64" s="32" t="s">
        <v>54</v>
      </c>
      <c r="C64" s="68">
        <f>7108331651.73</f>
        <v>7108331651.73</v>
      </c>
      <c r="D64" s="68">
        <f>5071703674.84</f>
        <v>5071703674.84</v>
      </c>
      <c r="E64" s="68">
        <f>3658497974.24</f>
        <v>3658497974.24</v>
      </c>
      <c r="F64" s="68">
        <f>17671880.53</f>
        <v>17671880.53</v>
      </c>
      <c r="G64" s="68">
        <f>56593.57</f>
        <v>56593.57</v>
      </c>
      <c r="H64" s="68">
        <f>406511.26</f>
        <v>406511.26</v>
      </c>
      <c r="I64" s="99">
        <f>0</f>
        <v>0</v>
      </c>
      <c r="J64" s="99"/>
      <c r="K64" s="69">
        <f t="shared" si="6"/>
        <v>6.624416426601065</v>
      </c>
      <c r="L64" s="69">
        <f t="shared" si="7"/>
        <v>51.46774452131265</v>
      </c>
    </row>
    <row r="65" spans="2:12" ht="13.5" customHeight="1">
      <c r="B65" s="32" t="s">
        <v>53</v>
      </c>
      <c r="C65" s="24">
        <f>889182183.7</f>
        <v>889182183.7</v>
      </c>
      <c r="D65" s="24">
        <f>445133758.47</f>
        <v>445133758.47</v>
      </c>
      <c r="E65" s="24">
        <f>338021658.72</f>
        <v>338021658.72</v>
      </c>
      <c r="F65" s="24">
        <f>23459165.22</f>
        <v>23459165.22</v>
      </c>
      <c r="G65" s="24">
        <f>7452205.15</f>
        <v>7452205.15</v>
      </c>
      <c r="H65" s="24">
        <f>1417521.22</f>
        <v>1417521.22</v>
      </c>
      <c r="I65" s="106">
        <f>0</f>
        <v>0</v>
      </c>
      <c r="J65" s="106"/>
      <c r="K65" s="69">
        <f t="shared" si="6"/>
        <v>0.6120534285759357</v>
      </c>
      <c r="L65" s="69">
        <f t="shared" si="7"/>
        <v>38.014893338668685</v>
      </c>
    </row>
    <row r="66" spans="2:12" ht="22.5" customHeight="1">
      <c r="B66" s="32" t="s">
        <v>71</v>
      </c>
      <c r="C66" s="68">
        <f>112238869.23</f>
        <v>112238869.23</v>
      </c>
      <c r="D66" s="68">
        <f>7784670.87</f>
        <v>7784670.87</v>
      </c>
      <c r="E66" s="68">
        <f>2948260.41</f>
        <v>2948260.41</v>
      </c>
      <c r="F66" s="68">
        <f>321734.95</f>
        <v>321734.95</v>
      </c>
      <c r="G66" s="68">
        <f>0</f>
        <v>0</v>
      </c>
      <c r="H66" s="68">
        <f>0</f>
        <v>0</v>
      </c>
      <c r="I66" s="99">
        <f>0</f>
        <v>0</v>
      </c>
      <c r="J66" s="99"/>
      <c r="K66" s="69">
        <f t="shared" si="6"/>
        <v>0.005338394288426186</v>
      </c>
      <c r="L66" s="69">
        <f t="shared" si="7"/>
        <v>2.6267730869226966</v>
      </c>
    </row>
    <row r="67" spans="2:12" ht="22.5" customHeight="1">
      <c r="B67" s="32" t="s">
        <v>73</v>
      </c>
      <c r="C67" s="68">
        <f>28827931421.16</f>
        <v>28827931421.16</v>
      </c>
      <c r="D67" s="68">
        <f>20292186142.22</f>
        <v>20292186142.22</v>
      </c>
      <c r="E67" s="68">
        <f>14479632992.28</f>
        <v>14479632992.28</v>
      </c>
      <c r="F67" s="68">
        <f>250958968.86</f>
        <v>250958968.86</v>
      </c>
      <c r="G67" s="68">
        <f>143899.98</f>
        <v>143899.98</v>
      </c>
      <c r="H67" s="68">
        <f>240967.49</f>
        <v>240967.49</v>
      </c>
      <c r="I67" s="114">
        <f>0</f>
        <v>0</v>
      </c>
      <c r="J67" s="115"/>
      <c r="K67" s="69">
        <f t="shared" si="6"/>
        <v>26.21816912858621</v>
      </c>
      <c r="L67" s="69">
        <f t="shared" si="7"/>
        <v>50.227790474247485</v>
      </c>
    </row>
    <row r="68" spans="2:12" ht="13.5" customHeight="1">
      <c r="B68" s="32" t="s">
        <v>52</v>
      </c>
      <c r="C68" s="24">
        <f aca="true" t="shared" si="9" ref="C68:J68">C60-C61-C63-C64-C65-C66-C67</f>
        <v>25484087714.16</v>
      </c>
      <c r="D68" s="24">
        <f t="shared" si="9"/>
        <v>15637528803.219994</v>
      </c>
      <c r="E68" s="24">
        <f t="shared" si="9"/>
        <v>11445859505.669992</v>
      </c>
      <c r="F68" s="24">
        <f t="shared" si="9"/>
        <v>630743833.2799996</v>
      </c>
      <c r="G68" s="24">
        <f t="shared" si="9"/>
        <v>7570251.489999998</v>
      </c>
      <c r="H68" s="24">
        <f t="shared" si="9"/>
        <v>14647538.81</v>
      </c>
      <c r="I68" s="99">
        <f t="shared" si="9"/>
        <v>0</v>
      </c>
      <c r="J68" s="99">
        <f t="shared" si="9"/>
        <v>0</v>
      </c>
      <c r="K68" s="69">
        <f t="shared" si="6"/>
        <v>20.72493691668073</v>
      </c>
      <c r="L68" s="69">
        <f t="shared" si="7"/>
        <v>44.913750235250546</v>
      </c>
    </row>
    <row r="69" spans="2:13" ht="18" customHeight="1">
      <c r="B69" s="82" t="s">
        <v>15</v>
      </c>
      <c r="C69" s="26">
        <f>C6-C57</f>
        <v>-13464373671.080002</v>
      </c>
      <c r="D69" s="26"/>
      <c r="E69" s="26">
        <f>D6-E57</f>
        <v>5181119545.530006</v>
      </c>
      <c r="F69" s="26"/>
      <c r="G69" s="26"/>
      <c r="H69" s="26"/>
      <c r="I69" s="100"/>
      <c r="J69" s="100"/>
      <c r="K69" s="27"/>
      <c r="L69" s="27"/>
      <c r="M69" s="13"/>
    </row>
    <row r="70" spans="2:13" ht="33" customHeight="1">
      <c r="B70" s="84" t="s">
        <v>76</v>
      </c>
      <c r="C70" s="26">
        <f>+C49-C60</f>
        <v>5998418181.059998</v>
      </c>
      <c r="D70" s="26"/>
      <c r="E70" s="26">
        <f>+D49-E60</f>
        <v>8199157277.7400055</v>
      </c>
      <c r="F70" s="26"/>
      <c r="G70" s="26"/>
      <c r="H70" s="26"/>
      <c r="I70" s="26"/>
      <c r="J70" s="26"/>
      <c r="K70" s="27"/>
      <c r="L70" s="27"/>
      <c r="M70" s="13"/>
    </row>
    <row r="71" spans="2:13" ht="8.25" customHeight="1" thickBot="1">
      <c r="B71" s="70"/>
      <c r="C71" s="71"/>
      <c r="D71" s="71"/>
      <c r="E71" s="71"/>
      <c r="F71" s="71"/>
      <c r="G71" s="71"/>
      <c r="H71" s="71"/>
      <c r="I71" s="71"/>
      <c r="J71" s="71"/>
      <c r="K71" s="27"/>
      <c r="L71" s="27"/>
      <c r="M71" s="13"/>
    </row>
    <row r="72" spans="2:13" ht="14.25" customHeight="1">
      <c r="B72" s="85" t="s">
        <v>77</v>
      </c>
      <c r="C72" s="71"/>
      <c r="D72" s="71"/>
      <c r="E72" s="71"/>
      <c r="F72" s="71"/>
      <c r="G72" s="71"/>
      <c r="H72" s="71"/>
      <c r="I72" s="71"/>
      <c r="J72" s="71"/>
      <c r="K72" s="27"/>
      <c r="L72" s="27"/>
      <c r="M72" s="13"/>
    </row>
    <row r="73" spans="2:13" ht="24" customHeight="1">
      <c r="B73" s="82" t="s">
        <v>78</v>
      </c>
      <c r="C73" s="41">
        <f>16588773448.81</f>
        <v>16588773448.81</v>
      </c>
      <c r="D73" s="41">
        <f>8463543834.02</f>
        <v>8463543834.02</v>
      </c>
      <c r="E73" s="41">
        <f>3053461316.48</f>
        <v>3053461316.48</v>
      </c>
      <c r="F73" s="41">
        <f>455457272.59</f>
        <v>455457272.59</v>
      </c>
      <c r="G73" s="41">
        <f>0</f>
        <v>0</v>
      </c>
      <c r="H73" s="41">
        <f>3221264.9</f>
        <v>3221264.9</v>
      </c>
      <c r="I73" s="41">
        <f>0</f>
        <v>0</v>
      </c>
      <c r="J73" s="41">
        <f>0</f>
        <v>0</v>
      </c>
      <c r="K73" s="72">
        <f>IF($E$57=0,"",100*$E73/$E$73)</f>
        <v>100</v>
      </c>
      <c r="L73" s="72">
        <f>IF(C73=0,"",100*E73/C73)</f>
        <v>18.40679376267593</v>
      </c>
      <c r="M73" s="13"/>
    </row>
    <row r="74" spans="2:13" ht="15" customHeight="1">
      <c r="B74" s="86" t="s">
        <v>79</v>
      </c>
      <c r="C74" s="22">
        <f>15589746041.24</f>
        <v>15589746041.24</v>
      </c>
      <c r="D74" s="22">
        <f>7962151497.1</f>
        <v>7962151497.1</v>
      </c>
      <c r="E74" s="22">
        <f>2702272004.63</f>
        <v>2702272004.63</v>
      </c>
      <c r="F74" s="22">
        <f>445922363.51</f>
        <v>445922363.51</v>
      </c>
      <c r="G74" s="22">
        <f>0</f>
        <v>0</v>
      </c>
      <c r="H74" s="22">
        <f>3197128.88</f>
        <v>3197128.88</v>
      </c>
      <c r="I74" s="22">
        <f>0</f>
        <v>0</v>
      </c>
      <c r="J74" s="22">
        <f>0</f>
        <v>0</v>
      </c>
      <c r="K74" s="36">
        <f>IF($E$57=0,"",100*$E74/$E$73)</f>
        <v>88.49864873170073</v>
      </c>
      <c r="L74" s="36">
        <f>IF(C74=0,"",100*E74/C74)</f>
        <v>17.333649935551247</v>
      </c>
      <c r="M74" s="13"/>
    </row>
    <row r="75" spans="2:13" ht="14.25" customHeight="1">
      <c r="B75" s="87" t="s">
        <v>80</v>
      </c>
      <c r="C75" s="22">
        <f>+C73-C74</f>
        <v>999027407.5699997</v>
      </c>
      <c r="D75" s="22">
        <f aca="true" t="shared" si="10" ref="D75:J75">+D73-D74</f>
        <v>501392336.9200001</v>
      </c>
      <c r="E75" s="22">
        <f t="shared" si="10"/>
        <v>351189311.8499999</v>
      </c>
      <c r="F75" s="22">
        <f t="shared" si="10"/>
        <v>9534909.079999983</v>
      </c>
      <c r="G75" s="22">
        <f t="shared" si="10"/>
        <v>0</v>
      </c>
      <c r="H75" s="22">
        <f t="shared" si="10"/>
        <v>24136.02000000002</v>
      </c>
      <c r="I75" s="22">
        <f t="shared" si="10"/>
        <v>0</v>
      </c>
      <c r="J75" s="22">
        <f t="shared" si="10"/>
        <v>0</v>
      </c>
      <c r="K75" s="36">
        <f>IF($E$57=0,"",100*$E75/$E$73)</f>
        <v>11.501351268299265</v>
      </c>
      <c r="L75" s="36">
        <f>IF(C75=0,"",100*E75/C75)</f>
        <v>35.15312084422397</v>
      </c>
      <c r="M75" s="10"/>
    </row>
    <row r="76" spans="2:13" ht="15">
      <c r="B76" s="101" t="s">
        <v>114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ht="6.75" customHeight="1"/>
    <row r="78" spans="2:8" ht="18" customHeight="1">
      <c r="B78" s="81" t="s">
        <v>16</v>
      </c>
      <c r="C78" s="94" t="s">
        <v>17</v>
      </c>
      <c r="D78" s="90"/>
      <c r="E78" s="94" t="s">
        <v>1</v>
      </c>
      <c r="F78" s="90"/>
      <c r="G78" s="19" t="s">
        <v>26</v>
      </c>
      <c r="H78" s="19" t="s">
        <v>27</v>
      </c>
    </row>
    <row r="79" spans="2:10" ht="13.5" customHeight="1">
      <c r="B79" s="40"/>
      <c r="C79" s="91" t="s">
        <v>81</v>
      </c>
      <c r="D79" s="92"/>
      <c r="E79" s="92"/>
      <c r="F79" s="93"/>
      <c r="G79" s="95" t="s">
        <v>4</v>
      </c>
      <c r="H79" s="96"/>
      <c r="J79" s="14"/>
    </row>
    <row r="80" spans="2:10" ht="11.25" customHeight="1">
      <c r="B80" s="39">
        <v>1</v>
      </c>
      <c r="C80" s="42">
        <v>2</v>
      </c>
      <c r="D80" s="43"/>
      <c r="E80" s="42">
        <v>3</v>
      </c>
      <c r="F80" s="43"/>
      <c r="G80" s="30">
        <v>4</v>
      </c>
      <c r="H80" s="30">
        <v>5</v>
      </c>
      <c r="J80" s="10"/>
    </row>
    <row r="81" spans="2:8" ht="25.5" customHeight="1">
      <c r="B81" s="80" t="s">
        <v>69</v>
      </c>
      <c r="C81" s="44">
        <f>18080091074.27</f>
        <v>18080091074.27</v>
      </c>
      <c r="D81" s="45"/>
      <c r="E81" s="44">
        <f>9469654895.8</f>
        <v>9469654895.8</v>
      </c>
      <c r="F81" s="45"/>
      <c r="G81" s="37">
        <f aca="true" t="shared" si="11" ref="G81:G88">IF($E$81=0,"",100*$E81/$E$81)</f>
        <v>100</v>
      </c>
      <c r="H81" s="35">
        <f>IF(C81=0,"",100*E81/C81)</f>
        <v>52.37614598787271</v>
      </c>
    </row>
    <row r="82" spans="2:8" ht="26.25" customHeight="1">
      <c r="B82" s="60" t="s">
        <v>99</v>
      </c>
      <c r="C82" s="46">
        <f>11605447453.86</f>
        <v>11605447453.86</v>
      </c>
      <c r="D82" s="47"/>
      <c r="E82" s="46">
        <f>1084758369.55</f>
        <v>1084758369.55</v>
      </c>
      <c r="F82" s="47"/>
      <c r="G82" s="56">
        <f t="shared" si="11"/>
        <v>11.455099277494412</v>
      </c>
      <c r="H82" s="57">
        <f aca="true" t="shared" si="12" ref="H82:H93">IF(C82=0,"",100*E82/C82)</f>
        <v>9.346975839257336</v>
      </c>
    </row>
    <row r="83" spans="2:8" ht="22.5">
      <c r="B83" s="73" t="s">
        <v>100</v>
      </c>
      <c r="C83" s="74">
        <f>447291593.5</f>
        <v>447291593.5</v>
      </c>
      <c r="D83" s="75"/>
      <c r="E83" s="74">
        <f>8510000</f>
        <v>8510000</v>
      </c>
      <c r="F83" s="75"/>
      <c r="G83" s="76">
        <f t="shared" si="11"/>
        <v>0.08986599927495112</v>
      </c>
      <c r="H83" s="67">
        <f t="shared" si="12"/>
        <v>1.902562025235111</v>
      </c>
    </row>
    <row r="84" spans="2:8" ht="12.75">
      <c r="B84" s="77" t="s">
        <v>101</v>
      </c>
      <c r="C84" s="74">
        <f>62810182.18</f>
        <v>62810182.18</v>
      </c>
      <c r="D84" s="75"/>
      <c r="E84" s="74">
        <f>14133359.44</f>
        <v>14133359.44</v>
      </c>
      <c r="F84" s="75"/>
      <c r="G84" s="76">
        <f t="shared" si="11"/>
        <v>0.14924893879996046</v>
      </c>
      <c r="H84" s="67">
        <f t="shared" si="12"/>
        <v>22.50170107690014</v>
      </c>
    </row>
    <row r="85" spans="2:8" ht="12.75">
      <c r="B85" s="77" t="s">
        <v>102</v>
      </c>
      <c r="C85" s="74">
        <f>1861992503.11</f>
        <v>1861992503.11</v>
      </c>
      <c r="D85" s="75"/>
      <c r="E85" s="74">
        <f>2447904134.45</f>
        <v>2447904134.45</v>
      </c>
      <c r="F85" s="75"/>
      <c r="G85" s="76">
        <f t="shared" si="11"/>
        <v>25.84998251135529</v>
      </c>
      <c r="H85" s="67">
        <f t="shared" si="12"/>
        <v>131.46691677659166</v>
      </c>
    </row>
    <row r="86" spans="2:8" ht="13.5" customHeight="1">
      <c r="B86" s="77" t="s">
        <v>103</v>
      </c>
      <c r="C86" s="74">
        <f>0</f>
        <v>0</v>
      </c>
      <c r="D86" s="75"/>
      <c r="E86" s="74">
        <f>0.53</f>
        <v>0.53</v>
      </c>
      <c r="F86" s="75"/>
      <c r="G86" s="76">
        <f t="shared" si="11"/>
        <v>5.596824866712584E-09</v>
      </c>
      <c r="H86" s="67">
        <f t="shared" si="12"/>
      </c>
    </row>
    <row r="87" spans="2:8" ht="40.5" customHeight="1">
      <c r="B87" s="77" t="s">
        <v>83</v>
      </c>
      <c r="C87" s="74">
        <f>4491587727.76</f>
        <v>4491587727.76</v>
      </c>
      <c r="D87" s="75"/>
      <c r="E87" s="74">
        <f>5745269451.15</f>
        <v>5745269451.15</v>
      </c>
      <c r="F87" s="75"/>
      <c r="G87" s="76">
        <f t="shared" si="11"/>
        <v>60.67031496256694</v>
      </c>
      <c r="H87" s="67">
        <f t="shared" si="12"/>
        <v>127.91177194740496</v>
      </c>
    </row>
    <row r="88" spans="2:8" ht="12.75">
      <c r="B88" s="77" t="s">
        <v>84</v>
      </c>
      <c r="C88" s="74">
        <f>58253207.36</f>
        <v>58253207.36</v>
      </c>
      <c r="D88" s="75"/>
      <c r="E88" s="74">
        <f>177589580.68</f>
        <v>177589580.68</v>
      </c>
      <c r="F88" s="75"/>
      <c r="G88" s="76">
        <f t="shared" si="11"/>
        <v>1.875354304186575</v>
      </c>
      <c r="H88" s="67">
        <f t="shared" si="12"/>
        <v>304.85803053299895</v>
      </c>
    </row>
    <row r="89" spans="2:8" ht="25.5" customHeight="1">
      <c r="B89" s="80" t="s">
        <v>70</v>
      </c>
      <c r="C89" s="54">
        <f>4603553441.05</f>
        <v>4603553441.05</v>
      </c>
      <c r="D89" s="55"/>
      <c r="E89" s="54">
        <f>2860188545.48</f>
        <v>2860188545.48</v>
      </c>
      <c r="F89" s="55"/>
      <c r="G89" s="37">
        <f>IF($E$89=0,"",100*$E89/$E$89)</f>
        <v>100</v>
      </c>
      <c r="H89" s="35">
        <f t="shared" si="12"/>
        <v>62.130017216171055</v>
      </c>
    </row>
    <row r="90" spans="2:8" ht="36" customHeight="1">
      <c r="B90" s="60" t="s">
        <v>104</v>
      </c>
      <c r="C90" s="46">
        <f>3987852800.72</f>
        <v>3987852800.72</v>
      </c>
      <c r="D90" s="52"/>
      <c r="E90" s="53">
        <f>1786068111.92</f>
        <v>1786068111.92</v>
      </c>
      <c r="F90" s="52"/>
      <c r="G90" s="56">
        <f>IF($E$89=0,"",100*$E90/$E$89)</f>
        <v>62.445817243151716</v>
      </c>
      <c r="H90" s="57">
        <f t="shared" si="12"/>
        <v>44.78771412017837</v>
      </c>
    </row>
    <row r="91" spans="2:8" ht="24.75" customHeight="1">
      <c r="B91" s="77" t="s">
        <v>105</v>
      </c>
      <c r="C91" s="74">
        <f>52752815</f>
        <v>52752815</v>
      </c>
      <c r="D91" s="75"/>
      <c r="E91" s="74">
        <f>5489000</f>
        <v>5489000</v>
      </c>
      <c r="F91" s="75"/>
      <c r="G91" s="76">
        <f>IF($E$89=0,"",100*$E91/$E$89)</f>
        <v>0.1919104252296357</v>
      </c>
      <c r="H91" s="67">
        <f t="shared" si="12"/>
        <v>10.405131934665476</v>
      </c>
    </row>
    <row r="92" spans="2:8" ht="12.75">
      <c r="B92" s="73" t="s">
        <v>106</v>
      </c>
      <c r="C92" s="74">
        <f>65870907.22</f>
        <v>65870907.22</v>
      </c>
      <c r="D92" s="75"/>
      <c r="E92" s="74">
        <f>25784499.13</f>
        <v>25784499.13</v>
      </c>
      <c r="F92" s="75"/>
      <c r="G92" s="76">
        <f>IF($E$89=0,"",100*$E92/$E$89)</f>
        <v>0.9014964824870598</v>
      </c>
      <c r="H92" s="67">
        <f t="shared" si="12"/>
        <v>39.14398665238241</v>
      </c>
    </row>
    <row r="93" spans="2:8" ht="12.75">
      <c r="B93" s="77" t="s">
        <v>33</v>
      </c>
      <c r="C93" s="74">
        <f>549829733.11</f>
        <v>549829733.11</v>
      </c>
      <c r="D93" s="75"/>
      <c r="E93" s="74">
        <f>1048335934.43</f>
        <v>1048335934.43</v>
      </c>
      <c r="F93" s="75"/>
      <c r="G93" s="76">
        <f>IF($E$89=0,"",100*$E93/$E$89)</f>
        <v>36.65268627436123</v>
      </c>
      <c r="H93" s="67">
        <f t="shared" si="12"/>
        <v>190.665559045034</v>
      </c>
    </row>
    <row r="94" ht="7.5" customHeight="1"/>
    <row r="95" spans="2:8" ht="12.75">
      <c r="B95" s="81" t="s">
        <v>16</v>
      </c>
      <c r="C95" s="94" t="s">
        <v>17</v>
      </c>
      <c r="D95" s="90"/>
      <c r="E95" s="94" t="s">
        <v>1</v>
      </c>
      <c r="F95" s="90"/>
      <c r="G95" s="19" t="s">
        <v>26</v>
      </c>
      <c r="H95" s="19" t="s">
        <v>27</v>
      </c>
    </row>
    <row r="96" spans="2:8" ht="12.75">
      <c r="B96" s="40"/>
      <c r="C96" s="91" t="s">
        <v>81</v>
      </c>
      <c r="D96" s="92"/>
      <c r="E96" s="92"/>
      <c r="F96" s="93"/>
      <c r="G96" s="95" t="s">
        <v>4</v>
      </c>
      <c r="H96" s="96"/>
    </row>
    <row r="97" spans="2:8" ht="12.75">
      <c r="B97" s="39">
        <v>1</v>
      </c>
      <c r="C97" s="42">
        <v>2</v>
      </c>
      <c r="D97" s="43"/>
      <c r="E97" s="42">
        <v>3</v>
      </c>
      <c r="F97" s="43"/>
      <c r="G97" s="30">
        <v>4</v>
      </c>
      <c r="H97" s="30">
        <v>5</v>
      </c>
    </row>
    <row r="98" spans="2:8" ht="31.5" customHeight="1">
      <c r="B98" s="61" t="s">
        <v>85</v>
      </c>
      <c r="C98" s="51">
        <f>13586552734.23</f>
        <v>13586552734.23</v>
      </c>
      <c r="D98" s="48"/>
      <c r="E98" s="51">
        <f>0</f>
        <v>0</v>
      </c>
      <c r="F98" s="45"/>
      <c r="G98" s="37"/>
      <c r="H98" s="35"/>
    </row>
    <row r="99" spans="2:8" ht="47.25" customHeight="1">
      <c r="B99" s="59" t="s">
        <v>86</v>
      </c>
      <c r="C99" s="53">
        <f>387833899.58</f>
        <v>387833899.58</v>
      </c>
      <c r="D99" s="52"/>
      <c r="E99" s="53">
        <f>0</f>
        <v>0</v>
      </c>
      <c r="F99" s="52"/>
      <c r="G99" s="56"/>
      <c r="H99" s="57"/>
    </row>
    <row r="100" spans="2:8" ht="12.75">
      <c r="B100" s="59" t="s">
        <v>87</v>
      </c>
      <c r="C100" s="53">
        <f>8746566201.76</f>
        <v>8746566201.76</v>
      </c>
      <c r="D100" s="52"/>
      <c r="E100" s="53">
        <f>0</f>
        <v>0</v>
      </c>
      <c r="F100" s="52"/>
      <c r="G100" s="56"/>
      <c r="H100" s="57"/>
    </row>
    <row r="101" spans="2:8" ht="25.5" customHeight="1">
      <c r="B101" s="59" t="s">
        <v>88</v>
      </c>
      <c r="C101" s="53">
        <f>0</f>
        <v>0</v>
      </c>
      <c r="D101" s="52"/>
      <c r="E101" s="53">
        <f>0</f>
        <v>0</v>
      </c>
      <c r="F101" s="52"/>
      <c r="G101" s="56"/>
      <c r="H101" s="57"/>
    </row>
    <row r="102" spans="2:8" ht="33.75">
      <c r="B102" s="59" t="s">
        <v>89</v>
      </c>
      <c r="C102" s="53">
        <f>1275267002.12</f>
        <v>1275267002.12</v>
      </c>
      <c r="D102" s="52"/>
      <c r="E102" s="53">
        <f>0</f>
        <v>0</v>
      </c>
      <c r="F102" s="52"/>
      <c r="G102" s="56"/>
      <c r="H102" s="57"/>
    </row>
    <row r="103" spans="2:8" ht="85.5" customHeight="1">
      <c r="B103" s="59" t="s">
        <v>90</v>
      </c>
      <c r="C103" s="53">
        <f>3176885630.77</f>
        <v>3176885630.77</v>
      </c>
      <c r="D103" s="52"/>
      <c r="E103" s="53">
        <f>0</f>
        <v>0</v>
      </c>
      <c r="F103" s="52"/>
      <c r="G103" s="56"/>
      <c r="H103" s="57"/>
    </row>
    <row r="104" ht="7.5" customHeight="1"/>
    <row r="105" spans="2:6" ht="12.75">
      <c r="B105" s="81" t="s">
        <v>16</v>
      </c>
      <c r="C105" s="94" t="s">
        <v>109</v>
      </c>
      <c r="D105" s="89"/>
      <c r="E105" s="89"/>
      <c r="F105" s="90"/>
    </row>
    <row r="106" spans="2:6" ht="12.75">
      <c r="B106" s="40"/>
      <c r="C106" s="91" t="s">
        <v>81</v>
      </c>
      <c r="D106" s="92"/>
      <c r="E106" s="92"/>
      <c r="F106" s="93"/>
    </row>
    <row r="107" spans="2:6" ht="12.75">
      <c r="B107" s="39">
        <v>1</v>
      </c>
      <c r="C107" s="111">
        <v>2</v>
      </c>
      <c r="D107" s="112"/>
      <c r="E107" s="112"/>
      <c r="F107" s="113"/>
    </row>
    <row r="108" spans="2:6" ht="48.75" customHeight="1">
      <c r="B108" s="79" t="s">
        <v>91</v>
      </c>
      <c r="C108" s="88">
        <f>370866792.12</f>
        <v>370866792.12</v>
      </c>
      <c r="D108" s="89"/>
      <c r="E108" s="89"/>
      <c r="F108" s="90"/>
    </row>
    <row r="109" spans="2:6" ht="36.75" customHeight="1">
      <c r="B109" s="59" t="s">
        <v>92</v>
      </c>
      <c r="C109" s="88">
        <f>0</f>
        <v>0</v>
      </c>
      <c r="D109" s="89"/>
      <c r="E109" s="89"/>
      <c r="F109" s="90"/>
    </row>
    <row r="110" spans="2:6" ht="37.5" customHeight="1">
      <c r="B110" s="59" t="s">
        <v>93</v>
      </c>
      <c r="C110" s="88">
        <f>0</f>
        <v>0</v>
      </c>
      <c r="D110" s="89"/>
      <c r="E110" s="89"/>
      <c r="F110" s="90"/>
    </row>
    <row r="111" spans="2:6" ht="73.5" customHeight="1">
      <c r="B111" s="59" t="s">
        <v>94</v>
      </c>
      <c r="C111" s="88">
        <f>0</f>
        <v>0</v>
      </c>
      <c r="D111" s="89"/>
      <c r="E111" s="89"/>
      <c r="F111" s="90"/>
    </row>
    <row r="112" spans="2:6" ht="56.25">
      <c r="B112" s="59" t="s">
        <v>95</v>
      </c>
      <c r="C112" s="88">
        <f>0</f>
        <v>0</v>
      </c>
      <c r="D112" s="89"/>
      <c r="E112" s="89"/>
      <c r="F112" s="90"/>
    </row>
    <row r="113" spans="2:6" ht="61.5" customHeight="1">
      <c r="B113" s="78" t="s">
        <v>96</v>
      </c>
      <c r="C113" s="88">
        <f>0</f>
        <v>0</v>
      </c>
      <c r="D113" s="89"/>
      <c r="E113" s="89"/>
      <c r="F113" s="90"/>
    </row>
    <row r="114" spans="2:6" ht="49.5" customHeight="1">
      <c r="B114" s="78" t="s">
        <v>97</v>
      </c>
      <c r="C114" s="88">
        <f>0</f>
        <v>0</v>
      </c>
      <c r="D114" s="89"/>
      <c r="E114" s="89"/>
      <c r="F114" s="90"/>
    </row>
    <row r="115" spans="2:6" ht="87" customHeight="1">
      <c r="B115" s="78" t="s">
        <v>107</v>
      </c>
      <c r="C115" s="88">
        <f>0</f>
        <v>0</v>
      </c>
      <c r="D115" s="89"/>
      <c r="E115" s="89"/>
      <c r="F115" s="90"/>
    </row>
    <row r="116" spans="2:6" ht="81" customHeight="1">
      <c r="B116" s="78" t="s">
        <v>108</v>
      </c>
      <c r="C116" s="88">
        <f>0</f>
        <v>0</v>
      </c>
      <c r="D116" s="89"/>
      <c r="E116" s="89"/>
      <c r="F116" s="90"/>
    </row>
    <row r="117" ht="7.5" customHeight="1"/>
  </sheetData>
  <sheetProtection/>
  <mergeCells count="52">
    <mergeCell ref="C107:F107"/>
    <mergeCell ref="I62:J62"/>
    <mergeCell ref="I61:J61"/>
    <mergeCell ref="I63:J63"/>
    <mergeCell ref="I64:J64"/>
    <mergeCell ref="I56:J56"/>
    <mergeCell ref="I67:J67"/>
    <mergeCell ref="C78:D78"/>
    <mergeCell ref="E78:F78"/>
    <mergeCell ref="C79:F79"/>
    <mergeCell ref="B50:M50"/>
    <mergeCell ref="I65:J65"/>
    <mergeCell ref="I66:J66"/>
    <mergeCell ref="I57:J57"/>
    <mergeCell ref="I58:J58"/>
    <mergeCell ref="I59:J59"/>
    <mergeCell ref="I60:J60"/>
    <mergeCell ref="B1:M1"/>
    <mergeCell ref="I52:J54"/>
    <mergeCell ref="D52:D54"/>
    <mergeCell ref="E52:E54"/>
    <mergeCell ref="F53:F54"/>
    <mergeCell ref="F52:H52"/>
    <mergeCell ref="G53:H53"/>
    <mergeCell ref="L52:L54"/>
    <mergeCell ref="B3:B4"/>
    <mergeCell ref="K4:M4"/>
    <mergeCell ref="G79:H79"/>
    <mergeCell ref="C4:J4"/>
    <mergeCell ref="C55:J55"/>
    <mergeCell ref="C52:C54"/>
    <mergeCell ref="I68:J68"/>
    <mergeCell ref="I69:J69"/>
    <mergeCell ref="B76:M76"/>
    <mergeCell ref="B52:B55"/>
    <mergeCell ref="K52:K54"/>
    <mergeCell ref="K55:L55"/>
    <mergeCell ref="C106:F106"/>
    <mergeCell ref="C95:D95"/>
    <mergeCell ref="E95:F95"/>
    <mergeCell ref="C96:F96"/>
    <mergeCell ref="G96:H96"/>
    <mergeCell ref="C105:F105"/>
    <mergeCell ref="C114:F114"/>
    <mergeCell ref="C115:F115"/>
    <mergeCell ref="C116:F116"/>
    <mergeCell ref="C108:F108"/>
    <mergeCell ref="C109:F109"/>
    <mergeCell ref="C110:F110"/>
    <mergeCell ref="C111:F111"/>
    <mergeCell ref="C112:F112"/>
    <mergeCell ref="C113:F113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6" manualBreakCount="6">
    <brk id="21" max="255" man="1"/>
    <brk id="49" max="255" man="1"/>
    <brk id="75" max="255" man="1"/>
    <brk id="94" max="12" man="1"/>
    <brk id="103" max="12" man="1"/>
    <brk id="11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2018-03-19T09:08:58Z</cp:lastPrinted>
  <dcterms:created xsi:type="dcterms:W3CDTF">2001-05-17T08:58:03Z</dcterms:created>
  <dcterms:modified xsi:type="dcterms:W3CDTF">2018-08-22T13:13:54Z</dcterms:modified>
  <cp:category/>
  <cp:version/>
  <cp:contentType/>
  <cp:contentStatus/>
</cp:coreProperties>
</file>