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calcPr calcId="152511"/>
</workbook>
</file>

<file path=xl/calcChain.xml><?xml version="1.0" encoding="utf-8"?>
<calcChain xmlns="http://schemas.openxmlformats.org/spreadsheetml/2006/main">
  <c r="C107" i="5" l="1"/>
  <c r="C106" i="5"/>
  <c r="C105" i="5"/>
  <c r="C104" i="5"/>
  <c r="C107" i="4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F67" i="4" s="1"/>
  <c r="E66" i="4"/>
  <c r="D66" i="4"/>
  <c r="C66" i="4"/>
  <c r="I65" i="4"/>
  <c r="H65" i="4"/>
  <c r="G65" i="4"/>
  <c r="F65" i="4"/>
  <c r="E65" i="4"/>
  <c r="D65" i="4"/>
  <c r="K65" i="4" s="1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J7" i="4" s="1"/>
  <c r="C7" i="4"/>
  <c r="D5" i="4"/>
  <c r="C5" i="4"/>
  <c r="J88" i="4"/>
  <c r="J89" i="4"/>
  <c r="K89" i="4"/>
  <c r="K88" i="4"/>
  <c r="J82" i="4"/>
  <c r="J81" i="4"/>
  <c r="J83" i="4"/>
  <c r="K83" i="4"/>
  <c r="K82" i="4"/>
  <c r="K81" i="4"/>
  <c r="D104" i="5"/>
  <c r="B1" i="5" s="1"/>
  <c r="D104" i="4"/>
  <c r="B68" i="4" s="1"/>
  <c r="C61" i="4"/>
  <c r="K5" i="4"/>
  <c r="C40" i="4"/>
  <c r="K8" i="4"/>
  <c r="K9" i="4"/>
  <c r="K13" i="4"/>
  <c r="C12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C35" i="4"/>
  <c r="K36" i="4"/>
  <c r="K37" i="4"/>
  <c r="K38" i="4"/>
  <c r="K39" i="4"/>
  <c r="K41" i="4"/>
  <c r="K51" i="4"/>
  <c r="C54" i="4"/>
  <c r="C60" i="4" s="1"/>
  <c r="E54" i="4"/>
  <c r="E60" i="4" s="1"/>
  <c r="G54" i="4"/>
  <c r="G60" i="4" s="1"/>
  <c r="I54" i="4"/>
  <c r="I60" i="4" s="1"/>
  <c r="K53" i="4"/>
  <c r="K56" i="4"/>
  <c r="K58" i="4"/>
  <c r="C67" i="4"/>
  <c r="K67" i="4" s="1"/>
  <c r="E67" i="4"/>
  <c r="G67" i="4"/>
  <c r="I67" i="4"/>
  <c r="K73" i="4"/>
  <c r="K74" i="4"/>
  <c r="K75" i="4"/>
  <c r="K76" i="4"/>
  <c r="K77" i="4"/>
  <c r="K78" i="4"/>
  <c r="K79" i="4"/>
  <c r="K80" i="4"/>
  <c r="K84" i="4"/>
  <c r="K85" i="4"/>
  <c r="K86" i="4"/>
  <c r="K87" i="4"/>
  <c r="J32" i="4"/>
  <c r="J31" i="4"/>
  <c r="J26" i="4"/>
  <c r="J24" i="4"/>
  <c r="J20" i="4"/>
  <c r="J17" i="4"/>
  <c r="J9" i="4"/>
  <c r="J39" i="4"/>
  <c r="J13" i="4"/>
  <c r="J23" i="4"/>
  <c r="J28" i="4"/>
  <c r="J22" i="4"/>
  <c r="D40" i="4"/>
  <c r="J41" i="4" s="1"/>
  <c r="J30" i="4"/>
  <c r="J38" i="4"/>
  <c r="J15" i="4"/>
  <c r="J27" i="4"/>
  <c r="J19" i="4"/>
  <c r="J8" i="4"/>
  <c r="J36" i="4"/>
  <c r="J21" i="4"/>
  <c r="J25" i="4"/>
  <c r="J14" i="4"/>
  <c r="J16" i="4"/>
  <c r="J18" i="4"/>
  <c r="D61" i="4"/>
  <c r="J37" i="4"/>
  <c r="J5" i="4"/>
  <c r="J34" i="4"/>
  <c r="J33" i="4"/>
  <c r="J29" i="4"/>
  <c r="D12" i="4"/>
  <c r="J12" i="4" s="1"/>
  <c r="D35" i="4"/>
  <c r="K35" i="4" s="1"/>
  <c r="J59" i="4"/>
  <c r="J58" i="4"/>
  <c r="J51" i="4"/>
  <c r="J53" i="4"/>
  <c r="J57" i="4"/>
  <c r="J56" i="4"/>
  <c r="D54" i="4"/>
  <c r="D60" i="4" s="1"/>
  <c r="J60" i="4" s="1"/>
  <c r="J55" i="4"/>
  <c r="J52" i="4"/>
  <c r="F54" i="4"/>
  <c r="H54" i="4"/>
  <c r="H60" i="4" s="1"/>
  <c r="K52" i="4"/>
  <c r="K55" i="4"/>
  <c r="K57" i="4"/>
  <c r="K59" i="4"/>
  <c r="D67" i="4"/>
  <c r="J67" i="4" s="1"/>
  <c r="J66" i="4"/>
  <c r="H67" i="4"/>
  <c r="K66" i="4"/>
  <c r="J80" i="4"/>
  <c r="J74" i="4"/>
  <c r="J79" i="4"/>
  <c r="J76" i="4"/>
  <c r="J77" i="4"/>
  <c r="J75" i="4"/>
  <c r="J78" i="4"/>
  <c r="J73" i="4"/>
  <c r="J87" i="4"/>
  <c r="J85" i="4"/>
  <c r="J84" i="4"/>
  <c r="J86" i="4"/>
  <c r="J54" i="4"/>
  <c r="J35" i="4" l="1"/>
  <c r="B45" i="5"/>
  <c r="B69" i="5"/>
  <c r="B1" i="4"/>
  <c r="B44" i="4"/>
  <c r="J65" i="4"/>
  <c r="F60" i="4"/>
  <c r="K60" i="4"/>
  <c r="K54" i="4"/>
  <c r="D11" i="4"/>
  <c r="K12" i="4"/>
  <c r="C11" i="4"/>
  <c r="K7" i="4"/>
  <c r="D42" i="4"/>
  <c r="K40" i="4"/>
  <c r="J40" i="4"/>
  <c r="C42" i="4"/>
  <c r="J11" i="4" l="1"/>
  <c r="D6" i="4"/>
  <c r="K11" i="4"/>
  <c r="C6" i="4"/>
  <c r="D62" i="4"/>
  <c r="J42" i="4"/>
  <c r="K42" i="4"/>
  <c r="C62" i="4"/>
  <c r="L6" i="4" l="1"/>
  <c r="L7" i="4"/>
  <c r="L8" i="4"/>
  <c r="J6" i="4"/>
  <c r="D10" i="4"/>
  <c r="J10" i="4" s="1"/>
  <c r="L9" i="4"/>
  <c r="C10" i="4"/>
  <c r="K6" i="4"/>
  <c r="K10" i="4" l="1"/>
  <c r="L10" i="4"/>
</calcChain>
</file>

<file path=xl/sharedStrings.xml><?xml version="1.0" encoding="utf-8"?>
<sst xmlns="http://schemas.openxmlformats.org/spreadsheetml/2006/main" count="828" uniqueCount="375">
  <si>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</si>
  <si>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</si>
  <si>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</si>
  <si>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</si>
  <si>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</si>
  <si>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</si>
  <si>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</si>
  <si>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</si>
  <si>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</si>
  <si>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</si>
  <si>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</si>
  <si>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</si>
  <si>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</si>
  <si>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</si>
  <si>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</si>
  <si>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</si>
  <si>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</si>
  <si>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</si>
  <si>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</si>
  <si>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</si>
  <si>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</si>
  <si>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</si>
  <si>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</si>
  <si>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</si>
  <si>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</si>
  <si>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</si>
  <si>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</si>
  <si>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</si>
  <si>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</si>
  <si>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</si>
  <si>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</si>
  <si>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</si>
  <si>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</si>
  <si>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</si>
  <si>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</si>
  <si>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</si>
  <si>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</si>
  <si>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</si>
  <si>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</si>
  <si>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</si>
  <si>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</si>
  <si>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</si>
  <si>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</si>
  <si>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</si>
  <si>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</si>
  <si>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</si>
  <si>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</si>
  <si>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</si>
  <si>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</si>
  <si>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</si>
  <si>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</si>
  <si>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</si>
  <si>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</si>
  <si>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</si>
  <si>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</si>
  <si>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</si>
  <si>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</si>
  <si>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</si>
  <si>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</si>
  <si>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</si>
  <si>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</si>
  <si>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</si>
  <si>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 xml:space="preserve">podatek dochodowy od osób fizycznych </t>
  </si>
  <si>
    <t>dochody z majątku</t>
  </si>
  <si>
    <t xml:space="preserve">pozostałe dochody </t>
  </si>
  <si>
    <t>A1/A</t>
  </si>
  <si>
    <t>A2/A</t>
  </si>
  <si>
    <t>A3/A</t>
  </si>
  <si>
    <t>A14/A</t>
  </si>
  <si>
    <t>A15/A</t>
  </si>
  <si>
    <t>A16/A</t>
  </si>
  <si>
    <t>A17/A</t>
  </si>
  <si>
    <t>A18/A</t>
  </si>
  <si>
    <t>A19/A</t>
  </si>
  <si>
    <t>A20/A</t>
  </si>
  <si>
    <t>A21/A</t>
  </si>
  <si>
    <t>R4/R1</t>
  </si>
  <si>
    <t>A2/A1</t>
  </si>
  <si>
    <t>A3/A1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</si>
  <si>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</si>
  <si>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</si>
  <si>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</si>
  <si>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</si>
  <si>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</si>
  <si>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</si>
  <si>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</si>
  <si>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</si>
  <si>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</si>
  <si>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</si>
  <si>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</si>
  <si>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</si>
  <si>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</si>
  <si>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</si>
  <si>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</si>
  <si>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</si>
  <si>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</si>
  <si>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</si>
  <si>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</si>
  <si>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</si>
  <si>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</si>
  <si>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</si>
  <si>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</si>
  <si>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</si>
  <si>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</si>
  <si>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</si>
  <si>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</si>
  <si>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</si>
  <si>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</si>
  <si>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</si>
  <si>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</si>
  <si>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>D2W/D2P</t>
  </si>
  <si>
    <t>D111</t>
  </si>
  <si>
    <t>D111W/D1W</t>
  </si>
  <si>
    <t>D111W/D111P</t>
  </si>
  <si>
    <t xml:space="preserve">  spłaty pożyczek udzielonych</t>
  </si>
  <si>
    <t xml:space="preserve">  nadwyżka z lat ubiegłych</t>
  </si>
  <si>
    <t xml:space="preserve">  obligacje j.s.t. oraz związków komunalnych</t>
  </si>
  <si>
    <t xml:space="preserve">  prywatyzacja majątku j.s.t.</t>
  </si>
  <si>
    <t xml:space="preserve"> ROZCHODY OGÓŁEM     z tego:</t>
  </si>
  <si>
    <t xml:space="preserve">  spłaty kredytów i pożyczek</t>
  </si>
  <si>
    <t>D211</t>
  </si>
  <si>
    <t>D211W/D2W</t>
  </si>
  <si>
    <t>D211W/D211P</t>
  </si>
  <si>
    <t xml:space="preserve">  pożyczki</t>
  </si>
  <si>
    <t xml:space="preserve">  wykup papierów wartościowych</t>
  </si>
  <si>
    <t xml:space="preserve">  wykup obligacji samorządowych</t>
  </si>
  <si>
    <t>w tym wymagalne:</t>
  </si>
  <si>
    <t xml:space="preserve">podatek dochodowy od osób prawnych </t>
  </si>
  <si>
    <t>Wskaźnik 
(4:2)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</si>
  <si>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</si>
  <si>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</si>
  <si>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</si>
  <si>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</si>
  <si>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</si>
  <si>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</si>
  <si>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</si>
  <si>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</si>
  <si>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</si>
  <si>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</si>
  <si>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B=Σ§§</t>
  </si>
  <si>
    <t>PL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</si>
  <si>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</si>
  <si>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</si>
  <si>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</si>
  <si>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</si>
  <si>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</si>
  <si>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</si>
  <si>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</si>
  <si>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</si>
  <si>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</si>
  <si>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</si>
  <si>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</si>
  <si>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</si>
  <si>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</si>
  <si>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</si>
  <si>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A4/A</t>
  </si>
  <si>
    <t>A5/A</t>
  </si>
  <si>
    <t>A4/A1</t>
  </si>
  <si>
    <t>A5/A1</t>
  </si>
  <si>
    <t>A6/A</t>
  </si>
  <si>
    <t>A7/A</t>
  </si>
  <si>
    <t>A8/A</t>
  </si>
  <si>
    <t>A9/A</t>
  </si>
  <si>
    <t>A10/A</t>
  </si>
  <si>
    <t>A11/A</t>
  </si>
  <si>
    <t>A12/A</t>
  </si>
  <si>
    <t>A13/A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</si>
  <si>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</si>
  <si>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</si>
  <si>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</si>
  <si>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</si>
  <si>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</si>
  <si>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</si>
  <si>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</si>
  <si>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</si>
  <si>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</si>
  <si>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</si>
  <si>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Symbol=D1</t>
  </si>
  <si>
    <t>Symbol=D11</t>
  </si>
  <si>
    <t>Symbol=D111</t>
  </si>
  <si>
    <t>Symbol=D12</t>
  </si>
  <si>
    <t>Symbol=D13</t>
  </si>
  <si>
    <t>Symbol=D14</t>
  </si>
  <si>
    <t>Symbol=D15</t>
  </si>
  <si>
    <t>Symbol=D16</t>
  </si>
  <si>
    <t>Symbol=D2</t>
  </si>
  <si>
    <t>Symbol=D21</t>
  </si>
  <si>
    <t>Symbol=D211</t>
  </si>
  <si>
    <t>Symbol=D22</t>
  </si>
  <si>
    <t>paragraf zawiera(002)</t>
  </si>
  <si>
    <t>paragraf zawiera(001)</t>
  </si>
  <si>
    <t>paragraf zawiera(222,652)</t>
  </si>
  <si>
    <t>paragraf zawiera(652)</t>
  </si>
  <si>
    <t>paragraf zawiera(231,232,233,288,661,662,663,664)</t>
  </si>
  <si>
    <t>paragraf zawiera(661,662,663,664)</t>
  </si>
  <si>
    <t>paragraf zawiera(244,626)</t>
  </si>
  <si>
    <t>paragraf zawiera(626)</t>
  </si>
  <si>
    <t>paragraf zawiera(292) i dzial zawiera(758) i rozdzial zawiera(75801)</t>
  </si>
  <si>
    <t>paragraf zawiera(292) i dzial zawiera(758) i rozdzial zawiera(75833)</t>
  </si>
  <si>
    <t>paragraf zawiera(292) i dzial zawiera(758) i rozdzial zawiera(75804)</t>
  </si>
  <si>
    <t>wydatki z tytułu udzielania poręczeń i gwarancji</t>
  </si>
  <si>
    <t>D23</t>
  </si>
  <si>
    <t>Symbol=D23</t>
  </si>
  <si>
    <t>D23W/D23P</t>
  </si>
  <si>
    <t>D23W/D2W</t>
  </si>
  <si>
    <t>paragraf zawiera(200,620)</t>
  </si>
  <si>
    <t>paragraf zawiera(620)</t>
  </si>
  <si>
    <t>A22</t>
  </si>
  <si>
    <t>A23</t>
  </si>
  <si>
    <t>A22/A</t>
  </si>
  <si>
    <t>A23/A</t>
  </si>
  <si>
    <t>Dotacje ogółem              z tego:</t>
  </si>
  <si>
    <t>A24</t>
  </si>
  <si>
    <t>A24/A</t>
  </si>
  <si>
    <t>A5=A1-A2-A3-A4</t>
  </si>
  <si>
    <t>świadczenia na rzecz osób fizycznych</t>
  </si>
  <si>
    <t>Dotacje §§ 200 i 620</t>
  </si>
  <si>
    <t>w tym: inwestycyjne § 620</t>
  </si>
  <si>
    <t>tytul</t>
  </si>
  <si>
    <t>Dochody Ogółem</t>
  </si>
  <si>
    <t>majątkowe</t>
  </si>
  <si>
    <t>bieżace</t>
  </si>
  <si>
    <t>AM</t>
  </si>
  <si>
    <t>AB</t>
  </si>
  <si>
    <t>bieżące</t>
  </si>
  <si>
    <r>
      <t xml:space="preserve">A = </t>
    </r>
    <r>
      <rPr>
        <sz val="9"/>
        <color indexed="8"/>
        <rFont val="Arial"/>
        <family val="2"/>
        <charset val="238"/>
      </rPr>
      <t>∑</t>
    </r>
    <r>
      <rPr>
        <sz val="9"/>
        <color indexed="8"/>
        <rFont val="Arial"/>
        <family val="2"/>
        <charset val="238"/>
      </rPr>
      <t xml:space="preserve"> §§</t>
    </r>
  </si>
  <si>
    <t>A33/A1</t>
  </si>
  <si>
    <t>A34/A1</t>
  </si>
  <si>
    <t>UE</t>
  </si>
  <si>
    <t>wydatki majątkowe</t>
  </si>
  <si>
    <t>wydatki bieżące</t>
  </si>
  <si>
    <t>UE1</t>
  </si>
  <si>
    <t>UE2</t>
  </si>
  <si>
    <t>Wydatki Ogółem</t>
  </si>
  <si>
    <t>wydatki bieżace</t>
  </si>
  <si>
    <t>UE1/UE</t>
  </si>
  <si>
    <t>UE2/UE</t>
  </si>
  <si>
    <t>UE2=UE-UE1</t>
  </si>
  <si>
    <t>A33/A32</t>
  </si>
  <si>
    <t>A34/A32</t>
  </si>
  <si>
    <t>AB=A-AM</t>
  </si>
  <si>
    <t>w złotych</t>
  </si>
  <si>
    <t>paragraf zawiera(630)</t>
  </si>
  <si>
    <t>z tytułu pomocy finansowej udzielanej między jst na dofinansowanie własnych zadań</t>
  </si>
  <si>
    <t>A25</t>
  </si>
  <si>
    <t>A26</t>
  </si>
  <si>
    <t>A25/A</t>
  </si>
  <si>
    <t>A26/A</t>
  </si>
  <si>
    <t xml:space="preserve"> E</t>
  </si>
  <si>
    <t>Symbol=E</t>
  </si>
  <si>
    <t xml:space="preserve"> E1</t>
  </si>
  <si>
    <t>sprzedaż papierów wartościowych wyemitowanych przez jednostkę samorządu terytorialnego</t>
  </si>
  <si>
    <t>Symbol=E1</t>
  </si>
  <si>
    <t xml:space="preserve"> E2</t>
  </si>
  <si>
    <t>kredyty i pożyczki</t>
  </si>
  <si>
    <t>Symbol=E2</t>
  </si>
  <si>
    <t xml:space="preserve"> E3</t>
  </si>
  <si>
    <t>prywatyzacja majątku jednostki samorządu terytorialnego</t>
  </si>
  <si>
    <t>Symbol=E3</t>
  </si>
  <si>
    <t xml:space="preserve"> E4</t>
  </si>
  <si>
    <t>Symbol=E4</t>
  </si>
  <si>
    <t xml:space="preserve"> E5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</si>
  <si>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</si>
  <si>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Symbol=E5</t>
  </si>
  <si>
    <t>Dotacje §§ 205 i 625</t>
  </si>
  <si>
    <t>w tym: inwestycyjne § 625</t>
  </si>
  <si>
    <t>paragraf zawiera(205,625)</t>
  </si>
  <si>
    <t>paragraf zawiera(625)</t>
  </si>
  <si>
    <t>A27/A</t>
  </si>
  <si>
    <t>A28/A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</si>
  <si>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</si>
  <si>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A27</t>
  </si>
  <si>
    <t>A28</t>
  </si>
  <si>
    <t>paragraf zawiera(073,074,075,076,077,078,080,081,087)</t>
  </si>
  <si>
    <t>Wydatki Ogółem UE       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</si>
  <si>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</si>
  <si>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</si>
  <si>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</si>
  <si>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</si>
  <si>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</si>
  <si>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</si>
  <si>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</si>
  <si>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paragraf zawiera(271,278,630)</t>
  </si>
  <si>
    <t>paragraf zawiera(802,803) lub grupa zawiera(1800)</t>
  </si>
  <si>
    <t>B9=B3-B4-B5-B6-B7-B8</t>
  </si>
  <si>
    <t>finpar zawiera(1,2,5,6,7,8,9) lub grupa zawiera(1101,1102,1201,1202,1301,1302,1401,1402,1601,1602,1611,1612)</t>
  </si>
  <si>
    <t>paragraf zawiera(801,804,806,807,809,811,812,813) lub grupa zawiera(1810)</t>
  </si>
  <si>
    <t>otrzymane ze środków z Funduszu Przeciwdziałania COVID-19 (m.in. z Rządowego Funduszu Inwestycji Lokalnych)</t>
  </si>
  <si>
    <t>A29</t>
  </si>
  <si>
    <t>A30</t>
  </si>
  <si>
    <t>A29/A</t>
  </si>
  <si>
    <t>A30/A</t>
  </si>
  <si>
    <t>na finansowanie lub dofinansowanie zadań inwestycyjnych obiektów zabytkowych oraz prac remontowych i konserwatorskich przy zabytkach</t>
  </si>
  <si>
    <t>w tym: inwestycyjne</t>
  </si>
  <si>
    <t>paragraf zawiera (273, 656)</t>
  </si>
  <si>
    <t>paragraf zawiera (656)</t>
  </si>
  <si>
    <t>A31</t>
  </si>
  <si>
    <t>A32</t>
  </si>
  <si>
    <t>A28=A29+A30+A31+A32</t>
  </si>
  <si>
    <t>A31/A</t>
  </si>
  <si>
    <t>A32/A</t>
  </si>
  <si>
    <t>wynagrodzenia i składki od nich naliczane</t>
  </si>
  <si>
    <t xml:space="preserve"> E6</t>
  </si>
  <si>
    <t xml:space="preserve"> E7</t>
  </si>
  <si>
    <t>Symbol=E6</t>
  </si>
  <si>
    <t>Symbol=E7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</si>
  <si>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</si>
  <si>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</si>
  <si>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</si>
  <si>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</si>
  <si>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</si>
  <si>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</si>
  <si>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A6=A7+A24+A26</t>
  </si>
  <si>
    <t>A1=A-A6-A28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</si>
  <si>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</si>
  <si>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</si>
  <si>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</si>
  <si>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</si>
  <si>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</si>
  <si>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</si>
  <si>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</si>
  <si>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</si>
  <si>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</si>
  <si>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AUkr</t>
  </si>
  <si>
    <t>otrzymane z Funduszu Pomocy lub z innych środków (*)</t>
  </si>
  <si>
    <t>AUkrInw</t>
  </si>
  <si>
    <t>paragraf zawiera(210,638,253,639)</t>
  </si>
  <si>
    <t>paragraf zawiera(638,639)</t>
  </si>
  <si>
    <t>AUkr/A</t>
  </si>
  <si>
    <t>AUkrinw/A</t>
  </si>
  <si>
    <t>paragraf zawiera(218,609,610,637)</t>
  </si>
  <si>
    <t>paragraf zawiera(609,610,637)</t>
  </si>
  <si>
    <t>A7=A8+A10+A12+A14+A16+A18+A20+A22+Aukr</t>
  </si>
  <si>
    <t>paragraf zawiera(208,221,651,671)</t>
  </si>
  <si>
    <t>paragraf zawiera(651,671)</t>
  </si>
  <si>
    <t>paragraf zawiera(207,223,653,670)</t>
  </si>
  <si>
    <t>paragraf zawiera(653,670)</t>
  </si>
  <si>
    <t>paragraf zawiera(076,077,078,080,087,609,610,618,620,625,626,628,629,630,631,632,633,635,634,637,638,639,641,642,643,644,651,652,653,656,661,662,663,664,665,666,668,669,670,671)</t>
  </si>
  <si>
    <t>paragraf zawiera(601,603,605,606,610,613,614,615,617,619,620,621,622,623,625,630,637,647,648,649,656,657,658,659,661,662,663,664,665,666,669,672,680) lub grupa zawiera (1600,1601,1602,1610,1611,1612,1620,1630)</t>
  </si>
  <si>
    <t>paragraf zawiera(605,606,610,613,614,615,617,619,620,621,622,623,625,630,637,647,648,649,656,657,658,659,661,662,663,664,665,666,669,672,680)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</si>
  <si>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</si>
  <si>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zawiera(200,205,209,220,226,227,231,232,233,234,236,241,243,248,249,251,254,255,256,257,258,259,262,263,264,265,266,271,272,273,274,278,280,281,282,283,288,290) lub grupa zawiera(1200,1201,1202,1203)</t>
  </si>
  <si>
    <t>paragraf zawiera(302,303,304,305,307,311,320,321,324,325,326,328,329) lub grupa zawiera(1300,1301,1302,1303)</t>
  </si>
  <si>
    <t xml:space="preserve">Wydatki finansowane i współfinansowane środkami, o których mowa w art. 5 ust. 1 pkt 2 i 3  </t>
  </si>
  <si>
    <t>paragraf zawiera(601,603,605,606,610,613,614,615,617,619,620,621,622,623,625,630,637,647,648,649,656,657,658,659,661,662,663,664,665,666,669,672,680) i finpar zawiera(1,2,5,6,7,8,9) lub grupa zawiera(1601,1602,1611,1612)</t>
  </si>
  <si>
    <t>(*) na finansowanie lub dofinansowanie realizacji zadań w zakresie pomocy obywatelom Ukrainy</t>
  </si>
  <si>
    <t>WYDATKI Z UDZIAŁEM ŚRODKÓW, O KTÓRYCH MOWA W ART. 5 UST. 1 pkt 2</t>
  </si>
  <si>
    <t>paragraf zawiera(277,279,618) i dzial zawiera(758) i rozdzial zawiera(75802,75819)</t>
  </si>
  <si>
    <t>D17</t>
  </si>
  <si>
    <t>D18</t>
  </si>
  <si>
    <t>Symbol=D17</t>
  </si>
  <si>
    <t>Symbol=D18</t>
  </si>
  <si>
    <t>D181</t>
  </si>
  <si>
    <t>Symbol=D181</t>
  </si>
  <si>
    <t>D17W/D1W</t>
  </si>
  <si>
    <t>D17W/D17P</t>
  </si>
  <si>
    <t>D18W/D1W</t>
  </si>
  <si>
    <t>D18W/D18P</t>
  </si>
  <si>
    <t>D181W/D1W</t>
  </si>
  <si>
    <t>D181W/D181P</t>
  </si>
  <si>
    <t>D231</t>
  </si>
  <si>
    <t>Symbol=D231</t>
  </si>
  <si>
    <t>D231W/D2W</t>
  </si>
  <si>
    <t>D231W/D231P</t>
  </si>
  <si>
    <t xml:space="preserve"> E8</t>
  </si>
  <si>
    <t>Symbol=E8</t>
  </si>
  <si>
    <t>FINANSOWANIE DEFICYTU (E1+E2+E3+E4+E5+E6+E7+E8)  
z tego:</t>
  </si>
  <si>
    <t>stan niespłaconych na koniec okresu sprawozdawczego zobowiązań przeznaczonych na cel , o którym mowa w art. 89 ust. 1 pkt.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</si>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</sst>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6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6" fillId="18" borderId="0" applyNumberFormat="0" applyBorder="0" applyAlignment="0" applyProtection="0"/>
    <xf numFmtId="0" fontId="17" fillId="7" borderId="1" applyNumberFormat="0" applyAlignment="0" applyProtection="0"/>
    <xf numFmtId="0" fontId="18" fillId="17" borderId="2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1" applyNumberFormat="0" applyAlignment="0" applyProtection="0"/>
    <xf numFmtId="0" fontId="25" fillId="0" borderId="7" applyNumberFormat="0" applyFill="0" applyAlignment="0" applyProtection="0"/>
    <xf numFmtId="0" fontId="26" fillId="10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7" fillId="7" borderId="3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20" borderId="1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11" fillId="2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4" fillId="20" borderId="12" xfId="0" applyNumberFormat="1" applyFont="1" applyFill="1" applyBorder="1" applyAlignment="1">
      <alignment horizontal="right" vertical="center"/>
    </xf>
    <xf numFmtId="4" fontId="4" fillId="0" borderId="12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4" fontId="7" fillId="0" borderId="13" xfId="0" applyNumberFormat="1" applyFont="1" applyFill="1" applyBorder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/>
    </xf>
    <xf numFmtId="4" fontId="7" fillId="20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Border="1"/>
    <xf numFmtId="166" fontId="2" fillId="0" borderId="10" xfId="0" applyNumberFormat="1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8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4" fontId="11" fillId="20" borderId="10" xfId="28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20" borderId="10" xfId="0" applyNumberFormat="1" applyFont="1" applyFill="1" applyBorder="1" applyAlignment="1">
      <alignment horizontal="center" vertical="center"/>
    </xf>
    <xf numFmtId="4" fontId="11" fillId="20" borderId="10" xfId="0" applyNumberFormat="1" applyFont="1" applyFill="1" applyBorder="1" applyAlignment="1">
      <alignment horizontal="center" vertical="center"/>
    </xf>
    <xf numFmtId="4" fontId="6" fillId="21" borderId="10" xfId="0" applyNumberFormat="1" applyFont="1" applyFill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2" borderId="14" xfId="0" applyNumberFormat="1" applyFont="1" applyFill="1" applyBorder="1" applyAlignment="1">
      <alignment horizontal="right" vertical="center"/>
    </xf>
    <xf numFmtId="4" fontId="11" fillId="23" borderId="14" xfId="0" applyNumberFormat="1" applyFont="1" applyFill="1" applyBorder="1" applyAlignment="1">
      <alignment horizontal="right" vertical="center"/>
    </xf>
    <xf numFmtId="0" fontId="36" fillId="23" borderId="10" xfId="43" applyFont="1" applyFill="1" applyBorder="1" applyAlignment="1">
      <alignment horizontal="left" vertical="center" wrapText="1"/>
    </xf>
    <xf numFmtId="164" fontId="11" fillId="22" borderId="10" xfId="28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3" fillId="0" borderId="0" xfId="0" applyFont="1" applyBorder="1" applyAlignment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23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3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4" fillId="23" borderId="10" xfId="0" applyFont="1" applyFill="1" applyBorder="1" applyAlignment="1">
      <alignment horizontal="left" vertical="center" wrapText="1" indent="1"/>
    </xf>
    <xf numFmtId="4" fontId="4" fillId="22" borderId="1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20" borderId="14" xfId="0" applyNumberFormat="1" applyFont="1" applyFill="1" applyBorder="1" applyAlignment="1">
      <alignment vertical="center"/>
    </xf>
    <xf numFmtId="4" fontId="7" fillId="20" borderId="15" xfId="0" applyNumberFormat="1" applyFont="1" applyFill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20" borderId="14" xfId="0" applyNumberFormat="1" applyFont="1" applyFill="1" applyBorder="1" applyAlignment="1">
      <alignment vertical="center"/>
    </xf>
    <xf numFmtId="4" fontId="4" fillId="20" borderId="15" xfId="0" applyNumberFormat="1" applyFont="1" applyFill="1" applyBorder="1" applyAlignment="1">
      <alignment vertical="center"/>
    </xf>
    <xf numFmtId="4" fontId="4" fillId="23" borderId="14" xfId="0" applyNumberFormat="1" applyFont="1" applyFill="1" applyBorder="1" applyAlignment="1">
      <alignment vertical="center"/>
    </xf>
    <xf numFmtId="4" fontId="4" fillId="23" borderId="15" xfId="0" applyNumberFormat="1" applyFont="1" applyFill="1" applyBorder="1" applyAlignment="1">
      <alignment vertical="center"/>
    </xf>
    <xf numFmtId="4" fontId="4" fillId="0" borderId="14" xfId="0" applyNumberFormat="1" applyFont="1" applyFill="1" applyBorder="1" applyAlignment="1">
      <alignment vertical="center" wrapText="1"/>
    </xf>
    <xf numFmtId="4" fontId="4" fillId="0" borderId="15" xfId="0" applyNumberFormat="1" applyFont="1" applyFill="1" applyBorder="1" applyAlignment="1">
      <alignment vertical="center" wrapText="1"/>
    </xf>
    <xf numFmtId="3" fontId="5" fillId="0" borderId="14" xfId="0" applyNumberFormat="1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4" fontId="11" fillId="23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4" fontId="11" fillId="23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3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164" fontId="4" fillId="23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right" vertical="center"/>
    </xf>
    <xf numFmtId="4" fontId="13" fillId="23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3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3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vertical="center"/>
    </xf>
    <xf numFmtId="0" fontId="2" fillId="0" borderId="0" xfId="43" applyFont="1" applyFill="1" applyAlignment="1">
      <alignment horizontal="center" vertical="center"/>
    </xf>
    <xf numFmtId="0" fontId="10" fillId="0" borderId="20" xfId="4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3" borderId="10" xfId="0" applyFont="1" applyFill="1" applyBorder="1" applyAlignment="1">
      <alignment horizontal="left" vertical="top" wrapText="1"/>
    </xf>
    <xf numFmtId="4" fontId="13" fillId="0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36" fillId="0" borderId="10" xfId="44" applyFont="1" applyBorder="1" applyAlignment="1">
      <alignment horizontal="left" vertical="center" wrapText="1" inden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3" fillId="0" borderId="19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4" fontId="8" fillId="21" borderId="14" xfId="0" applyNumberFormat="1" applyFont="1" applyFill="1" applyBorder="1" applyAlignment="1">
      <alignment horizontal="center" vertical="center"/>
    </xf>
    <xf numFmtId="4" fontId="8" fillId="21" borderId="15" xfId="0" applyNumberFormat="1" applyFont="1" applyFill="1" applyBorder="1" applyAlignment="1">
      <alignment horizontal="center" vertical="center"/>
    </xf>
    <xf numFmtId="4" fontId="8" fillId="21" borderId="1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19" borderId="10" xfId="0" applyFont="1" applyFill="1" applyBorder="1" applyAlignment="1">
      <alignment horizontal="center" vertical="top" wrapText="1"/>
    </xf>
    <xf numFmtId="4" fontId="10" fillId="20" borderId="14" xfId="0" applyNumberFormat="1" applyFont="1" applyFill="1" applyBorder="1" applyAlignment="1">
      <alignment horizontal="center" vertical="center"/>
    </xf>
    <xf numFmtId="4" fontId="10" fillId="20" borderId="15" xfId="0" applyNumberFormat="1" applyFont="1" applyFill="1" applyBorder="1" applyAlignment="1">
      <alignment horizontal="center" vertical="center"/>
    </xf>
    <xf numFmtId="4" fontId="10" fillId="20" borderId="12" xfId="0" applyNumberFormat="1" applyFont="1" applyFill="1" applyBorder="1" applyAlignment="1">
      <alignment horizontal="center" vertical="center"/>
    </xf>
    <xf numFmtId="0" fontId="10" fillId="19" borderId="10" xfId="0" applyFont="1" applyFill="1" applyBorder="1" applyAlignment="1">
      <alignment horizontal="center" vertical="center" wrapText="1"/>
    </xf>
    <xf numFmtId="0" fontId="10" fillId="20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center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1" borderId="10" xfId="0" applyFont="1" applyFill="1" applyBorder="1" applyAlignment="1">
      <alignment horizontal="left" vertical="center" wrapText="1"/>
    </xf>
    <xf numFmtId="0" fontId="6" fillId="21" borderId="10" xfId="0" applyFont="1" applyFill="1" applyBorder="1" applyAlignment="1">
      <alignment horizontal="left" vertical="center" wrapText="1" indent="1"/>
    </xf>
    <xf numFmtId="4" fontId="8" fillId="20" borderId="14" xfId="0" applyNumberFormat="1" applyFont="1" applyFill="1" applyBorder="1" applyAlignment="1">
      <alignment horizontal="center" vertical="center"/>
    </xf>
    <xf numFmtId="4" fontId="8" fillId="20" borderId="15" xfId="0" applyNumberFormat="1" applyFont="1" applyFill="1" applyBorder="1" applyAlignment="1">
      <alignment horizontal="center" vertical="center"/>
    </xf>
    <xf numFmtId="4" fontId="8" fillId="20" borderId="12" xfId="0" applyNumberFormat="1" applyFont="1" applyFill="1" applyBorder="1" applyAlignment="1">
      <alignment horizontal="center" vertical="center"/>
    </xf>
    <xf numFmtId="4" fontId="7" fillId="20" borderId="10" xfId="0" applyNumberFormat="1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left" vertical="center"/>
    </xf>
    <xf numFmtId="4" fontId="4" fillId="20" borderId="10" xfId="0" applyNumberFormat="1" applyFont="1" applyFill="1" applyBorder="1" applyAlignment="1">
      <alignment horizontal="left" vertical="center" wrapText="1"/>
    </xf>
    <xf numFmtId="2" fontId="7" fillId="0" borderId="15" xfId="0" applyNumberFormat="1" applyFont="1" applyBorder="1" applyAlignment="1">
      <alignment horizontal="left" vertical="center" wrapText="1"/>
    </xf>
    <xf numFmtId="2" fontId="0" fillId="0" borderId="15" xfId="0" applyNumberFormat="1" applyBorder="1" applyAlignment="1">
      <alignment horizontal="left" vertical="center" wrapText="1"/>
    </xf>
    <xf numFmtId="2" fontId="0" fillId="0" borderId="12" xfId="0" applyNumberForma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/>
    </xf>
    <xf numFmtId="4" fontId="4" fillId="20" borderId="14" xfId="0" applyNumberFormat="1" applyFont="1" applyFill="1" applyBorder="1" applyAlignment="1">
      <alignment horizontal="left" vertical="center" wrapText="1"/>
    </xf>
    <xf numFmtId="4" fontId="4" fillId="20" borderId="15" xfId="0" applyNumberFormat="1" applyFont="1" applyFill="1" applyBorder="1" applyAlignment="1">
      <alignment horizontal="left" vertical="center" wrapText="1"/>
    </xf>
    <xf numFmtId="4" fontId="4" fillId="20" borderId="12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4" fontId="4" fillId="0" borderId="10" xfId="0" applyNumberFormat="1" applyFont="1" applyBorder="1" applyAlignment="1">
      <alignment horizontal="left" vertical="center" wrapText="1"/>
    </xf>
    <xf numFmtId="0" fontId="10" fillId="20" borderId="14" xfId="0" applyFont="1" applyFill="1" applyBorder="1" applyAlignment="1">
      <alignment horizontal="left" vertical="center" wrapText="1"/>
    </xf>
    <xf numFmtId="0" fontId="10" fillId="2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4" xfId="32"/>
    <cellStyle name="Dziesiętny 5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ny" xfId="0" builtinId="0"/>
    <cellStyle name="Normalny 2" xfId="43"/>
    <cellStyle name="Normalny 2 2" xfId="44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7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55" t="str">
        <f>CONCATENATE("Informacja z wykonania budżetów województw za ",$D$104," ",$C$105," rok    ",$C$107,"")</f>
        <v xml:space="preserve">Informacja z wykonania budżetów województw za II Kwartały 2023 rok    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2:17" ht="60" customHeight="1" x14ac:dyDescent="0.2">
      <c r="B2" s="202" t="s">
        <v>0</v>
      </c>
      <c r="C2" s="17" t="s">
        <v>129</v>
      </c>
      <c r="D2" s="17" t="s">
        <v>130</v>
      </c>
      <c r="E2" s="17" t="s">
        <v>316</v>
      </c>
      <c r="F2" s="17" t="s">
        <v>317</v>
      </c>
      <c r="G2" s="17" t="s">
        <v>318</v>
      </c>
      <c r="H2" s="17" t="s">
        <v>319</v>
      </c>
      <c r="I2" s="17" t="s">
        <v>320</v>
      </c>
      <c r="J2" s="19" t="s">
        <v>2</v>
      </c>
      <c r="K2" s="17" t="s">
        <v>61</v>
      </c>
      <c r="L2" s="17" t="s">
        <v>3</v>
      </c>
    </row>
    <row r="3" spans="2:17" ht="9.75" customHeight="1" x14ac:dyDescent="0.2">
      <c r="B3" s="202"/>
      <c r="C3" s="209" t="s">
        <v>241</v>
      </c>
      <c r="D3" s="211"/>
      <c r="E3" s="203" t="s">
        <v>314</v>
      </c>
      <c r="F3" s="204"/>
      <c r="G3" s="204"/>
      <c r="H3" s="204"/>
      <c r="I3" s="205"/>
      <c r="J3" s="209" t="s">
        <v>4</v>
      </c>
      <c r="K3" s="210"/>
      <c r="L3" s="211"/>
    </row>
    <row r="4" spans="2:17" ht="9" customHeight="1" x14ac:dyDescent="0.2">
      <c r="B4" s="19">
        <v>1</v>
      </c>
      <c r="C4" s="21">
        <v>2</v>
      </c>
      <c r="D4" s="21">
        <v>3</v>
      </c>
      <c r="E4" s="206"/>
      <c r="F4" s="207"/>
      <c r="G4" s="207"/>
      <c r="H4" s="207"/>
      <c r="I4" s="208"/>
      <c r="J4" s="21">
        <v>4</v>
      </c>
      <c r="K4" s="21">
        <v>5</v>
      </c>
      <c r="L4" s="21">
        <v>6</v>
      </c>
    </row>
    <row r="5" spans="2:17" ht="12.95" customHeight="1" x14ac:dyDescent="0.2">
      <c r="B5" s="153" t="s">
        <v>5</v>
      </c>
      <c r="C5" s="89">
        <f>31546868838.05</f>
        <v>31546868838.049999</v>
      </c>
      <c r="D5" s="89">
        <f>14931461040.46</f>
        <v>14931461040.459999</v>
      </c>
      <c r="E5" s="149" t="s">
        <v>314</v>
      </c>
      <c r="F5" s="149" t="s">
        <v>314</v>
      </c>
      <c r="G5" s="149" t="s">
        <v>314</v>
      </c>
      <c r="H5" s="149" t="s">
        <v>314</v>
      </c>
      <c r="I5" s="149" t="s">
        <v>314</v>
      </c>
      <c r="J5" s="90">
        <f t="shared" ref="J5:J39" si="0">IF($D$5=0,"",100*$D5/$D$5)</f>
        <v>100</v>
      </c>
      <c r="K5" s="90">
        <f t="shared" ref="K5:K42" si="1">IF(C5=0,"",100*D5/C5)</f>
        <v>47.331039784368521</v>
      </c>
      <c r="L5" s="90"/>
      <c r="M5" s="62"/>
      <c r="N5" s="62"/>
      <c r="O5" s="62"/>
      <c r="P5" s="62"/>
      <c r="Q5" s="62"/>
    </row>
    <row r="6" spans="2:17" ht="27" customHeight="1" x14ac:dyDescent="0.2">
      <c r="B6" s="151" t="s">
        <v>167</v>
      </c>
      <c r="C6" s="32">
        <f>C5-C11-C35</f>
        <v>17751549320.610001</v>
      </c>
      <c r="D6" s="32">
        <f>D5-D11-D35</f>
        <v>8900877904.329998</v>
      </c>
      <c r="E6" s="149" t="s">
        <v>314</v>
      </c>
      <c r="F6" s="149" t="s">
        <v>314</v>
      </c>
      <c r="G6" s="149" t="s">
        <v>314</v>
      </c>
      <c r="H6" s="149" t="s">
        <v>314</v>
      </c>
      <c r="I6" s="149" t="s">
        <v>314</v>
      </c>
      <c r="J6" s="54">
        <f t="shared" si="0"/>
        <v>59.611567014180046</v>
      </c>
      <c r="K6" s="54">
        <f t="shared" si="1"/>
        <v>50.141414383452442</v>
      </c>
      <c r="L6" s="54">
        <f>IF($D$6=0,"",100*$D6/$D$6)</f>
        <v>100</v>
      </c>
      <c r="M6" s="62"/>
      <c r="N6" s="62"/>
      <c r="O6" s="62"/>
      <c r="P6" s="62"/>
      <c r="Q6" s="62"/>
    </row>
    <row r="7" spans="2:17" ht="22.5" outlineLevel="1" x14ac:dyDescent="0.2">
      <c r="B7" s="47" t="s">
        <v>127</v>
      </c>
      <c r="C7" s="29">
        <f>14074450001</f>
        <v>14074450001</v>
      </c>
      <c r="D7" s="29">
        <f>7037224950</f>
        <v>7037224950</v>
      </c>
      <c r="E7" s="165" t="s">
        <v>314</v>
      </c>
      <c r="F7" s="165" t="s">
        <v>314</v>
      </c>
      <c r="G7" s="165" t="s">
        <v>314</v>
      </c>
      <c r="H7" s="165" t="s">
        <v>314</v>
      </c>
      <c r="I7" s="165" t="s">
        <v>314</v>
      </c>
      <c r="J7" s="55">
        <f t="shared" si="0"/>
        <v>47.130183248184011</v>
      </c>
      <c r="K7" s="55">
        <f t="shared" si="1"/>
        <v>49.999999641193796</v>
      </c>
      <c r="L7" s="55">
        <f>IF($D$6=0,"",100*$D7/$D$6)</f>
        <v>79.062144494495428</v>
      </c>
      <c r="M7" s="62"/>
      <c r="N7" s="62"/>
      <c r="O7" s="62"/>
      <c r="P7" s="62"/>
      <c r="Q7" s="62"/>
    </row>
    <row r="8" spans="2:17" ht="22.5" outlineLevel="1" x14ac:dyDescent="0.2">
      <c r="B8" s="95" t="s">
        <v>62</v>
      </c>
      <c r="C8" s="31">
        <f>1647296000</f>
        <v>1647296000</v>
      </c>
      <c r="D8" s="31">
        <f>823647960</f>
        <v>823647960</v>
      </c>
      <c r="E8" s="165" t="s">
        <v>314</v>
      </c>
      <c r="F8" s="165" t="s">
        <v>314</v>
      </c>
      <c r="G8" s="165" t="s">
        <v>314</v>
      </c>
      <c r="H8" s="165" t="s">
        <v>314</v>
      </c>
      <c r="I8" s="165" t="s">
        <v>314</v>
      </c>
      <c r="J8" s="55">
        <f t="shared" si="0"/>
        <v>5.5161913343118201</v>
      </c>
      <c r="K8" s="55">
        <f t="shared" si="1"/>
        <v>49.999997571778238</v>
      </c>
      <c r="L8" s="55">
        <f>IF($D$6=0,"",100*$D8/$D$6)</f>
        <v>9.2535586809849519</v>
      </c>
      <c r="M8" s="62"/>
      <c r="N8" s="62"/>
      <c r="O8" s="62"/>
      <c r="P8" s="62"/>
      <c r="Q8" s="62"/>
    </row>
    <row r="9" spans="2:17" ht="12.75" customHeight="1" outlineLevel="1" x14ac:dyDescent="0.2">
      <c r="B9" s="95" t="s">
        <v>63</v>
      </c>
      <c r="C9" s="31">
        <f>177482359.52</f>
        <v>177482359.52000001</v>
      </c>
      <c r="D9" s="91">
        <f>100917744.73</f>
        <v>100917744.73</v>
      </c>
      <c r="E9" s="165" t="s">
        <v>314</v>
      </c>
      <c r="F9" s="165" t="s">
        <v>314</v>
      </c>
      <c r="G9" s="165" t="s">
        <v>314</v>
      </c>
      <c r="H9" s="165" t="s">
        <v>314</v>
      </c>
      <c r="I9" s="165" t="s">
        <v>314</v>
      </c>
      <c r="J9" s="55">
        <f t="shared" si="0"/>
        <v>0.6758732079636528</v>
      </c>
      <c r="K9" s="55">
        <f t="shared" si="1"/>
        <v>56.860718441501142</v>
      </c>
      <c r="L9" s="55">
        <f>IF($D$6=0,"",100*$D9/$D$6)</f>
        <v>1.1337954055173218</v>
      </c>
      <c r="M9" s="62"/>
      <c r="N9" s="62"/>
      <c r="O9" s="62"/>
      <c r="P9" s="62"/>
      <c r="Q9" s="62"/>
    </row>
    <row r="10" spans="2:17" ht="12.75" customHeight="1" outlineLevel="1" x14ac:dyDescent="0.2">
      <c r="B10" s="95" t="s">
        <v>64</v>
      </c>
      <c r="C10" s="31">
        <f>C6-C7-C8-C9</f>
        <v>1852320960.0900006</v>
      </c>
      <c r="D10" s="31">
        <f>D6-D7-D8-D9</f>
        <v>939087249.599998</v>
      </c>
      <c r="E10" s="165" t="s">
        <v>314</v>
      </c>
      <c r="F10" s="165" t="s">
        <v>314</v>
      </c>
      <c r="G10" s="165" t="s">
        <v>314</v>
      </c>
      <c r="H10" s="165" t="s">
        <v>314</v>
      </c>
      <c r="I10" s="165" t="s">
        <v>314</v>
      </c>
      <c r="J10" s="55">
        <f t="shared" si="0"/>
        <v>6.2893192237205691</v>
      </c>
      <c r="K10" s="55">
        <f t="shared" si="1"/>
        <v>50.697868772934989</v>
      </c>
      <c r="L10" s="55">
        <f>IF($D$6=0,"",100*$D10/$D$6)</f>
        <v>10.550501419002293</v>
      </c>
      <c r="M10" s="62"/>
      <c r="N10" s="62"/>
      <c r="O10" s="62"/>
      <c r="P10" s="62"/>
      <c r="Q10" s="62"/>
    </row>
    <row r="11" spans="2:17" ht="27" customHeight="1" x14ac:dyDescent="0.2">
      <c r="B11" s="151" t="s">
        <v>315</v>
      </c>
      <c r="C11" s="89">
        <f>C12+C31+C33</f>
        <v>8284417608.4399996</v>
      </c>
      <c r="D11" s="89">
        <f>D12+D31+D33</f>
        <v>3054321218.1300001</v>
      </c>
      <c r="E11" s="149" t="s">
        <v>314</v>
      </c>
      <c r="F11" s="149" t="s">
        <v>314</v>
      </c>
      <c r="G11" s="149" t="s">
        <v>314</v>
      </c>
      <c r="H11" s="149" t="s">
        <v>314</v>
      </c>
      <c r="I11" s="149" t="s">
        <v>314</v>
      </c>
      <c r="J11" s="90">
        <f t="shared" si="0"/>
        <v>20.455608529223369</v>
      </c>
      <c r="K11" s="90">
        <f t="shared" si="1"/>
        <v>36.868267179316483</v>
      </c>
      <c r="L11" s="92"/>
      <c r="M11" s="62"/>
      <c r="N11" s="62"/>
      <c r="O11" s="62"/>
      <c r="P11" s="62"/>
      <c r="Q11" s="62"/>
    </row>
    <row r="12" spans="2:17" ht="27" customHeight="1" outlineLevel="1" x14ac:dyDescent="0.2">
      <c r="B12" s="157" t="s">
        <v>168</v>
      </c>
      <c r="C12" s="89">
        <f>C13+C15+C17+C19+C21+C23+C25+C27+C29</f>
        <v>2447347980.9400001</v>
      </c>
      <c r="D12" s="89">
        <f>D13+D15+D17+D19+D21+D23+D25+D27+D29</f>
        <v>1238449773.8900001</v>
      </c>
      <c r="E12" s="149" t="s">
        <v>314</v>
      </c>
      <c r="F12" s="149" t="s">
        <v>314</v>
      </c>
      <c r="G12" s="149" t="s">
        <v>314</v>
      </c>
      <c r="H12" s="149" t="s">
        <v>314</v>
      </c>
      <c r="I12" s="149" t="s">
        <v>314</v>
      </c>
      <c r="J12" s="90">
        <f t="shared" si="0"/>
        <v>8.2942303538424991</v>
      </c>
      <c r="K12" s="90">
        <f t="shared" si="1"/>
        <v>50.603746730545645</v>
      </c>
      <c r="L12" s="42"/>
      <c r="M12" s="62"/>
      <c r="N12" s="62"/>
      <c r="O12" s="62"/>
      <c r="P12" s="62"/>
      <c r="Q12" s="62"/>
    </row>
    <row r="13" spans="2:17" ht="22.5" outlineLevel="1" x14ac:dyDescent="0.2">
      <c r="B13" s="158" t="s">
        <v>9</v>
      </c>
      <c r="C13" s="31">
        <f>1341492517.98</f>
        <v>1341492517.98</v>
      </c>
      <c r="D13" s="31">
        <f>974901947.32</f>
        <v>974901947.32000005</v>
      </c>
      <c r="E13" s="165" t="s">
        <v>314</v>
      </c>
      <c r="F13" s="165" t="s">
        <v>314</v>
      </c>
      <c r="G13" s="165" t="s">
        <v>314</v>
      </c>
      <c r="H13" s="165" t="s">
        <v>314</v>
      </c>
      <c r="I13" s="165" t="s">
        <v>314</v>
      </c>
      <c r="J13" s="55">
        <f t="shared" si="0"/>
        <v>6.5291798617582959</v>
      </c>
      <c r="K13" s="55">
        <f t="shared" si="1"/>
        <v>72.672932144861548</v>
      </c>
      <c r="L13" s="42"/>
      <c r="M13" s="62"/>
      <c r="N13" s="62"/>
      <c r="O13" s="62"/>
      <c r="P13" s="62"/>
      <c r="Q13" s="62"/>
    </row>
    <row r="14" spans="2:17" ht="12.75" customHeight="1" outlineLevel="1" x14ac:dyDescent="0.2">
      <c r="B14" s="168" t="s">
        <v>6</v>
      </c>
      <c r="C14" s="31">
        <f>150000</f>
        <v>150000</v>
      </c>
      <c r="D14" s="31">
        <f>0</f>
        <v>0</v>
      </c>
      <c r="E14" s="165" t="s">
        <v>314</v>
      </c>
      <c r="F14" s="165" t="s">
        <v>314</v>
      </c>
      <c r="G14" s="165" t="s">
        <v>314</v>
      </c>
      <c r="H14" s="165" t="s">
        <v>314</v>
      </c>
      <c r="I14" s="165" t="s">
        <v>314</v>
      </c>
      <c r="J14" s="55">
        <f t="shared" si="0"/>
        <v>0</v>
      </c>
      <c r="K14" s="55">
        <f t="shared" si="1"/>
        <v>0</v>
      </c>
      <c r="L14" s="42"/>
      <c r="M14" s="62"/>
      <c r="N14" s="62"/>
      <c r="O14" s="62"/>
      <c r="P14" s="62"/>
      <c r="Q14" s="62"/>
    </row>
    <row r="15" spans="2:17" ht="12.75" customHeight="1" outlineLevel="1" x14ac:dyDescent="0.2">
      <c r="B15" s="158" t="s">
        <v>7</v>
      </c>
      <c r="C15" s="31">
        <f>54696350.36</f>
        <v>54696350.359999999</v>
      </c>
      <c r="D15" s="31">
        <f>20313618.19</f>
        <v>20313618.190000001</v>
      </c>
      <c r="E15" s="165" t="s">
        <v>314</v>
      </c>
      <c r="F15" s="165" t="s">
        <v>314</v>
      </c>
      <c r="G15" s="165" t="s">
        <v>314</v>
      </c>
      <c r="H15" s="165" t="s">
        <v>314</v>
      </c>
      <c r="I15" s="165" t="s">
        <v>314</v>
      </c>
      <c r="J15" s="55">
        <f t="shared" si="0"/>
        <v>0.13604575021128806</v>
      </c>
      <c r="K15" s="55">
        <f t="shared" si="1"/>
        <v>37.138891454914258</v>
      </c>
      <c r="L15" s="42"/>
      <c r="M15" s="62"/>
      <c r="N15" s="62"/>
      <c r="O15" s="62"/>
      <c r="P15" s="62"/>
      <c r="Q15" s="62"/>
    </row>
    <row r="16" spans="2:17" ht="12.75" customHeight="1" outlineLevel="1" x14ac:dyDescent="0.2">
      <c r="B16" s="168" t="s">
        <v>6</v>
      </c>
      <c r="C16" s="31">
        <f>27492134.56</f>
        <v>27492134.559999999</v>
      </c>
      <c r="D16" s="31">
        <f>6384241.98</f>
        <v>6384241.9800000004</v>
      </c>
      <c r="E16" s="165" t="s">
        <v>314</v>
      </c>
      <c r="F16" s="165" t="s">
        <v>314</v>
      </c>
      <c r="G16" s="165" t="s">
        <v>314</v>
      </c>
      <c r="H16" s="165" t="s">
        <v>314</v>
      </c>
      <c r="I16" s="165" t="s">
        <v>314</v>
      </c>
      <c r="J16" s="55">
        <f t="shared" si="0"/>
        <v>4.2756981133329992E-2</v>
      </c>
      <c r="K16" s="55">
        <f t="shared" si="1"/>
        <v>23.222067264608938</v>
      </c>
      <c r="L16" s="42"/>
      <c r="M16" s="62"/>
      <c r="N16" s="62"/>
      <c r="O16" s="62"/>
      <c r="P16" s="62"/>
      <c r="Q16" s="62"/>
    </row>
    <row r="17" spans="2:17" ht="33.75" outlineLevel="1" x14ac:dyDescent="0.2">
      <c r="B17" s="158" t="s">
        <v>10</v>
      </c>
      <c r="C17" s="31">
        <f>95420940</f>
        <v>95420940</v>
      </c>
      <c r="D17" s="31">
        <f>20207658.15</f>
        <v>20207658.149999999</v>
      </c>
      <c r="E17" s="165" t="s">
        <v>314</v>
      </c>
      <c r="F17" s="165" t="s">
        <v>314</v>
      </c>
      <c r="G17" s="165" t="s">
        <v>314</v>
      </c>
      <c r="H17" s="165" t="s">
        <v>314</v>
      </c>
      <c r="I17" s="165" t="s">
        <v>314</v>
      </c>
      <c r="J17" s="55">
        <f t="shared" si="0"/>
        <v>0.13533610739928939</v>
      </c>
      <c r="K17" s="55">
        <f t="shared" si="1"/>
        <v>21.177383234749101</v>
      </c>
      <c r="L17" s="42"/>
      <c r="M17" s="62"/>
      <c r="N17" s="62"/>
      <c r="O17" s="62"/>
      <c r="P17" s="62"/>
      <c r="Q17" s="62"/>
    </row>
    <row r="18" spans="2:17" ht="12.75" customHeight="1" outlineLevel="1" x14ac:dyDescent="0.2">
      <c r="B18" s="168" t="s">
        <v>6</v>
      </c>
      <c r="C18" s="31">
        <f>26213280</f>
        <v>26213280</v>
      </c>
      <c r="D18" s="31">
        <f>0</f>
        <v>0</v>
      </c>
      <c r="E18" s="165" t="s">
        <v>314</v>
      </c>
      <c r="F18" s="165" t="s">
        <v>314</v>
      </c>
      <c r="G18" s="165" t="s">
        <v>314</v>
      </c>
      <c r="H18" s="165" t="s">
        <v>314</v>
      </c>
      <c r="I18" s="165" t="s">
        <v>314</v>
      </c>
      <c r="J18" s="55">
        <f t="shared" si="0"/>
        <v>0</v>
      </c>
      <c r="K18" s="55">
        <f t="shared" si="1"/>
        <v>0</v>
      </c>
      <c r="L18" s="42"/>
      <c r="M18" s="62"/>
      <c r="N18" s="62"/>
      <c r="O18" s="62"/>
      <c r="P18" s="62"/>
      <c r="Q18" s="62"/>
    </row>
    <row r="19" spans="2:17" ht="24" customHeight="1" outlineLevel="1" x14ac:dyDescent="0.2">
      <c r="B19" s="158" t="s">
        <v>11</v>
      </c>
      <c r="C19" s="31">
        <f>63201424.92</f>
        <v>63201424.920000002</v>
      </c>
      <c r="D19" s="31">
        <f>28178039.83</f>
        <v>28178039.829999998</v>
      </c>
      <c r="E19" s="165" t="s">
        <v>314</v>
      </c>
      <c r="F19" s="165" t="s">
        <v>314</v>
      </c>
      <c r="G19" s="165" t="s">
        <v>314</v>
      </c>
      <c r="H19" s="165" t="s">
        <v>314</v>
      </c>
      <c r="I19" s="165" t="s">
        <v>314</v>
      </c>
      <c r="J19" s="55">
        <f t="shared" si="0"/>
        <v>0.18871589159055199</v>
      </c>
      <c r="K19" s="55">
        <f t="shared" si="1"/>
        <v>44.584500848940671</v>
      </c>
      <c r="L19" s="42"/>
      <c r="M19" s="62"/>
      <c r="N19" s="62"/>
      <c r="O19" s="62"/>
      <c r="P19" s="62"/>
      <c r="Q19" s="62"/>
    </row>
    <row r="20" spans="2:17" ht="12.75" customHeight="1" outlineLevel="1" x14ac:dyDescent="0.2">
      <c r="B20" s="168" t="s">
        <v>6</v>
      </c>
      <c r="C20" s="31">
        <f>11339253.16</f>
        <v>11339253.16</v>
      </c>
      <c r="D20" s="31">
        <f>5310881.75</f>
        <v>5310881.75</v>
      </c>
      <c r="E20" s="165" t="s">
        <v>314</v>
      </c>
      <c r="F20" s="165" t="s">
        <v>314</v>
      </c>
      <c r="G20" s="165" t="s">
        <v>314</v>
      </c>
      <c r="H20" s="165" t="s">
        <v>314</v>
      </c>
      <c r="I20" s="165" t="s">
        <v>314</v>
      </c>
      <c r="J20" s="55">
        <f t="shared" si="0"/>
        <v>3.5568399740715434E-2</v>
      </c>
      <c r="K20" s="55">
        <f t="shared" si="1"/>
        <v>46.83625698325973</v>
      </c>
      <c r="L20" s="42"/>
      <c r="M20" s="62"/>
      <c r="N20" s="62"/>
      <c r="O20" s="62"/>
      <c r="P20" s="62"/>
      <c r="Q20" s="62"/>
    </row>
    <row r="21" spans="2:17" ht="33.75" customHeight="1" outlineLevel="1" x14ac:dyDescent="0.2">
      <c r="B21" s="158" t="s">
        <v>243</v>
      </c>
      <c r="C21" s="31">
        <f>216572526.63</f>
        <v>216572526.63</v>
      </c>
      <c r="D21" s="31">
        <f>79726282.2</f>
        <v>79726282.200000003</v>
      </c>
      <c r="E21" s="165" t="s">
        <v>314</v>
      </c>
      <c r="F21" s="165" t="s">
        <v>314</v>
      </c>
      <c r="G21" s="165" t="s">
        <v>314</v>
      </c>
      <c r="H21" s="165" t="s">
        <v>314</v>
      </c>
      <c r="I21" s="165" t="s">
        <v>314</v>
      </c>
      <c r="J21" s="55">
        <f t="shared" si="0"/>
        <v>0.53394829872284111</v>
      </c>
      <c r="K21" s="55">
        <f t="shared" si="1"/>
        <v>36.81274048956687</v>
      </c>
      <c r="L21" s="42"/>
      <c r="M21" s="62"/>
      <c r="N21" s="62"/>
      <c r="O21" s="62"/>
      <c r="P21" s="62"/>
      <c r="Q21" s="62"/>
    </row>
    <row r="22" spans="2:17" ht="12.75" customHeight="1" outlineLevel="1" x14ac:dyDescent="0.2">
      <c r="B22" s="168" t="s">
        <v>6</v>
      </c>
      <c r="C22" s="31">
        <f>142641901.53</f>
        <v>142641901.53</v>
      </c>
      <c r="D22" s="31">
        <f>46591356.99</f>
        <v>46591356.990000002</v>
      </c>
      <c r="E22" s="165" t="s">
        <v>314</v>
      </c>
      <c r="F22" s="165" t="s">
        <v>314</v>
      </c>
      <c r="G22" s="165" t="s">
        <v>314</v>
      </c>
      <c r="H22" s="165" t="s">
        <v>314</v>
      </c>
      <c r="I22" s="165" t="s">
        <v>314</v>
      </c>
      <c r="J22" s="55">
        <f t="shared" si="0"/>
        <v>0.3120348160421188</v>
      </c>
      <c r="K22" s="55">
        <f t="shared" si="1"/>
        <v>32.663163131067101</v>
      </c>
      <c r="L22" s="42"/>
      <c r="M22" s="62"/>
      <c r="N22" s="62"/>
      <c r="O22" s="62"/>
      <c r="P22" s="62"/>
      <c r="Q22" s="62"/>
    </row>
    <row r="23" spans="2:17" outlineLevel="1" x14ac:dyDescent="0.2">
      <c r="B23" s="158" t="s">
        <v>8</v>
      </c>
      <c r="C23" s="31">
        <f>81343618</f>
        <v>81343618</v>
      </c>
      <c r="D23" s="31">
        <f>58924383.31</f>
        <v>58924383.310000002</v>
      </c>
      <c r="E23" s="165" t="s">
        <v>314</v>
      </c>
      <c r="F23" s="165" t="s">
        <v>314</v>
      </c>
      <c r="G23" s="165" t="s">
        <v>314</v>
      </c>
      <c r="H23" s="165" t="s">
        <v>314</v>
      </c>
      <c r="I23" s="165" t="s">
        <v>314</v>
      </c>
      <c r="J23" s="55">
        <f t="shared" si="0"/>
        <v>0.39463240168079822</v>
      </c>
      <c r="K23" s="55">
        <f t="shared" si="1"/>
        <v>72.43885231414221</v>
      </c>
      <c r="L23" s="42"/>
      <c r="M23" s="62"/>
      <c r="N23" s="62"/>
      <c r="O23" s="62"/>
      <c r="P23" s="62"/>
      <c r="Q23" s="62"/>
    </row>
    <row r="24" spans="2:17" ht="12.75" customHeight="1" outlineLevel="1" x14ac:dyDescent="0.2">
      <c r="B24" s="168" t="s">
        <v>6</v>
      </c>
      <c r="C24" s="31">
        <f>34252222</f>
        <v>34252222</v>
      </c>
      <c r="D24" s="31">
        <f>24164904.71</f>
        <v>24164904.710000001</v>
      </c>
      <c r="E24" s="165" t="s">
        <v>314</v>
      </c>
      <c r="F24" s="165" t="s">
        <v>314</v>
      </c>
      <c r="G24" s="165" t="s">
        <v>314</v>
      </c>
      <c r="H24" s="165" t="s">
        <v>314</v>
      </c>
      <c r="I24" s="165" t="s">
        <v>314</v>
      </c>
      <c r="J24" s="55">
        <f t="shared" si="0"/>
        <v>0.16183884915561847</v>
      </c>
      <c r="K24" s="55">
        <f t="shared" si="1"/>
        <v>70.549889318129487</v>
      </c>
      <c r="L24" s="42"/>
      <c r="M24" s="62"/>
      <c r="N24" s="62"/>
      <c r="O24" s="62"/>
      <c r="P24" s="62"/>
      <c r="Q24" s="62"/>
    </row>
    <row r="25" spans="2:17" ht="67.5" outlineLevel="1" x14ac:dyDescent="0.2">
      <c r="B25" s="158" t="s">
        <v>292</v>
      </c>
      <c r="C25" s="31">
        <f>0</f>
        <v>0</v>
      </c>
      <c r="D25" s="31">
        <f>0</f>
        <v>0</v>
      </c>
      <c r="E25" s="165" t="s">
        <v>314</v>
      </c>
      <c r="F25" s="165" t="s">
        <v>314</v>
      </c>
      <c r="G25" s="165" t="s">
        <v>314</v>
      </c>
      <c r="H25" s="165" t="s">
        <v>314</v>
      </c>
      <c r="I25" s="165" t="s">
        <v>314</v>
      </c>
      <c r="J25" s="55">
        <f t="shared" si="0"/>
        <v>0</v>
      </c>
      <c r="K25" s="55" t="str">
        <f t="shared" si="1"/>
        <v/>
      </c>
      <c r="L25" s="42"/>
      <c r="M25" s="62"/>
      <c r="N25" s="62"/>
      <c r="O25" s="62"/>
      <c r="P25" s="62"/>
      <c r="Q25" s="62"/>
    </row>
    <row r="26" spans="2:17" ht="12.75" customHeight="1" outlineLevel="1" x14ac:dyDescent="0.2">
      <c r="B26" s="168" t="s">
        <v>293</v>
      </c>
      <c r="C26" s="31">
        <f>0</f>
        <v>0</v>
      </c>
      <c r="D26" s="31">
        <f>0</f>
        <v>0</v>
      </c>
      <c r="E26" s="165" t="s">
        <v>314</v>
      </c>
      <c r="F26" s="165" t="s">
        <v>314</v>
      </c>
      <c r="G26" s="165" t="s">
        <v>314</v>
      </c>
      <c r="H26" s="165" t="s">
        <v>314</v>
      </c>
      <c r="I26" s="165" t="s">
        <v>314</v>
      </c>
      <c r="J26" s="55">
        <f t="shared" si="0"/>
        <v>0</v>
      </c>
      <c r="K26" s="55" t="str">
        <f t="shared" si="1"/>
        <v/>
      </c>
      <c r="L26" s="42"/>
      <c r="M26" s="62"/>
      <c r="N26" s="62"/>
      <c r="O26" s="62"/>
      <c r="P26" s="62"/>
      <c r="Q26" s="62"/>
    </row>
    <row r="27" spans="2:17" ht="45" outlineLevel="1" x14ac:dyDescent="0.2">
      <c r="B27" s="169" t="s">
        <v>287</v>
      </c>
      <c r="C27" s="104">
        <f>567860075.61</f>
        <v>567860075.61000001</v>
      </c>
      <c r="D27" s="104">
        <f>27644748.41</f>
        <v>27644748.41</v>
      </c>
      <c r="E27" s="165" t="s">
        <v>314</v>
      </c>
      <c r="F27" s="165" t="s">
        <v>314</v>
      </c>
      <c r="G27" s="165" t="s">
        <v>314</v>
      </c>
      <c r="H27" s="165" t="s">
        <v>314</v>
      </c>
      <c r="I27" s="165" t="s">
        <v>314</v>
      </c>
      <c r="J27" s="105">
        <f t="shared" si="0"/>
        <v>0.18514429589368797</v>
      </c>
      <c r="K27" s="105">
        <f t="shared" si="1"/>
        <v>4.8682324391803355</v>
      </c>
      <c r="L27" s="42"/>
      <c r="M27" s="62"/>
      <c r="N27" s="62"/>
      <c r="O27" s="62"/>
      <c r="P27" s="62"/>
      <c r="Q27" s="62"/>
    </row>
    <row r="28" spans="2:17" ht="12.75" customHeight="1" outlineLevel="1" x14ac:dyDescent="0.2">
      <c r="B28" s="168" t="s">
        <v>6</v>
      </c>
      <c r="C28" s="31">
        <f>567860075.61</f>
        <v>567860075.61000001</v>
      </c>
      <c r="D28" s="31">
        <f>27644748.41</f>
        <v>27644748.41</v>
      </c>
      <c r="E28" s="165" t="s">
        <v>314</v>
      </c>
      <c r="F28" s="165" t="s">
        <v>314</v>
      </c>
      <c r="G28" s="165" t="s">
        <v>314</v>
      </c>
      <c r="H28" s="165" t="s">
        <v>314</v>
      </c>
      <c r="I28" s="165" t="s">
        <v>314</v>
      </c>
      <c r="J28" s="55">
        <f t="shared" si="0"/>
        <v>0.18514429589368797</v>
      </c>
      <c r="K28" s="55">
        <f t="shared" si="1"/>
        <v>4.8682324391803355</v>
      </c>
      <c r="L28" s="42"/>
      <c r="M28" s="62"/>
      <c r="N28" s="62"/>
      <c r="O28" s="62"/>
      <c r="P28" s="62"/>
      <c r="Q28" s="62"/>
    </row>
    <row r="29" spans="2:17" ht="22.5" outlineLevel="1" x14ac:dyDescent="0.2">
      <c r="B29" s="169" t="s">
        <v>324</v>
      </c>
      <c r="C29" s="31">
        <f>26760527.44</f>
        <v>26760527.440000001</v>
      </c>
      <c r="D29" s="31">
        <f>28553096.48</f>
        <v>28553096.48</v>
      </c>
      <c r="E29" s="165" t="s">
        <v>314</v>
      </c>
      <c r="F29" s="165" t="s">
        <v>314</v>
      </c>
      <c r="G29" s="165" t="s">
        <v>314</v>
      </c>
      <c r="H29" s="165" t="s">
        <v>314</v>
      </c>
      <c r="I29" s="165" t="s">
        <v>314</v>
      </c>
      <c r="J29" s="55">
        <f t="shared" si="0"/>
        <v>0.1912277465857444</v>
      </c>
      <c r="K29" s="55">
        <f t="shared" si="1"/>
        <v>106.69855646163602</v>
      </c>
      <c r="L29" s="42"/>
      <c r="M29" s="62"/>
      <c r="N29" s="62"/>
      <c r="O29" s="62"/>
      <c r="P29" s="62"/>
      <c r="Q29" s="62"/>
    </row>
    <row r="30" spans="2:17" ht="12.75" customHeight="1" outlineLevel="1" x14ac:dyDescent="0.2">
      <c r="B30" s="168" t="s">
        <v>6</v>
      </c>
      <c r="C30" s="31">
        <f>0</f>
        <v>0</v>
      </c>
      <c r="D30" s="31">
        <f>0</f>
        <v>0</v>
      </c>
      <c r="E30" s="165" t="s">
        <v>314</v>
      </c>
      <c r="F30" s="165" t="s">
        <v>314</v>
      </c>
      <c r="G30" s="165" t="s">
        <v>314</v>
      </c>
      <c r="H30" s="165" t="s">
        <v>314</v>
      </c>
      <c r="I30" s="165" t="s">
        <v>314</v>
      </c>
      <c r="J30" s="55">
        <f t="shared" si="0"/>
        <v>0</v>
      </c>
      <c r="K30" s="55" t="str">
        <f t="shared" si="1"/>
        <v/>
      </c>
      <c r="L30" s="42"/>
      <c r="M30" s="62"/>
      <c r="N30" s="62"/>
      <c r="O30" s="62"/>
      <c r="P30" s="62"/>
      <c r="Q30" s="62"/>
    </row>
    <row r="31" spans="2:17" ht="13.5" customHeight="1" outlineLevel="1" x14ac:dyDescent="0.2">
      <c r="B31" s="157" t="s">
        <v>216</v>
      </c>
      <c r="C31" s="89">
        <f>929011837.68</f>
        <v>929011837.67999995</v>
      </c>
      <c r="D31" s="89">
        <f>305139120.65</f>
        <v>305139120.64999998</v>
      </c>
      <c r="E31" s="149" t="s">
        <v>314</v>
      </c>
      <c r="F31" s="149" t="s">
        <v>314</v>
      </c>
      <c r="G31" s="149" t="s">
        <v>314</v>
      </c>
      <c r="H31" s="149" t="s">
        <v>314</v>
      </c>
      <c r="I31" s="149" t="s">
        <v>314</v>
      </c>
      <c r="J31" s="90">
        <f t="shared" si="0"/>
        <v>2.0435985455352292</v>
      </c>
      <c r="K31" s="90">
        <f t="shared" si="1"/>
        <v>32.845557857692846</v>
      </c>
      <c r="L31" s="42"/>
      <c r="M31" s="62"/>
      <c r="N31" s="62"/>
      <c r="O31" s="62"/>
      <c r="P31" s="62"/>
      <c r="Q31" s="62"/>
    </row>
    <row r="32" spans="2:17" ht="12.75" customHeight="1" outlineLevel="1" x14ac:dyDescent="0.2">
      <c r="B32" s="159" t="s">
        <v>217</v>
      </c>
      <c r="C32" s="29">
        <f>563916565</f>
        <v>563916565</v>
      </c>
      <c r="D32" s="29">
        <f>153720767.1</f>
        <v>153720767.09999999</v>
      </c>
      <c r="E32" s="165" t="s">
        <v>314</v>
      </c>
      <c r="F32" s="165" t="s">
        <v>314</v>
      </c>
      <c r="G32" s="165" t="s">
        <v>314</v>
      </c>
      <c r="H32" s="165" t="s">
        <v>314</v>
      </c>
      <c r="I32" s="165" t="s">
        <v>314</v>
      </c>
      <c r="J32" s="55">
        <f t="shared" si="0"/>
        <v>1.0295092133546784</v>
      </c>
      <c r="K32" s="55">
        <f t="shared" si="1"/>
        <v>27.259487775465509</v>
      </c>
      <c r="L32" s="42"/>
      <c r="M32" s="62"/>
      <c r="N32" s="62"/>
      <c r="O32" s="62"/>
      <c r="P32" s="62"/>
      <c r="Q32" s="62"/>
    </row>
    <row r="33" spans="1:26" ht="14.25" customHeight="1" outlineLevel="1" x14ac:dyDescent="0.2">
      <c r="B33" s="157" t="s">
        <v>264</v>
      </c>
      <c r="C33" s="89">
        <f>4908057789.82</f>
        <v>4908057789.8199997</v>
      </c>
      <c r="D33" s="89">
        <f>1510732323.59</f>
        <v>1510732323.5899999</v>
      </c>
      <c r="E33" s="149" t="s">
        <v>314</v>
      </c>
      <c r="F33" s="149" t="s">
        <v>314</v>
      </c>
      <c r="G33" s="149" t="s">
        <v>314</v>
      </c>
      <c r="H33" s="149" t="s">
        <v>314</v>
      </c>
      <c r="I33" s="149" t="s">
        <v>314</v>
      </c>
      <c r="J33" s="94">
        <f t="shared" si="0"/>
        <v>10.117779629845643</v>
      </c>
      <c r="K33" s="94">
        <f t="shared" si="1"/>
        <v>30.78065475764101</v>
      </c>
      <c r="L33" s="42"/>
      <c r="M33" s="62"/>
      <c r="N33" s="62"/>
      <c r="O33" s="62"/>
      <c r="P33" s="62"/>
      <c r="Q33" s="62"/>
    </row>
    <row r="34" spans="1:26" ht="12.75" customHeight="1" outlineLevel="1" x14ac:dyDescent="0.2">
      <c r="B34" s="159" t="s">
        <v>265</v>
      </c>
      <c r="C34" s="29">
        <f>2993889421.71</f>
        <v>2993889421.71</v>
      </c>
      <c r="D34" s="29">
        <f>705464453.32</f>
        <v>705464453.32000005</v>
      </c>
      <c r="E34" s="165" t="s">
        <v>314</v>
      </c>
      <c r="F34" s="165" t="s">
        <v>314</v>
      </c>
      <c r="G34" s="165" t="s">
        <v>314</v>
      </c>
      <c r="H34" s="165" t="s">
        <v>314</v>
      </c>
      <c r="I34" s="165" t="s">
        <v>314</v>
      </c>
      <c r="J34" s="55">
        <f t="shared" si="0"/>
        <v>4.7246846869733155</v>
      </c>
      <c r="K34" s="55">
        <f t="shared" si="1"/>
        <v>23.563477268210679</v>
      </c>
      <c r="L34" s="42"/>
      <c r="M34" s="62"/>
      <c r="N34" s="62"/>
      <c r="O34" s="62"/>
      <c r="P34" s="62"/>
      <c r="Q34" s="62"/>
    </row>
    <row r="35" spans="1:26" s="6" customFormat="1" ht="27" customHeight="1" x14ac:dyDescent="0.2">
      <c r="B35" s="151" t="s">
        <v>169</v>
      </c>
      <c r="C35" s="32">
        <f>C36+C37+C38+C39</f>
        <v>5510901909</v>
      </c>
      <c r="D35" s="32">
        <f>D36+D37+D38+D39</f>
        <v>2976261918</v>
      </c>
      <c r="E35" s="149" t="s">
        <v>314</v>
      </c>
      <c r="F35" s="149" t="s">
        <v>314</v>
      </c>
      <c r="G35" s="149" t="s">
        <v>314</v>
      </c>
      <c r="H35" s="149" t="s">
        <v>314</v>
      </c>
      <c r="I35" s="149" t="s">
        <v>314</v>
      </c>
      <c r="J35" s="54">
        <f t="shared" si="0"/>
        <v>19.932824456596574</v>
      </c>
      <c r="K35" s="54">
        <f t="shared" si="1"/>
        <v>54.006802645849817</v>
      </c>
      <c r="L35" s="43"/>
      <c r="M35" s="82"/>
      <c r="N35" s="82"/>
      <c r="O35" s="82"/>
      <c r="P35" s="82"/>
      <c r="Q35" s="82"/>
    </row>
    <row r="36" spans="1:26" ht="12.75" customHeight="1" outlineLevel="1" x14ac:dyDescent="0.2">
      <c r="B36" s="95" t="s">
        <v>132</v>
      </c>
      <c r="C36" s="31">
        <f>789968320</f>
        <v>789968320</v>
      </c>
      <c r="D36" s="31">
        <f>486093856</f>
        <v>486093856</v>
      </c>
      <c r="E36" s="165" t="s">
        <v>314</v>
      </c>
      <c r="F36" s="165" t="s">
        <v>314</v>
      </c>
      <c r="G36" s="165" t="s">
        <v>314</v>
      </c>
      <c r="H36" s="165" t="s">
        <v>314</v>
      </c>
      <c r="I36" s="165" t="s">
        <v>314</v>
      </c>
      <c r="J36" s="55">
        <f t="shared" si="0"/>
        <v>3.255500949858988</v>
      </c>
      <c r="K36" s="55">
        <f t="shared" si="1"/>
        <v>61.533335412741614</v>
      </c>
      <c r="L36" s="43"/>
      <c r="M36" s="62"/>
      <c r="N36" s="62"/>
      <c r="O36" s="62"/>
      <c r="P36" s="62"/>
      <c r="Q36" s="62"/>
    </row>
    <row r="37" spans="1:26" ht="12.75" customHeight="1" outlineLevel="1" x14ac:dyDescent="0.2">
      <c r="B37" s="95" t="s">
        <v>154</v>
      </c>
      <c r="C37" s="31">
        <f>1169058479</f>
        <v>1169058479</v>
      </c>
      <c r="D37" s="31">
        <f>584529240</f>
        <v>584529240</v>
      </c>
      <c r="E37" s="165" t="s">
        <v>314</v>
      </c>
      <c r="F37" s="165" t="s">
        <v>314</v>
      </c>
      <c r="G37" s="165" t="s">
        <v>314</v>
      </c>
      <c r="H37" s="165" t="s">
        <v>314</v>
      </c>
      <c r="I37" s="165" t="s">
        <v>314</v>
      </c>
      <c r="J37" s="55">
        <f t="shared" si="0"/>
        <v>3.9147491221126489</v>
      </c>
      <c r="K37" s="55">
        <f t="shared" si="1"/>
        <v>50.000000042769457</v>
      </c>
      <c r="L37" s="43"/>
      <c r="M37" s="62"/>
      <c r="N37" s="62"/>
      <c r="O37" s="62"/>
      <c r="P37" s="62"/>
      <c r="Q37" s="62"/>
    </row>
    <row r="38" spans="1:26" ht="12.75" customHeight="1" outlineLevel="1" x14ac:dyDescent="0.2">
      <c r="B38" s="95" t="s">
        <v>133</v>
      </c>
      <c r="C38" s="31">
        <f>3171277626</f>
        <v>3171277626</v>
      </c>
      <c r="D38" s="31">
        <f>1585638822</f>
        <v>1585638822</v>
      </c>
      <c r="E38" s="165" t="s">
        <v>314</v>
      </c>
      <c r="F38" s="165" t="s">
        <v>314</v>
      </c>
      <c r="G38" s="165" t="s">
        <v>314</v>
      </c>
      <c r="H38" s="165" t="s">
        <v>314</v>
      </c>
      <c r="I38" s="165" t="s">
        <v>314</v>
      </c>
      <c r="J38" s="55">
        <f t="shared" si="0"/>
        <v>10.619448543604483</v>
      </c>
      <c r="K38" s="55">
        <f t="shared" si="1"/>
        <v>50.000000283797291</v>
      </c>
      <c r="L38" s="43"/>
      <c r="M38" s="62"/>
      <c r="N38" s="62"/>
      <c r="O38" s="62"/>
      <c r="P38" s="62"/>
      <c r="Q38" s="62"/>
    </row>
    <row r="39" spans="1:26" s="6" customFormat="1" ht="12.75" customHeight="1" outlineLevel="1" x14ac:dyDescent="0.2">
      <c r="B39" s="95" t="s">
        <v>131</v>
      </c>
      <c r="C39" s="31">
        <f>380597484</f>
        <v>380597484</v>
      </c>
      <c r="D39" s="31">
        <f>320000000</f>
        <v>320000000</v>
      </c>
      <c r="E39" s="165" t="s">
        <v>314</v>
      </c>
      <c r="F39" s="165" t="s">
        <v>314</v>
      </c>
      <c r="G39" s="165" t="s">
        <v>314</v>
      </c>
      <c r="H39" s="165" t="s">
        <v>314</v>
      </c>
      <c r="I39" s="165" t="s">
        <v>314</v>
      </c>
      <c r="J39" s="55">
        <f t="shared" si="0"/>
        <v>2.1431258410204554</v>
      </c>
      <c r="K39" s="55">
        <f t="shared" si="1"/>
        <v>84.078327748482963</v>
      </c>
      <c r="L39" s="43"/>
      <c r="M39" s="82"/>
      <c r="N39" s="82"/>
      <c r="O39" s="82"/>
      <c r="P39" s="82"/>
      <c r="Q39" s="82"/>
    </row>
    <row r="40" spans="1:26" s="6" customFormat="1" x14ac:dyDescent="0.2">
      <c r="B40" s="153" t="s">
        <v>321</v>
      </c>
      <c r="C40" s="89">
        <f>+C5</f>
        <v>31546868838.049999</v>
      </c>
      <c r="D40" s="89">
        <f>+D5</f>
        <v>14931461040.459999</v>
      </c>
      <c r="E40" s="149" t="s">
        <v>314</v>
      </c>
      <c r="F40" s="149" t="s">
        <v>314</v>
      </c>
      <c r="G40" s="149" t="s">
        <v>314</v>
      </c>
      <c r="H40" s="149" t="s">
        <v>314</v>
      </c>
      <c r="I40" s="149" t="s">
        <v>314</v>
      </c>
      <c r="J40" s="94">
        <f>IF($D$5=0,"",100*$D40/$D$40)</f>
        <v>100</v>
      </c>
      <c r="K40" s="146">
        <f t="shared" si="1"/>
        <v>47.331039784368521</v>
      </c>
      <c r="L40" s="148"/>
      <c r="M40" s="82"/>
      <c r="N40" s="82"/>
      <c r="O40" s="82"/>
      <c r="P40" s="82"/>
      <c r="Q40" s="82"/>
    </row>
    <row r="41" spans="1:26" s="6" customFormat="1" x14ac:dyDescent="0.2">
      <c r="B41" s="154" t="s">
        <v>220</v>
      </c>
      <c r="C41" s="31">
        <f>5193389129.73</f>
        <v>5193389129.7299995</v>
      </c>
      <c r="D41" s="31">
        <f>1135173846.46</f>
        <v>1135173846.46</v>
      </c>
      <c r="E41" s="165" t="s">
        <v>314</v>
      </c>
      <c r="F41" s="165" t="s">
        <v>314</v>
      </c>
      <c r="G41" s="165" t="s">
        <v>314</v>
      </c>
      <c r="H41" s="165" t="s">
        <v>314</v>
      </c>
      <c r="I41" s="165" t="s">
        <v>314</v>
      </c>
      <c r="J41" s="55">
        <f>IF($D$5=0,"",100*$D41/$D$40)</f>
        <v>7.6025637637469154</v>
      </c>
      <c r="K41" s="147">
        <f t="shared" si="1"/>
        <v>21.858054886771345</v>
      </c>
      <c r="L41" s="148"/>
      <c r="M41" s="82"/>
      <c r="N41" s="82"/>
      <c r="O41" s="82"/>
      <c r="P41" s="82"/>
      <c r="Q41" s="82"/>
    </row>
    <row r="42" spans="1:26" s="6" customFormat="1" x14ac:dyDescent="0.2">
      <c r="A42" s="3"/>
      <c r="B42" s="154" t="s">
        <v>221</v>
      </c>
      <c r="C42" s="31">
        <f>C40-C41</f>
        <v>26353479708.32</v>
      </c>
      <c r="D42" s="31">
        <f>D40-D41</f>
        <v>13796287194</v>
      </c>
      <c r="E42" s="165" t="s">
        <v>314</v>
      </c>
      <c r="F42" s="165" t="s">
        <v>314</v>
      </c>
      <c r="G42" s="165" t="s">
        <v>314</v>
      </c>
      <c r="H42" s="165" t="s">
        <v>314</v>
      </c>
      <c r="I42" s="165" t="s">
        <v>314</v>
      </c>
      <c r="J42" s="55">
        <f>IF($D$5=0,"",100*$D42/$D$40)</f>
        <v>92.397436236253085</v>
      </c>
      <c r="K42" s="147">
        <f t="shared" si="1"/>
        <v>52.350912846034539</v>
      </c>
      <c r="L42" s="148"/>
      <c r="M42" s="83"/>
      <c r="N42" s="83"/>
      <c r="O42" s="84"/>
      <c r="P42" s="84"/>
      <c r="Q42" s="28"/>
    </row>
    <row r="43" spans="1:26" s="6" customFormat="1" x14ac:dyDescent="0.2">
      <c r="A43" s="3"/>
      <c r="B43" s="177" t="s">
        <v>345</v>
      </c>
      <c r="C43" s="140"/>
      <c r="D43" s="140"/>
      <c r="E43" s="176"/>
      <c r="F43" s="176"/>
      <c r="G43" s="176"/>
      <c r="H43" s="176"/>
      <c r="I43" s="176"/>
      <c r="J43" s="92"/>
      <c r="K43" s="92"/>
      <c r="L43" s="92"/>
      <c r="M43" s="83"/>
      <c r="N43" s="83"/>
      <c r="O43" s="84"/>
      <c r="P43" s="84"/>
      <c r="Q43" s="28"/>
    </row>
    <row r="44" spans="1:26" ht="18" customHeight="1" x14ac:dyDescent="0.2">
      <c r="B44" s="155" t="str">
        <f>CONCATENATE("Informacja z wykonania budżetów województw za ",$D$104," ",$C$105," rok    ",$C$107,"")</f>
        <v xml:space="preserve">Informacja z wykonania budżetów województw za II Kwartały 2023 rok    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1:26" s="6" customFormat="1" ht="10.5" customHeight="1" x14ac:dyDescent="0.2">
      <c r="B45" s="7"/>
      <c r="C45" s="8"/>
      <c r="D45" s="9"/>
      <c r="E45" s="9"/>
      <c r="F45" s="5"/>
      <c r="G45" s="5"/>
      <c r="H45" s="5"/>
      <c r="I45" s="5"/>
      <c r="J45" s="5"/>
      <c r="K45" s="10"/>
      <c r="L45" s="10"/>
      <c r="M45" s="4"/>
    </row>
    <row r="46" spans="1:26" ht="29.25" customHeight="1" x14ac:dyDescent="0.2">
      <c r="B46" s="202" t="s">
        <v>0</v>
      </c>
      <c r="C46" s="195" t="s">
        <v>150</v>
      </c>
      <c r="D46" s="195" t="s">
        <v>152</v>
      </c>
      <c r="E46" s="195" t="s">
        <v>151</v>
      </c>
      <c r="F46" s="195" t="s">
        <v>34</v>
      </c>
      <c r="G46" s="195"/>
      <c r="H46" s="195"/>
      <c r="I46" s="212" t="s">
        <v>270</v>
      </c>
      <c r="J46" s="195" t="s">
        <v>2</v>
      </c>
      <c r="K46" s="198" t="s">
        <v>61</v>
      </c>
      <c r="M46" s="11"/>
      <c r="N46" s="83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customHeight="1" x14ac:dyDescent="0.2">
      <c r="B47" s="202"/>
      <c r="C47" s="195"/>
      <c r="D47" s="195"/>
      <c r="E47" s="196"/>
      <c r="F47" s="179" t="s">
        <v>153</v>
      </c>
      <c r="G47" s="201" t="s">
        <v>126</v>
      </c>
      <c r="H47" s="196"/>
      <c r="I47" s="213"/>
      <c r="J47" s="195"/>
      <c r="K47" s="198"/>
      <c r="L47" s="12"/>
      <c r="M47" s="13"/>
      <c r="N47" s="83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55.5" customHeight="1" x14ac:dyDescent="0.2">
      <c r="B48" s="202"/>
      <c r="C48" s="195"/>
      <c r="D48" s="195"/>
      <c r="E48" s="196"/>
      <c r="F48" s="196"/>
      <c r="G48" s="20" t="s">
        <v>137</v>
      </c>
      <c r="H48" s="20" t="s">
        <v>138</v>
      </c>
      <c r="I48" s="214"/>
      <c r="J48" s="195"/>
      <c r="K48" s="198"/>
      <c r="L48" s="12"/>
      <c r="M48" s="11"/>
      <c r="N48" s="83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ht="13.5" customHeight="1" x14ac:dyDescent="0.2">
      <c r="B49" s="202"/>
      <c r="C49" s="209" t="s">
        <v>241</v>
      </c>
      <c r="D49" s="210"/>
      <c r="E49" s="210"/>
      <c r="F49" s="210"/>
      <c r="G49" s="210"/>
      <c r="H49" s="210"/>
      <c r="I49" s="211"/>
      <c r="J49" s="197" t="s">
        <v>4</v>
      </c>
      <c r="K49" s="197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ht="11.25" customHeight="1" x14ac:dyDescent="0.2">
      <c r="B50" s="19">
        <v>1</v>
      </c>
      <c r="C50" s="21">
        <v>2</v>
      </c>
      <c r="D50" s="21">
        <v>3</v>
      </c>
      <c r="E50" s="21">
        <v>4</v>
      </c>
      <c r="F50" s="19">
        <v>5</v>
      </c>
      <c r="G50" s="19">
        <v>6</v>
      </c>
      <c r="H50" s="21">
        <v>7</v>
      </c>
      <c r="I50" s="21">
        <v>8</v>
      </c>
      <c r="J50" s="19">
        <v>9</v>
      </c>
      <c r="K50" s="21">
        <v>10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ht="27" customHeight="1" x14ac:dyDescent="0.2">
      <c r="B51" s="150" t="s">
        <v>170</v>
      </c>
      <c r="C51" s="96">
        <f>35886320247.27</f>
        <v>35886320247.269997</v>
      </c>
      <c r="D51" s="124">
        <f>11183479120.66</f>
        <v>11183479120.66</v>
      </c>
      <c r="E51" s="124">
        <f>25657047627</f>
        <v>25657047627</v>
      </c>
      <c r="F51" s="96">
        <f>501108996.81</f>
        <v>501108996.81</v>
      </c>
      <c r="G51" s="96">
        <f>476.99</f>
        <v>476.99</v>
      </c>
      <c r="H51" s="96">
        <f>245167.19</f>
        <v>245167.19</v>
      </c>
      <c r="I51" s="126">
        <f>0</f>
        <v>0</v>
      </c>
      <c r="J51" s="81">
        <f>IF($D$51=0,"",100*$D51/$D$51)</f>
        <v>100</v>
      </c>
      <c r="K51" s="81">
        <f>IF(C51=0,"",100*D51/C51)</f>
        <v>31.163627375561774</v>
      </c>
      <c r="L51" s="62"/>
      <c r="O51" s="141"/>
    </row>
    <row r="52" spans="2:26" x14ac:dyDescent="0.2">
      <c r="B52" s="151" t="s">
        <v>36</v>
      </c>
      <c r="C52" s="35">
        <f>14954575581.39</f>
        <v>14954575581.389999</v>
      </c>
      <c r="D52" s="35">
        <f>2558377627.62</f>
        <v>2558377627.6199999</v>
      </c>
      <c r="E52" s="35">
        <f>10228368356.22</f>
        <v>10228368356.219999</v>
      </c>
      <c r="F52" s="35">
        <f>213120870.13</f>
        <v>213120870.13</v>
      </c>
      <c r="G52" s="35">
        <f>0</f>
        <v>0</v>
      </c>
      <c r="H52" s="35">
        <f>177327.2</f>
        <v>177327.2</v>
      </c>
      <c r="I52" s="127">
        <f>0</f>
        <v>0</v>
      </c>
      <c r="J52" s="81">
        <f t="shared" ref="J52:J60" si="2">IF($D$51=0,"",100*$D52/$D$51)</f>
        <v>22.876401878318308</v>
      </c>
      <c r="K52" s="81">
        <f t="shared" ref="K52:K60" si="3">IF(C52=0,"",100*D52/C52)</f>
        <v>17.107657878326787</v>
      </c>
      <c r="L52" s="62"/>
      <c r="O52" s="134"/>
    </row>
    <row r="53" spans="2:26" ht="12.75" customHeight="1" outlineLevel="1" x14ac:dyDescent="0.2">
      <c r="B53" s="47" t="s">
        <v>35</v>
      </c>
      <c r="C53" s="29">
        <f>14428671105.16</f>
        <v>14428671105.16</v>
      </c>
      <c r="D53" s="29">
        <f>2348840006.28</f>
        <v>2348840006.2800002</v>
      </c>
      <c r="E53" s="29">
        <f>9966312554.38</f>
        <v>9966312554.3799992</v>
      </c>
      <c r="F53" s="29">
        <f>213120870.13</f>
        <v>213120870.13</v>
      </c>
      <c r="G53" s="29">
        <f>0</f>
        <v>0</v>
      </c>
      <c r="H53" s="29">
        <f>177327.2</f>
        <v>177327.2</v>
      </c>
      <c r="I53" s="128">
        <f>0</f>
        <v>0</v>
      </c>
      <c r="J53" s="81">
        <f t="shared" si="2"/>
        <v>21.002766499924238</v>
      </c>
      <c r="K53" s="81">
        <f t="shared" si="3"/>
        <v>16.278976692732329</v>
      </c>
      <c r="L53" s="62"/>
      <c r="O53" s="140"/>
    </row>
    <row r="54" spans="2:26" ht="27" customHeight="1" x14ac:dyDescent="0.2">
      <c r="B54" s="151" t="s">
        <v>171</v>
      </c>
      <c r="C54" s="35">
        <f t="shared" ref="C54:I54" si="4">C51-C52</f>
        <v>20931744665.879997</v>
      </c>
      <c r="D54" s="35">
        <f>D51-D52</f>
        <v>8625101493.0400009</v>
      </c>
      <c r="E54" s="35">
        <f>E51-E52</f>
        <v>15428679270.780001</v>
      </c>
      <c r="F54" s="35">
        <f t="shared" si="4"/>
        <v>287988126.68000001</v>
      </c>
      <c r="G54" s="35">
        <f t="shared" si="4"/>
        <v>476.99</v>
      </c>
      <c r="H54" s="35">
        <f t="shared" si="4"/>
        <v>67839.989999999991</v>
      </c>
      <c r="I54" s="127">
        <f t="shared" si="4"/>
        <v>0</v>
      </c>
      <c r="J54" s="81">
        <f t="shared" si="2"/>
        <v>77.123598121681709</v>
      </c>
      <c r="K54" s="81">
        <f t="shared" si="3"/>
        <v>41.205841322436136</v>
      </c>
      <c r="L54" s="62"/>
      <c r="O54" s="134"/>
    </row>
    <row r="55" spans="2:26" ht="22.5" outlineLevel="1" x14ac:dyDescent="0.2">
      <c r="B55" s="47" t="s">
        <v>301</v>
      </c>
      <c r="C55" s="29">
        <f>4801835682.26</f>
        <v>4801835682.2600002</v>
      </c>
      <c r="D55" s="29">
        <f>2236451911.89</f>
        <v>2236451911.8899999</v>
      </c>
      <c r="E55" s="29">
        <f>4115016204.96</f>
        <v>4115016204.96</v>
      </c>
      <c r="F55" s="29">
        <f>58686702.7</f>
        <v>58686702.700000003</v>
      </c>
      <c r="G55" s="29">
        <f>438.99</f>
        <v>438.99</v>
      </c>
      <c r="H55" s="29">
        <f>0</f>
        <v>0</v>
      </c>
      <c r="I55" s="128">
        <f>0</f>
        <v>0</v>
      </c>
      <c r="J55" s="81">
        <f t="shared" si="2"/>
        <v>19.997818994971347</v>
      </c>
      <c r="K55" s="81">
        <f t="shared" si="3"/>
        <v>46.574936334293852</v>
      </c>
      <c r="L55" s="62"/>
      <c r="O55" s="140"/>
    </row>
    <row r="56" spans="2:26" ht="12.75" customHeight="1" outlineLevel="1" x14ac:dyDescent="0.2">
      <c r="B56" s="95" t="s">
        <v>136</v>
      </c>
      <c r="C56" s="97">
        <f>7964462709.64</f>
        <v>7964462709.6400003</v>
      </c>
      <c r="D56" s="97">
        <f>3906916672.69</f>
        <v>3906916672.6900001</v>
      </c>
      <c r="E56" s="97">
        <f>6841849508.68</f>
        <v>6841849508.6800003</v>
      </c>
      <c r="F56" s="97">
        <f>1714271.7</f>
        <v>1714271.7</v>
      </c>
      <c r="G56" s="97">
        <f>0</f>
        <v>0</v>
      </c>
      <c r="H56" s="97">
        <f>0</f>
        <v>0</v>
      </c>
      <c r="I56" s="129">
        <f>0</f>
        <v>0</v>
      </c>
      <c r="J56" s="81">
        <f t="shared" si="2"/>
        <v>34.934716026540322</v>
      </c>
      <c r="K56" s="81">
        <f t="shared" si="3"/>
        <v>49.054365813793801</v>
      </c>
      <c r="L56" s="62"/>
      <c r="O56" s="134"/>
    </row>
    <row r="57" spans="2:26" ht="12.75" customHeight="1" outlineLevel="1" x14ac:dyDescent="0.2">
      <c r="B57" s="95" t="s">
        <v>135</v>
      </c>
      <c r="C57" s="31">
        <f>434077242.33</f>
        <v>434077242.32999998</v>
      </c>
      <c r="D57" s="31">
        <f>162439554.36</f>
        <v>162439554.36000001</v>
      </c>
      <c r="E57" s="31">
        <f>219964531.63</f>
        <v>219964531.63</v>
      </c>
      <c r="F57" s="31">
        <f>7926379.75</f>
        <v>7926379.75</v>
      </c>
      <c r="G57" s="31">
        <f>0</f>
        <v>0</v>
      </c>
      <c r="H57" s="31">
        <f>0</f>
        <v>0</v>
      </c>
      <c r="I57" s="130">
        <f>0</f>
        <v>0</v>
      </c>
      <c r="J57" s="81">
        <f t="shared" si="2"/>
        <v>1.4524957091386204</v>
      </c>
      <c r="K57" s="81">
        <f t="shared" si="3"/>
        <v>37.421808498430345</v>
      </c>
      <c r="L57" s="62"/>
      <c r="O57" s="140"/>
    </row>
    <row r="58" spans="2:26" ht="22.5" customHeight="1" outlineLevel="1" x14ac:dyDescent="0.2">
      <c r="B58" s="95" t="s">
        <v>200</v>
      </c>
      <c r="C58" s="97">
        <f>126404156.28</f>
        <v>126404156.28</v>
      </c>
      <c r="D58" s="97">
        <f>16866189.47</f>
        <v>16866189.469999999</v>
      </c>
      <c r="E58" s="97">
        <f>39892048.63</f>
        <v>39892048.630000003</v>
      </c>
      <c r="F58" s="97">
        <f>0</f>
        <v>0</v>
      </c>
      <c r="G58" s="97">
        <f>0</f>
        <v>0</v>
      </c>
      <c r="H58" s="97">
        <f>0</f>
        <v>0</v>
      </c>
      <c r="I58" s="129">
        <f>0</f>
        <v>0</v>
      </c>
      <c r="J58" s="81">
        <f t="shared" si="2"/>
        <v>0.1508134390740887</v>
      </c>
      <c r="K58" s="81">
        <f t="shared" si="3"/>
        <v>13.343065581355898</v>
      </c>
      <c r="L58" s="62"/>
      <c r="O58" s="134"/>
    </row>
    <row r="59" spans="2:26" ht="22.5" outlineLevel="1" x14ac:dyDescent="0.2">
      <c r="B59" s="95" t="s">
        <v>215</v>
      </c>
      <c r="C59" s="97">
        <f>190674578</f>
        <v>190674578</v>
      </c>
      <c r="D59" s="97">
        <f>86474979.33</f>
        <v>86474979.329999998</v>
      </c>
      <c r="E59" s="97">
        <f>140975453.84</f>
        <v>140975453.84</v>
      </c>
      <c r="F59" s="97">
        <f>635308.68</f>
        <v>635308.68000000005</v>
      </c>
      <c r="G59" s="97">
        <f>0</f>
        <v>0</v>
      </c>
      <c r="H59" s="97">
        <f>0</f>
        <v>0</v>
      </c>
      <c r="I59" s="118">
        <f>0</f>
        <v>0</v>
      </c>
      <c r="J59" s="81">
        <f t="shared" si="2"/>
        <v>0.7732386174017073</v>
      </c>
      <c r="K59" s="81">
        <f t="shared" si="3"/>
        <v>45.352128341933451</v>
      </c>
      <c r="L59" s="62"/>
      <c r="O59" s="134"/>
    </row>
    <row r="60" spans="2:26" ht="12.75" customHeight="1" outlineLevel="1" x14ac:dyDescent="0.2">
      <c r="B60" s="95" t="s">
        <v>134</v>
      </c>
      <c r="C60" s="31">
        <f t="shared" ref="C60:I60" si="5">C54-C55-C56-C57-C58-C59</f>
        <v>7414290297.369997</v>
      </c>
      <c r="D60" s="31">
        <f>D54-D55-D56-D57-D58-D59</f>
        <v>2215952185.3000016</v>
      </c>
      <c r="E60" s="131">
        <f>E54-E55-E56-E57-E58-E59</f>
        <v>4070981523.039999</v>
      </c>
      <c r="F60" s="131">
        <f t="shared" si="5"/>
        <v>219025463.85000002</v>
      </c>
      <c r="G60" s="131">
        <f t="shared" si="5"/>
        <v>38</v>
      </c>
      <c r="H60" s="131">
        <f t="shared" si="5"/>
        <v>67839.989999999991</v>
      </c>
      <c r="I60" s="132">
        <f t="shared" si="5"/>
        <v>0</v>
      </c>
      <c r="J60" s="133">
        <f t="shared" si="2"/>
        <v>19.814515334555619</v>
      </c>
      <c r="K60" s="81">
        <f t="shared" si="3"/>
        <v>29.887583253734292</v>
      </c>
      <c r="L60" s="62"/>
      <c r="O60" s="140"/>
    </row>
    <row r="61" spans="2:26" x14ac:dyDescent="0.2">
      <c r="B61" s="23" t="s">
        <v>48</v>
      </c>
      <c r="C61" s="170">
        <f>C5-C51</f>
        <v>-4339451409.2199974</v>
      </c>
      <c r="D61" s="170">
        <f>D5-D51</f>
        <v>3747981919.7999992</v>
      </c>
      <c r="E61" s="137"/>
      <c r="F61" s="138"/>
      <c r="G61" s="138"/>
      <c r="H61" s="138"/>
      <c r="I61" s="194"/>
      <c r="J61" s="194"/>
      <c r="K61" s="39"/>
      <c r="L61" s="39"/>
      <c r="M61" s="85"/>
    </row>
    <row r="62" spans="2:26" ht="38.25" x14ac:dyDescent="0.2">
      <c r="B62" s="152" t="s">
        <v>322</v>
      </c>
      <c r="C62" s="170">
        <f>+C42-C54</f>
        <v>5421735042.4400024</v>
      </c>
      <c r="D62" s="170">
        <f>+D42-D54</f>
        <v>5171185700.9599991</v>
      </c>
      <c r="E62" s="136"/>
      <c r="F62" s="135"/>
      <c r="G62" s="135"/>
      <c r="H62" s="135"/>
      <c r="I62" s="181"/>
      <c r="J62" s="182"/>
      <c r="K62" s="62"/>
      <c r="L62" s="86"/>
      <c r="M62" s="86"/>
    </row>
    <row r="63" spans="2:26" ht="13.5" customHeight="1" x14ac:dyDescent="0.2">
      <c r="B63" s="87"/>
      <c r="C63" s="88"/>
      <c r="D63" s="88"/>
      <c r="E63" s="88"/>
      <c r="F63" s="27"/>
      <c r="G63" s="27"/>
      <c r="H63" s="27"/>
      <c r="I63" s="27"/>
      <c r="J63" s="62"/>
      <c r="K63" s="62"/>
      <c r="L63" s="86"/>
      <c r="M63" s="86"/>
    </row>
    <row r="64" spans="2:26" ht="12" customHeight="1" x14ac:dyDescent="0.2">
      <c r="B64" s="173" t="s">
        <v>346</v>
      </c>
      <c r="C64" s="88"/>
      <c r="D64" s="88"/>
      <c r="E64" s="88"/>
      <c r="F64" s="27"/>
      <c r="G64" s="27"/>
      <c r="H64" s="27"/>
      <c r="I64" s="27"/>
      <c r="J64" s="62"/>
      <c r="K64" s="62"/>
      <c r="L64" s="86"/>
      <c r="M64" s="86"/>
    </row>
    <row r="65" spans="2:13" ht="27" customHeight="1" x14ac:dyDescent="0.2">
      <c r="B65" s="175" t="s">
        <v>274</v>
      </c>
      <c r="C65" s="170">
        <f>8186532135.1</f>
        <v>8186532135.1000004</v>
      </c>
      <c r="D65" s="170">
        <f>2076107997.01</f>
        <v>2076107997.01</v>
      </c>
      <c r="E65" s="35">
        <f>5739196742.31</f>
        <v>5739196742.3100004</v>
      </c>
      <c r="F65" s="35">
        <f>110475253.79</f>
        <v>110475253.79000001</v>
      </c>
      <c r="G65" s="35">
        <f>0</f>
        <v>0</v>
      </c>
      <c r="H65" s="35">
        <f>158667</f>
        <v>158667</v>
      </c>
      <c r="I65" s="139">
        <f>0</f>
        <v>0</v>
      </c>
      <c r="J65" s="57">
        <f>IF($D$65=0,"",100*$D65/$D$65)</f>
        <v>100</v>
      </c>
      <c r="K65" s="57">
        <f>IF(C65=0,"",100*D65/C65)</f>
        <v>25.360042112442521</v>
      </c>
      <c r="L65" s="86"/>
    </row>
    <row r="66" spans="2:13" ht="12.75" customHeight="1" x14ac:dyDescent="0.2">
      <c r="B66" s="156" t="s">
        <v>229</v>
      </c>
      <c r="C66" s="97">
        <f>5303898025.16</f>
        <v>5303898025.1599998</v>
      </c>
      <c r="D66" s="97">
        <f>1067912401.83</f>
        <v>1067912401.83</v>
      </c>
      <c r="E66" s="97">
        <f>3932153139.77</f>
        <v>3932153139.77</v>
      </c>
      <c r="F66" s="97">
        <f>92795741.56</f>
        <v>92795741.560000002</v>
      </c>
      <c r="G66" s="97">
        <f>0</f>
        <v>0</v>
      </c>
      <c r="H66" s="97">
        <f>158667</f>
        <v>158667</v>
      </c>
      <c r="I66" s="118">
        <f>0</f>
        <v>0</v>
      </c>
      <c r="J66" s="57">
        <f>IF($D$65=0,"",100*$D66/$D$65)</f>
        <v>51.438191238991514</v>
      </c>
      <c r="K66" s="57">
        <f>IF(C66=0,"",100*D66/C66)</f>
        <v>20.134482163197035</v>
      </c>
      <c r="L66" s="62"/>
    </row>
    <row r="67" spans="2:13" ht="12.75" customHeight="1" x14ac:dyDescent="0.2">
      <c r="B67" s="156" t="s">
        <v>230</v>
      </c>
      <c r="C67" s="97">
        <f t="shared" ref="C67:I67" si="6">C65-C66</f>
        <v>2882634109.9400005</v>
      </c>
      <c r="D67" s="97">
        <f t="shared" si="6"/>
        <v>1008195595.1799999</v>
      </c>
      <c r="E67" s="97">
        <f t="shared" si="6"/>
        <v>1807043602.5400004</v>
      </c>
      <c r="F67" s="97">
        <f t="shared" si="6"/>
        <v>17679512.230000004</v>
      </c>
      <c r="G67" s="97">
        <f t="shared" si="6"/>
        <v>0</v>
      </c>
      <c r="H67" s="97">
        <f t="shared" si="6"/>
        <v>0</v>
      </c>
      <c r="I67" s="123">
        <f t="shared" si="6"/>
        <v>0</v>
      </c>
      <c r="J67" s="57">
        <f>IF($D$65=0,"",100*$D67/$D$65)</f>
        <v>48.561808761008486</v>
      </c>
      <c r="K67" s="57">
        <f>IF(C67=0,"",100*D67/C67)</f>
        <v>34.974802792470413</v>
      </c>
      <c r="L67" s="62"/>
    </row>
    <row r="68" spans="2:13" ht="18" customHeight="1" x14ac:dyDescent="0.2">
      <c r="B68" s="155" t="str">
        <f>CONCATENATE("Informacja z wykonania budżetów województw za ",$D$104," ",$C$105," rok    ",$C$107,"")</f>
        <v xml:space="preserve">Informacja z wykonania budżetów województw za II Kwartały 2023 rok    </v>
      </c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</row>
    <row r="69" spans="2:13" ht="6" customHeight="1" x14ac:dyDescent="0.2"/>
    <row r="70" spans="2:13" x14ac:dyDescent="0.2">
      <c r="B70" s="65" t="s">
        <v>49</v>
      </c>
      <c r="C70" s="122" t="s">
        <v>50</v>
      </c>
      <c r="D70" s="122" t="s">
        <v>1</v>
      </c>
      <c r="E70" s="183" t="s">
        <v>314</v>
      </c>
      <c r="F70" s="184"/>
      <c r="G70" s="184"/>
      <c r="H70" s="184"/>
      <c r="I70" s="185"/>
      <c r="J70" s="21" t="s">
        <v>91</v>
      </c>
      <c r="K70" s="21" t="s">
        <v>92</v>
      </c>
    </row>
    <row r="71" spans="2:13" x14ac:dyDescent="0.2">
      <c r="B71" s="65"/>
      <c r="C71" s="179" t="s">
        <v>241</v>
      </c>
      <c r="D71" s="180"/>
      <c r="E71" s="186"/>
      <c r="F71" s="187"/>
      <c r="G71" s="187"/>
      <c r="H71" s="187"/>
      <c r="I71" s="188"/>
      <c r="J71" s="192" t="s">
        <v>4</v>
      </c>
      <c r="K71" s="193"/>
    </row>
    <row r="72" spans="2:13" x14ac:dyDescent="0.2">
      <c r="B72" s="63">
        <v>1</v>
      </c>
      <c r="C72" s="143">
        <v>2</v>
      </c>
      <c r="D72" s="143">
        <v>3</v>
      </c>
      <c r="E72" s="189"/>
      <c r="F72" s="190"/>
      <c r="G72" s="190"/>
      <c r="H72" s="190"/>
      <c r="I72" s="191"/>
      <c r="J72" s="64">
        <v>4</v>
      </c>
      <c r="K72" s="64">
        <v>5</v>
      </c>
    </row>
    <row r="73" spans="2:13" ht="27" customHeight="1" x14ac:dyDescent="0.2">
      <c r="B73" s="145" t="s">
        <v>172</v>
      </c>
      <c r="C73" s="73">
        <f>5395948489.22</f>
        <v>5395948489.2200003</v>
      </c>
      <c r="D73" s="73">
        <f>4395485107.07</f>
        <v>4395485107.0699997</v>
      </c>
      <c r="E73" s="163" t="s">
        <v>314</v>
      </c>
      <c r="F73" s="163" t="s">
        <v>314</v>
      </c>
      <c r="G73" s="163" t="s">
        <v>314</v>
      </c>
      <c r="H73" s="163" t="s">
        <v>314</v>
      </c>
      <c r="I73" s="163" t="s">
        <v>314</v>
      </c>
      <c r="J73" s="72">
        <f>IF($D$73=0,"",100*$D73/$D$73)</f>
        <v>100</v>
      </c>
      <c r="K73" s="56">
        <f t="shared" ref="K73:K87" si="7">IF(C73=0,"",100*D73/C73)</f>
        <v>81.458989385300455</v>
      </c>
    </row>
    <row r="74" spans="2:13" ht="33.75" x14ac:dyDescent="0.2">
      <c r="B74" s="160" t="s">
        <v>372</v>
      </c>
      <c r="C74" s="74">
        <f>2282676302</f>
        <v>2282676302</v>
      </c>
      <c r="D74" s="74">
        <f>0</f>
        <v>0</v>
      </c>
      <c r="E74" s="164" t="s">
        <v>314</v>
      </c>
      <c r="F74" s="164" t="s">
        <v>314</v>
      </c>
      <c r="G74" s="164" t="s">
        <v>314</v>
      </c>
      <c r="H74" s="164" t="s">
        <v>314</v>
      </c>
      <c r="I74" s="164" t="s">
        <v>314</v>
      </c>
      <c r="J74" s="79">
        <f t="shared" ref="J74:J83" si="8">IF($D$73=0,"",100*$D74/$D$73)</f>
        <v>0</v>
      </c>
      <c r="K74" s="80">
        <f t="shared" si="7"/>
        <v>0</v>
      </c>
    </row>
    <row r="75" spans="2:13" ht="22.5" x14ac:dyDescent="0.2">
      <c r="B75" s="161" t="s">
        <v>276</v>
      </c>
      <c r="C75" s="99">
        <f>215000000</f>
        <v>215000000</v>
      </c>
      <c r="D75" s="99">
        <f>0</f>
        <v>0</v>
      </c>
      <c r="E75" s="164" t="s">
        <v>314</v>
      </c>
      <c r="F75" s="164" t="s">
        <v>314</v>
      </c>
      <c r="G75" s="164" t="s">
        <v>314</v>
      </c>
      <c r="H75" s="164" t="s">
        <v>314</v>
      </c>
      <c r="I75" s="164" t="s">
        <v>314</v>
      </c>
      <c r="J75" s="100">
        <f t="shared" si="8"/>
        <v>0</v>
      </c>
      <c r="K75" s="101">
        <f t="shared" si="7"/>
        <v>0</v>
      </c>
    </row>
    <row r="76" spans="2:13" ht="12.75" customHeight="1" x14ac:dyDescent="0.2">
      <c r="B76" s="98" t="s">
        <v>277</v>
      </c>
      <c r="C76" s="99">
        <f>103343812</f>
        <v>103343812</v>
      </c>
      <c r="D76" s="99">
        <f>15794082.53</f>
        <v>15794082.529999999</v>
      </c>
      <c r="E76" s="164" t="s">
        <v>314</v>
      </c>
      <c r="F76" s="164" t="s">
        <v>314</v>
      </c>
      <c r="G76" s="164" t="s">
        <v>314</v>
      </c>
      <c r="H76" s="164" t="s">
        <v>314</v>
      </c>
      <c r="I76" s="164" t="s">
        <v>314</v>
      </c>
      <c r="J76" s="100">
        <f t="shared" si="8"/>
        <v>0.35932512897372154</v>
      </c>
      <c r="K76" s="101">
        <f t="shared" si="7"/>
        <v>15.28304619728949</v>
      </c>
    </row>
    <row r="77" spans="2:13" ht="46.5" customHeight="1" x14ac:dyDescent="0.2">
      <c r="B77" s="98" t="s">
        <v>306</v>
      </c>
      <c r="C77" s="99">
        <f>499556389.89</f>
        <v>499556389.88999999</v>
      </c>
      <c r="D77" s="99">
        <f>1121486751.19</f>
        <v>1121486751.1900001</v>
      </c>
      <c r="E77" s="164" t="s">
        <v>314</v>
      </c>
      <c r="F77" s="164" t="s">
        <v>314</v>
      </c>
      <c r="G77" s="164" t="s">
        <v>314</v>
      </c>
      <c r="H77" s="164" t="s">
        <v>314</v>
      </c>
      <c r="I77" s="164" t="s">
        <v>314</v>
      </c>
      <c r="J77" s="100">
        <f t="shared" si="8"/>
        <v>25.514516006120093</v>
      </c>
      <c r="K77" s="101">
        <f t="shared" si="7"/>
        <v>224.4965280970475</v>
      </c>
    </row>
    <row r="78" spans="2:13" ht="35.25" customHeight="1" x14ac:dyDescent="0.2">
      <c r="B78" s="98" t="s">
        <v>307</v>
      </c>
      <c r="C78" s="99">
        <f>440771084.94</f>
        <v>440771084.94</v>
      </c>
      <c r="D78" s="99">
        <f>532407807.39</f>
        <v>532407807.38999999</v>
      </c>
      <c r="E78" s="164" t="s">
        <v>314</v>
      </c>
      <c r="F78" s="164" t="s">
        <v>314</v>
      </c>
      <c r="G78" s="164" t="s">
        <v>314</v>
      </c>
      <c r="H78" s="164" t="s">
        <v>314</v>
      </c>
      <c r="I78" s="164" t="s">
        <v>314</v>
      </c>
      <c r="J78" s="100">
        <f t="shared" si="8"/>
        <v>12.112606331747974</v>
      </c>
      <c r="K78" s="101">
        <f t="shared" si="7"/>
        <v>120.79009390157117</v>
      </c>
    </row>
    <row r="79" spans="2:13" ht="12.75" customHeight="1" x14ac:dyDescent="0.2">
      <c r="B79" s="98" t="s">
        <v>278</v>
      </c>
      <c r="C79" s="99">
        <f>0</f>
        <v>0</v>
      </c>
      <c r="D79" s="99">
        <f>0</f>
        <v>0</v>
      </c>
      <c r="E79" s="164" t="s">
        <v>314</v>
      </c>
      <c r="F79" s="164" t="s">
        <v>314</v>
      </c>
      <c r="G79" s="164" t="s">
        <v>314</v>
      </c>
      <c r="H79" s="164" t="s">
        <v>314</v>
      </c>
      <c r="I79" s="164" t="s">
        <v>314</v>
      </c>
      <c r="J79" s="100">
        <f t="shared" si="8"/>
        <v>0</v>
      </c>
      <c r="K79" s="101" t="str">
        <f t="shared" si="7"/>
        <v/>
      </c>
    </row>
    <row r="80" spans="2:13" ht="33.75" x14ac:dyDescent="0.2">
      <c r="B80" s="98" t="s">
        <v>281</v>
      </c>
      <c r="C80" s="99">
        <f>1587146903.39</f>
        <v>1587146903.3900001</v>
      </c>
      <c r="D80" s="99">
        <f>2543342468.96</f>
        <v>2543342468.96</v>
      </c>
      <c r="E80" s="164" t="s">
        <v>314</v>
      </c>
      <c r="F80" s="164" t="s">
        <v>314</v>
      </c>
      <c r="G80" s="164" t="s">
        <v>314</v>
      </c>
      <c r="H80" s="164" t="s">
        <v>314</v>
      </c>
      <c r="I80" s="164" t="s">
        <v>314</v>
      </c>
      <c r="J80" s="100">
        <f t="shared" si="8"/>
        <v>57.862611452581504</v>
      </c>
      <c r="K80" s="101">
        <f t="shared" si="7"/>
        <v>160.24619167435944</v>
      </c>
    </row>
    <row r="81" spans="2:11" ht="56.25" x14ac:dyDescent="0.2">
      <c r="B81" s="98" t="s">
        <v>373</v>
      </c>
      <c r="C81" s="99">
        <f>0</f>
        <v>0</v>
      </c>
      <c r="D81" s="99">
        <f>0</f>
        <v>0</v>
      </c>
      <c r="E81" s="164" t="s">
        <v>314</v>
      </c>
      <c r="F81" s="164" t="s">
        <v>314</v>
      </c>
      <c r="G81" s="164" t="s">
        <v>314</v>
      </c>
      <c r="H81" s="164" t="s">
        <v>314</v>
      </c>
      <c r="I81" s="164" t="s">
        <v>314</v>
      </c>
      <c r="J81" s="100">
        <f t="shared" si="8"/>
        <v>0</v>
      </c>
      <c r="K81" s="101" t="str">
        <f>IF(C81=0,"",100*D81/C81)</f>
        <v/>
      </c>
    </row>
    <row r="82" spans="2:11" x14ac:dyDescent="0.2">
      <c r="B82" s="98" t="s">
        <v>368</v>
      </c>
      <c r="C82" s="99">
        <f>482453997</f>
        <v>482453997</v>
      </c>
      <c r="D82" s="99">
        <f>182453997</f>
        <v>182453997</v>
      </c>
      <c r="E82" s="164" t="s">
        <v>314</v>
      </c>
      <c r="F82" s="164" t="s">
        <v>314</v>
      </c>
      <c r="G82" s="164" t="s">
        <v>314</v>
      </c>
      <c r="H82" s="164" t="s">
        <v>314</v>
      </c>
      <c r="I82" s="164" t="s">
        <v>314</v>
      </c>
      <c r="J82" s="100">
        <f t="shared" si="8"/>
        <v>4.1509410805767146</v>
      </c>
      <c r="K82" s="101">
        <f>IF(C82=0,"",100*D82/C82)</f>
        <v>37.817905569139683</v>
      </c>
    </row>
    <row r="83" spans="2:11" ht="22.5" x14ac:dyDescent="0.2">
      <c r="B83" s="161" t="s">
        <v>369</v>
      </c>
      <c r="C83" s="99">
        <f>182453997</f>
        <v>182453997</v>
      </c>
      <c r="D83" s="99">
        <f>182453997</f>
        <v>182453997</v>
      </c>
      <c r="E83" s="164" t="s">
        <v>314</v>
      </c>
      <c r="F83" s="164" t="s">
        <v>314</v>
      </c>
      <c r="G83" s="164" t="s">
        <v>314</v>
      </c>
      <c r="H83" s="164" t="s">
        <v>314</v>
      </c>
      <c r="I83" s="164" t="s">
        <v>314</v>
      </c>
      <c r="J83" s="100">
        <f t="shared" si="8"/>
        <v>4.1509410805767146</v>
      </c>
      <c r="K83" s="101">
        <f>IF(C83=0,"",100*D83/C83)</f>
        <v>100</v>
      </c>
    </row>
    <row r="84" spans="2:11" ht="27" customHeight="1" x14ac:dyDescent="0.2">
      <c r="B84" s="145" t="s">
        <v>173</v>
      </c>
      <c r="C84" s="77">
        <f>1056473080</f>
        <v>1056473080</v>
      </c>
      <c r="D84" s="77">
        <f>1072908395.38</f>
        <v>1072908395.38</v>
      </c>
      <c r="E84" s="163" t="s">
        <v>314</v>
      </c>
      <c r="F84" s="163" t="s">
        <v>314</v>
      </c>
      <c r="G84" s="163" t="s">
        <v>314</v>
      </c>
      <c r="H84" s="163" t="s">
        <v>314</v>
      </c>
      <c r="I84" s="163" t="s">
        <v>314</v>
      </c>
      <c r="J84" s="72">
        <f t="shared" ref="J84:J89" si="9">IF($D$84=0,"",100*$D84/$D$84)</f>
        <v>100</v>
      </c>
      <c r="K84" s="56">
        <f t="shared" si="7"/>
        <v>101.55567763070688</v>
      </c>
    </row>
    <row r="85" spans="2:11" ht="24.75" customHeight="1" x14ac:dyDescent="0.2">
      <c r="B85" s="160" t="s">
        <v>279</v>
      </c>
      <c r="C85" s="74">
        <f>595510619</f>
        <v>595510619</v>
      </c>
      <c r="D85" s="76">
        <f>247595441.67</f>
        <v>247595441.66999999</v>
      </c>
      <c r="E85" s="164" t="s">
        <v>314</v>
      </c>
      <c r="F85" s="164" t="s">
        <v>314</v>
      </c>
      <c r="G85" s="164" t="s">
        <v>314</v>
      </c>
      <c r="H85" s="164" t="s">
        <v>314</v>
      </c>
      <c r="I85" s="164" t="s">
        <v>314</v>
      </c>
      <c r="J85" s="79">
        <f t="shared" si="9"/>
        <v>23.077034603900856</v>
      </c>
      <c r="K85" s="80">
        <f t="shared" si="7"/>
        <v>41.576998590851325</v>
      </c>
    </row>
    <row r="86" spans="2:11" ht="12.75" customHeight="1" x14ac:dyDescent="0.2">
      <c r="B86" s="161" t="s">
        <v>280</v>
      </c>
      <c r="C86" s="99">
        <f>24000000</f>
        <v>24000000</v>
      </c>
      <c r="D86" s="99">
        <f>0</f>
        <v>0</v>
      </c>
      <c r="E86" s="164" t="s">
        <v>314</v>
      </c>
      <c r="F86" s="164" t="s">
        <v>314</v>
      </c>
      <c r="G86" s="164" t="s">
        <v>314</v>
      </c>
      <c r="H86" s="164" t="s">
        <v>314</v>
      </c>
      <c r="I86" s="164" t="s">
        <v>314</v>
      </c>
      <c r="J86" s="100">
        <f t="shared" si="9"/>
        <v>0</v>
      </c>
      <c r="K86" s="101">
        <f t="shared" si="7"/>
        <v>0</v>
      </c>
    </row>
    <row r="87" spans="2:11" ht="12.75" customHeight="1" x14ac:dyDescent="0.2">
      <c r="B87" s="98" t="s">
        <v>308</v>
      </c>
      <c r="C87" s="99">
        <f>160962461</f>
        <v>160962461</v>
      </c>
      <c r="D87" s="99">
        <f>95312953.71</f>
        <v>95312953.709999993</v>
      </c>
      <c r="E87" s="164" t="s">
        <v>314</v>
      </c>
      <c r="F87" s="164" t="s">
        <v>314</v>
      </c>
      <c r="G87" s="164" t="s">
        <v>314</v>
      </c>
      <c r="H87" s="164" t="s">
        <v>314</v>
      </c>
      <c r="I87" s="164" t="s">
        <v>314</v>
      </c>
      <c r="J87" s="100">
        <f t="shared" si="9"/>
        <v>8.8836059183079001</v>
      </c>
      <c r="K87" s="101">
        <f t="shared" si="7"/>
        <v>59.214398883973324</v>
      </c>
    </row>
    <row r="88" spans="2:11" ht="12.75" customHeight="1" x14ac:dyDescent="0.2">
      <c r="B88" s="98" t="s">
        <v>370</v>
      </c>
      <c r="C88" s="99">
        <f>300000000</f>
        <v>300000000</v>
      </c>
      <c r="D88" s="99">
        <f>730000000</f>
        <v>730000000</v>
      </c>
      <c r="E88" s="164" t="s">
        <v>314</v>
      </c>
      <c r="F88" s="164" t="s">
        <v>314</v>
      </c>
      <c r="G88" s="164" t="s">
        <v>314</v>
      </c>
      <c r="H88" s="164" t="s">
        <v>314</v>
      </c>
      <c r="I88" s="164" t="s">
        <v>314</v>
      </c>
      <c r="J88" s="100">
        <f t="shared" si="9"/>
        <v>68.039359477791251</v>
      </c>
      <c r="K88" s="101">
        <f>IF(C88=0,"",100*D88/C88)</f>
        <v>243.33333333333334</v>
      </c>
    </row>
    <row r="89" spans="2:11" ht="22.5" x14ac:dyDescent="0.2">
      <c r="B89" s="161" t="s">
        <v>371</v>
      </c>
      <c r="C89" s="99">
        <f>0</f>
        <v>0</v>
      </c>
      <c r="D89" s="99">
        <f>0</f>
        <v>0</v>
      </c>
      <c r="E89" s="164" t="s">
        <v>314</v>
      </c>
      <c r="F89" s="164" t="s">
        <v>314</v>
      </c>
      <c r="G89" s="164" t="s">
        <v>314</v>
      </c>
      <c r="H89" s="164" t="s">
        <v>314</v>
      </c>
      <c r="I89" s="164" t="s">
        <v>314</v>
      </c>
      <c r="J89" s="100">
        <f t="shared" si="9"/>
        <v>0</v>
      </c>
      <c r="K89" s="101" t="str">
        <f>IF(C89=0,"",100*D89/C89)</f>
        <v/>
      </c>
    </row>
    <row r="91" spans="2:11" x14ac:dyDescent="0.2">
      <c r="B91" s="65" t="s">
        <v>49</v>
      </c>
      <c r="C91" s="122" t="s">
        <v>50</v>
      </c>
      <c r="D91" s="21" t="s">
        <v>1</v>
      </c>
    </row>
    <row r="92" spans="2:11" x14ac:dyDescent="0.2">
      <c r="B92" s="65"/>
      <c r="C92" s="179" t="s">
        <v>241</v>
      </c>
      <c r="D92" s="180"/>
    </row>
    <row r="93" spans="2:11" x14ac:dyDescent="0.2">
      <c r="B93" s="63">
        <v>1</v>
      </c>
      <c r="C93" s="143">
        <v>2</v>
      </c>
      <c r="D93" s="64">
        <v>3</v>
      </c>
    </row>
    <row r="94" spans="2:11" ht="36" customHeight="1" x14ac:dyDescent="0.2">
      <c r="B94" s="78" t="s">
        <v>374</v>
      </c>
      <c r="C94" s="75">
        <f>4339451409.22</f>
        <v>4339451409.2200003</v>
      </c>
      <c r="D94" s="38">
        <f>0</f>
        <v>0</v>
      </c>
    </row>
    <row r="95" spans="2:11" ht="33.75" x14ac:dyDescent="0.2">
      <c r="B95" s="162" t="s">
        <v>251</v>
      </c>
      <c r="C95" s="99">
        <f>215000000</f>
        <v>215000000</v>
      </c>
      <c r="D95" s="91">
        <f>0</f>
        <v>0</v>
      </c>
    </row>
    <row r="96" spans="2:11" ht="12.75" customHeight="1" x14ac:dyDescent="0.2">
      <c r="B96" s="162" t="s">
        <v>254</v>
      </c>
      <c r="C96" s="99">
        <f>1931050241</f>
        <v>1931050241</v>
      </c>
      <c r="D96" s="91">
        <f>0</f>
        <v>0</v>
      </c>
    </row>
    <row r="97" spans="2:4" ht="22.5" x14ac:dyDescent="0.2">
      <c r="B97" s="162" t="s">
        <v>257</v>
      </c>
      <c r="C97" s="99">
        <f>0</f>
        <v>0</v>
      </c>
      <c r="D97" s="91">
        <f>0</f>
        <v>0</v>
      </c>
    </row>
    <row r="98" spans="2:4" ht="56.25" x14ac:dyDescent="0.2">
      <c r="B98" s="162" t="s">
        <v>309</v>
      </c>
      <c r="C98" s="99">
        <f>419049286.89</f>
        <v>419049286.88999999</v>
      </c>
      <c r="D98" s="91">
        <f>0</f>
        <v>0</v>
      </c>
    </row>
    <row r="99" spans="2:4" ht="81" customHeight="1" x14ac:dyDescent="0.2">
      <c r="B99" s="162" t="s">
        <v>262</v>
      </c>
      <c r="C99" s="99">
        <f>1132432834.08</f>
        <v>1132432834.0799999</v>
      </c>
      <c r="D99" s="91">
        <f>0</f>
        <v>0</v>
      </c>
    </row>
    <row r="100" spans="2:4" ht="151.5" customHeight="1" x14ac:dyDescent="0.2">
      <c r="B100" s="162" t="s">
        <v>310</v>
      </c>
      <c r="C100" s="99">
        <f>416424196.25</f>
        <v>416424196.25</v>
      </c>
      <c r="D100" s="91">
        <f>0</f>
        <v>0</v>
      </c>
    </row>
    <row r="101" spans="2:4" ht="23.25" customHeight="1" x14ac:dyDescent="0.2">
      <c r="B101" s="162" t="s">
        <v>311</v>
      </c>
      <c r="C101" s="99">
        <f>43040854</f>
        <v>43040854</v>
      </c>
      <c r="D101" s="91">
        <f>0</f>
        <v>0</v>
      </c>
    </row>
    <row r="102" spans="2:4" ht="23.25" customHeight="1" x14ac:dyDescent="0.2">
      <c r="B102" s="178" t="s">
        <v>369</v>
      </c>
      <c r="C102" s="99">
        <f>182453997</f>
        <v>182453997</v>
      </c>
      <c r="D102" s="91">
        <f>0</f>
        <v>0</v>
      </c>
    </row>
    <row r="104" spans="2:4" x14ac:dyDescent="0.2">
      <c r="B104" s="61" t="s">
        <v>174</v>
      </c>
      <c r="C104" s="61">
        <f>2</f>
        <v>2</v>
      </c>
      <c r="D104" s="61" t="str">
        <f>IF(C104=1,"I Kwartał",IF(C104=2,"II Kwartały",IF(C104=3,"III Kwartały",IF(C104=4,"IV Kwartały",IF(C104="M1","Styczeń",IF(C104="M11","Listopad",IF(C104="M12","Grudzień","-")))))))</f>
        <v>II Kwartały</v>
      </c>
    </row>
    <row r="105" spans="2:4" x14ac:dyDescent="0.2">
      <c r="B105" s="61" t="s">
        <v>175</v>
      </c>
      <c r="C105" s="166">
        <f>2023</f>
        <v>2023</v>
      </c>
      <c r="D105" s="62"/>
    </row>
    <row r="106" spans="2:4" x14ac:dyDescent="0.2">
      <c r="B106" s="61" t="s">
        <v>176</v>
      </c>
      <c r="C106" s="199" t="str">
        <f>"Aug 14 2023 12:00AM"</f>
        <v>Aug 14 2023 12:00AM</v>
      </c>
      <c r="D106" s="200"/>
    </row>
    <row r="107" spans="2:4" hidden="1" x14ac:dyDescent="0.2">
      <c r="B107" s="61" t="s">
        <v>218</v>
      </c>
      <c r="C107" s="167" t="str">
        <f>""</f>
        <v/>
      </c>
      <c r="D107" s="62"/>
    </row>
  </sheetData>
  <mergeCells count="23">
    <mergeCell ref="J3:L3"/>
    <mergeCell ref="C3:D3"/>
    <mergeCell ref="I46:I48"/>
    <mergeCell ref="C49:I49"/>
    <mergeCell ref="C106:D106"/>
    <mergeCell ref="F46:H46"/>
    <mergeCell ref="G47:H47"/>
    <mergeCell ref="C71:D71"/>
    <mergeCell ref="J46:J48"/>
    <mergeCell ref="B2:B3"/>
    <mergeCell ref="C46:C48"/>
    <mergeCell ref="B46:B49"/>
    <mergeCell ref="F47:F48"/>
    <mergeCell ref="E3:I4"/>
    <mergeCell ref="C92:D92"/>
    <mergeCell ref="I62:J62"/>
    <mergeCell ref="E70:I72"/>
    <mergeCell ref="J71:K71"/>
    <mergeCell ref="I61:J61"/>
    <mergeCell ref="D46:D48"/>
    <mergeCell ref="E46:E48"/>
    <mergeCell ref="J49:K49"/>
    <mergeCell ref="K46:K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07"/>
  <sheetViews>
    <sheetView zoomScaleNormal="100" workbookViewId="0">
      <selection activeCell="B2" sqref="B2:B3"/>
    </sheetView>
  </sheetViews>
  <sheetFormatPr defaultRowHeight="12.75" x14ac:dyDescent="0.2"/>
  <cols>
    <col min="1" max="1" width="7.85546875" style="49" bestFit="1" customWidth="1"/>
    <col min="2" max="2" width="22.85546875" style="1" customWidth="1"/>
    <col min="3" max="3" width="28.85546875" style="1" customWidth="1"/>
    <col min="4" max="4" width="16.7109375" style="1" customWidth="1"/>
    <col min="5" max="6" width="13.85546875" style="1" customWidth="1"/>
    <col min="7" max="10" width="13.5703125" style="1" customWidth="1"/>
    <col min="11" max="11" width="7.42578125" style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51" customHeight="1" x14ac:dyDescent="0.2">
      <c r="B1" s="252" t="str">
        <f>CONCATENATE("Informacja z wykonania budżetów województw za ",definicja!$D$104," ",definicja!$C$105," roku",definicja!$C$107,"")</f>
        <v>Informacja z wykonania budżetów województw za - 2023 roku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66.75" customHeight="1" x14ac:dyDescent="0.2">
      <c r="B2" s="202" t="s">
        <v>0</v>
      </c>
      <c r="C2" s="17" t="s">
        <v>129</v>
      </c>
      <c r="D2" s="17" t="s">
        <v>130</v>
      </c>
      <c r="E2" s="19" t="s">
        <v>2</v>
      </c>
      <c r="F2" s="17" t="s">
        <v>61</v>
      </c>
      <c r="G2" s="17" t="s">
        <v>3</v>
      </c>
    </row>
    <row r="3" spans="1:13" x14ac:dyDescent="0.2">
      <c r="B3" s="202"/>
      <c r="C3" s="19" t="s">
        <v>140</v>
      </c>
      <c r="D3" s="19" t="s">
        <v>89</v>
      </c>
      <c r="E3" s="197" t="s">
        <v>4</v>
      </c>
      <c r="F3" s="197"/>
      <c r="G3" s="197"/>
    </row>
    <row r="4" spans="1:13" x14ac:dyDescent="0.2">
      <c r="B4" s="19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</row>
    <row r="5" spans="1:13" ht="25.5" customHeight="1" x14ac:dyDescent="0.2">
      <c r="A5" s="49" t="s">
        <v>12</v>
      </c>
      <c r="B5" s="22" t="s">
        <v>5</v>
      </c>
      <c r="C5" s="108" t="s">
        <v>141</v>
      </c>
      <c r="D5" s="109"/>
      <c r="E5" s="45">
        <v>100</v>
      </c>
      <c r="F5" s="45" t="s">
        <v>76</v>
      </c>
      <c r="G5" s="45"/>
    </row>
    <row r="6" spans="1:13" ht="25.5" customHeight="1" x14ac:dyDescent="0.2">
      <c r="A6" s="49" t="s">
        <v>13</v>
      </c>
      <c r="B6" s="23" t="s">
        <v>167</v>
      </c>
      <c r="C6" s="110" t="s">
        <v>313</v>
      </c>
      <c r="D6" s="111"/>
      <c r="E6" s="46" t="s">
        <v>65</v>
      </c>
      <c r="F6" s="46" t="s">
        <v>76</v>
      </c>
      <c r="G6" s="46">
        <v>100</v>
      </c>
    </row>
    <row r="7" spans="1:13" ht="22.5" customHeight="1" x14ac:dyDescent="0.2">
      <c r="A7" s="49" t="s">
        <v>14</v>
      </c>
      <c r="B7" s="24" t="s">
        <v>127</v>
      </c>
      <c r="C7" s="112" t="s">
        <v>189</v>
      </c>
      <c r="D7" s="113"/>
      <c r="E7" s="31" t="s">
        <v>66</v>
      </c>
      <c r="F7" s="31" t="s">
        <v>76</v>
      </c>
      <c r="G7" s="31" t="s">
        <v>77</v>
      </c>
    </row>
    <row r="8" spans="1:13" ht="22.5" customHeight="1" x14ac:dyDescent="0.2">
      <c r="A8" s="49" t="s">
        <v>15</v>
      </c>
      <c r="B8" s="25" t="s">
        <v>62</v>
      </c>
      <c r="C8" s="114" t="s">
        <v>190</v>
      </c>
      <c r="D8" s="115"/>
      <c r="E8" s="30" t="s">
        <v>67</v>
      </c>
      <c r="F8" s="30" t="s">
        <v>76</v>
      </c>
      <c r="G8" s="30" t="s">
        <v>78</v>
      </c>
    </row>
    <row r="9" spans="1:13" ht="13.5" customHeight="1" x14ac:dyDescent="0.2">
      <c r="A9" s="49" t="s">
        <v>16</v>
      </c>
      <c r="B9" s="24" t="s">
        <v>63</v>
      </c>
      <c r="C9" s="112" t="s">
        <v>273</v>
      </c>
      <c r="D9" s="113"/>
      <c r="E9" s="31" t="s">
        <v>155</v>
      </c>
      <c r="F9" s="31" t="s">
        <v>76</v>
      </c>
      <c r="G9" s="31" t="s">
        <v>157</v>
      </c>
    </row>
    <row r="10" spans="1:13" ht="13.5" customHeight="1" x14ac:dyDescent="0.2">
      <c r="A10" s="49" t="s">
        <v>17</v>
      </c>
      <c r="B10" s="25" t="s">
        <v>64</v>
      </c>
      <c r="C10" s="114" t="s">
        <v>214</v>
      </c>
      <c r="D10" s="115"/>
      <c r="E10" s="30" t="s">
        <v>156</v>
      </c>
      <c r="F10" s="30" t="s">
        <v>76</v>
      </c>
      <c r="G10" s="30" t="s">
        <v>158</v>
      </c>
    </row>
    <row r="11" spans="1:13" ht="29.25" customHeight="1" x14ac:dyDescent="0.2">
      <c r="A11" s="49" t="s">
        <v>18</v>
      </c>
      <c r="B11" s="22" t="s">
        <v>211</v>
      </c>
      <c r="C11" s="108" t="s">
        <v>312</v>
      </c>
      <c r="D11" s="109"/>
      <c r="E11" s="44" t="s">
        <v>159</v>
      </c>
      <c r="F11" s="45" t="s">
        <v>76</v>
      </c>
      <c r="G11" s="140"/>
    </row>
    <row r="12" spans="1:13" ht="25.5" customHeight="1" x14ac:dyDescent="0.2">
      <c r="A12" s="49" t="s">
        <v>19</v>
      </c>
      <c r="B12" s="22" t="s">
        <v>168</v>
      </c>
      <c r="C12" s="108" t="s">
        <v>332</v>
      </c>
      <c r="D12" s="109"/>
      <c r="E12" s="44" t="s">
        <v>160</v>
      </c>
      <c r="F12" s="45" t="s">
        <v>76</v>
      </c>
      <c r="G12" s="27"/>
    </row>
    <row r="13" spans="1:13" ht="22.5" customHeight="1" x14ac:dyDescent="0.2">
      <c r="A13" s="49" t="s">
        <v>20</v>
      </c>
      <c r="B13" s="25" t="s">
        <v>9</v>
      </c>
      <c r="C13" s="114" t="s">
        <v>333</v>
      </c>
      <c r="D13" s="115"/>
      <c r="E13" s="41" t="s">
        <v>161</v>
      </c>
      <c r="F13" s="30" t="s">
        <v>76</v>
      </c>
      <c r="G13" s="27"/>
    </row>
    <row r="14" spans="1:13" ht="13.5" customHeight="1" x14ac:dyDescent="0.2">
      <c r="A14" s="49" t="s">
        <v>21</v>
      </c>
      <c r="B14" s="47" t="s">
        <v>6</v>
      </c>
      <c r="C14" s="112" t="s">
        <v>334</v>
      </c>
      <c r="D14" s="113"/>
      <c r="E14" s="40" t="s">
        <v>162</v>
      </c>
      <c r="F14" s="31" t="s">
        <v>76</v>
      </c>
      <c r="G14" s="27"/>
    </row>
    <row r="15" spans="1:13" ht="13.5" customHeight="1" x14ac:dyDescent="0.2">
      <c r="A15" s="49" t="s">
        <v>22</v>
      </c>
      <c r="B15" s="25" t="s">
        <v>7</v>
      </c>
      <c r="C15" s="114" t="s">
        <v>335</v>
      </c>
      <c r="D15" s="115"/>
      <c r="E15" s="41" t="s">
        <v>163</v>
      </c>
      <c r="F15" s="30" t="s">
        <v>76</v>
      </c>
      <c r="G15" s="27"/>
    </row>
    <row r="16" spans="1:13" ht="13.5" customHeight="1" x14ac:dyDescent="0.2">
      <c r="A16" s="49" t="s">
        <v>23</v>
      </c>
      <c r="B16" s="47" t="s">
        <v>6</v>
      </c>
      <c r="C16" s="112" t="s">
        <v>336</v>
      </c>
      <c r="D16" s="113"/>
      <c r="E16" s="40" t="s">
        <v>164</v>
      </c>
      <c r="F16" s="31" t="s">
        <v>76</v>
      </c>
      <c r="G16" s="27"/>
    </row>
    <row r="17" spans="1:7" ht="33" customHeight="1" x14ac:dyDescent="0.2">
      <c r="A17" s="49" t="s">
        <v>24</v>
      </c>
      <c r="B17" s="25" t="s">
        <v>10</v>
      </c>
      <c r="C17" s="114" t="s">
        <v>191</v>
      </c>
      <c r="D17" s="115"/>
      <c r="E17" s="41" t="s">
        <v>165</v>
      </c>
      <c r="F17" s="30" t="s">
        <v>76</v>
      </c>
      <c r="G17" s="27"/>
    </row>
    <row r="18" spans="1:7" ht="13.5" customHeight="1" x14ac:dyDescent="0.2">
      <c r="A18" s="49" t="s">
        <v>25</v>
      </c>
      <c r="B18" s="47" t="s">
        <v>6</v>
      </c>
      <c r="C18" s="112" t="s">
        <v>192</v>
      </c>
      <c r="D18" s="113"/>
      <c r="E18" s="40" t="s">
        <v>166</v>
      </c>
      <c r="F18" s="31" t="s">
        <v>76</v>
      </c>
      <c r="G18" s="27"/>
    </row>
    <row r="19" spans="1:7" ht="33" customHeight="1" x14ac:dyDescent="0.2">
      <c r="A19" s="49" t="s">
        <v>26</v>
      </c>
      <c r="B19" s="25" t="s">
        <v>11</v>
      </c>
      <c r="C19" s="114" t="s">
        <v>193</v>
      </c>
      <c r="D19" s="115"/>
      <c r="E19" s="41" t="s">
        <v>68</v>
      </c>
      <c r="F19" s="30" t="s">
        <v>76</v>
      </c>
      <c r="G19" s="27"/>
    </row>
    <row r="20" spans="1:7" ht="13.5" customHeight="1" x14ac:dyDescent="0.2">
      <c r="A20" s="49" t="s">
        <v>27</v>
      </c>
      <c r="B20" s="47" t="s">
        <v>6</v>
      </c>
      <c r="C20" s="112" t="s">
        <v>194</v>
      </c>
      <c r="D20" s="113"/>
      <c r="E20" s="40" t="s">
        <v>69</v>
      </c>
      <c r="F20" s="31" t="s">
        <v>76</v>
      </c>
      <c r="G20" s="27"/>
    </row>
    <row r="21" spans="1:7" ht="45" x14ac:dyDescent="0.2">
      <c r="A21" s="49" t="s">
        <v>28</v>
      </c>
      <c r="B21" s="25" t="s">
        <v>243</v>
      </c>
      <c r="C21" s="114" t="s">
        <v>282</v>
      </c>
      <c r="D21" s="115"/>
      <c r="E21" s="40" t="s">
        <v>70</v>
      </c>
      <c r="F21" s="31" t="s">
        <v>76</v>
      </c>
      <c r="G21" s="27"/>
    </row>
    <row r="22" spans="1:7" x14ac:dyDescent="0.2">
      <c r="A22" s="49" t="s">
        <v>29</v>
      </c>
      <c r="B22" s="47" t="s">
        <v>6</v>
      </c>
      <c r="C22" s="112" t="s">
        <v>242</v>
      </c>
      <c r="D22" s="113"/>
      <c r="E22" s="40" t="s">
        <v>71</v>
      </c>
      <c r="F22" s="31" t="s">
        <v>76</v>
      </c>
      <c r="G22" s="27"/>
    </row>
    <row r="23" spans="1:7" ht="22.5" customHeight="1" x14ac:dyDescent="0.2">
      <c r="A23" s="49" t="s">
        <v>30</v>
      </c>
      <c r="B23" s="25" t="s">
        <v>8</v>
      </c>
      <c r="C23" s="114" t="s">
        <v>195</v>
      </c>
      <c r="D23" s="115"/>
      <c r="E23" s="41" t="s">
        <v>72</v>
      </c>
      <c r="F23" s="30" t="s">
        <v>76</v>
      </c>
      <c r="G23" s="27"/>
    </row>
    <row r="24" spans="1:7" ht="13.5" customHeight="1" x14ac:dyDescent="0.2">
      <c r="A24" s="49" t="s">
        <v>31</v>
      </c>
      <c r="B24" s="47" t="s">
        <v>6</v>
      </c>
      <c r="C24" s="112" t="s">
        <v>196</v>
      </c>
      <c r="D24" s="113"/>
      <c r="E24" s="41" t="s">
        <v>73</v>
      </c>
      <c r="F24" s="31" t="s">
        <v>76</v>
      </c>
      <c r="G24" s="27"/>
    </row>
    <row r="25" spans="1:7" ht="78.75" x14ac:dyDescent="0.2">
      <c r="A25" s="49" t="s">
        <v>32</v>
      </c>
      <c r="B25" s="25" t="s">
        <v>292</v>
      </c>
      <c r="C25" s="112" t="s">
        <v>294</v>
      </c>
      <c r="D25" s="113"/>
      <c r="E25" s="41" t="s">
        <v>74</v>
      </c>
      <c r="F25" s="31" t="s">
        <v>76</v>
      </c>
      <c r="G25" s="27"/>
    </row>
    <row r="26" spans="1:7" ht="13.5" customHeight="1" x14ac:dyDescent="0.2">
      <c r="A26" s="49" t="s">
        <v>33</v>
      </c>
      <c r="B26" s="47" t="s">
        <v>293</v>
      </c>
      <c r="C26" s="112" t="s">
        <v>295</v>
      </c>
      <c r="D26" s="113"/>
      <c r="E26" s="41" t="s">
        <v>75</v>
      </c>
      <c r="F26" s="31" t="s">
        <v>76</v>
      </c>
      <c r="G26" s="27"/>
    </row>
    <row r="27" spans="1:7" ht="56.25" x14ac:dyDescent="0.2">
      <c r="A27" s="49" t="s">
        <v>207</v>
      </c>
      <c r="B27" s="103" t="s">
        <v>287</v>
      </c>
      <c r="C27" s="116" t="s">
        <v>330</v>
      </c>
      <c r="D27" s="117"/>
      <c r="E27" s="41" t="s">
        <v>209</v>
      </c>
      <c r="F27" s="93" t="s">
        <v>76</v>
      </c>
      <c r="G27" s="27"/>
    </row>
    <row r="28" spans="1:7" ht="13.5" customHeight="1" x14ac:dyDescent="0.2">
      <c r="A28" s="49" t="s">
        <v>208</v>
      </c>
      <c r="B28" s="47" t="s">
        <v>6</v>
      </c>
      <c r="C28" s="112" t="s">
        <v>331</v>
      </c>
      <c r="D28" s="113"/>
      <c r="E28" s="41" t="s">
        <v>210</v>
      </c>
      <c r="F28" s="31" t="s">
        <v>76</v>
      </c>
      <c r="G28" s="27"/>
    </row>
    <row r="29" spans="1:7" ht="33.75" x14ac:dyDescent="0.2">
      <c r="A29" s="172" t="s">
        <v>323</v>
      </c>
      <c r="B29" s="103" t="s">
        <v>324</v>
      </c>
      <c r="C29" s="116" t="s">
        <v>326</v>
      </c>
      <c r="D29" s="113"/>
      <c r="E29" s="41" t="s">
        <v>328</v>
      </c>
      <c r="F29" s="31" t="s">
        <v>76</v>
      </c>
      <c r="G29" s="27"/>
    </row>
    <row r="30" spans="1:7" ht="13.5" customHeight="1" x14ac:dyDescent="0.2">
      <c r="A30" s="172" t="s">
        <v>325</v>
      </c>
      <c r="B30" s="47" t="s">
        <v>6</v>
      </c>
      <c r="C30" s="171" t="s">
        <v>327</v>
      </c>
      <c r="D30" s="113"/>
      <c r="E30" s="41" t="s">
        <v>329</v>
      </c>
      <c r="F30" s="31" t="s">
        <v>76</v>
      </c>
      <c r="G30" s="27"/>
    </row>
    <row r="31" spans="1:7" ht="13.5" customHeight="1" x14ac:dyDescent="0.2">
      <c r="A31" s="49" t="s">
        <v>212</v>
      </c>
      <c r="B31" s="22" t="s">
        <v>216</v>
      </c>
      <c r="C31" s="114" t="s">
        <v>205</v>
      </c>
      <c r="D31" s="115"/>
      <c r="E31" s="41" t="s">
        <v>213</v>
      </c>
      <c r="F31" s="31" t="s">
        <v>76</v>
      </c>
      <c r="G31" s="27"/>
    </row>
    <row r="32" spans="1:7" ht="13.5" customHeight="1" x14ac:dyDescent="0.2">
      <c r="A32" s="49" t="s">
        <v>244</v>
      </c>
      <c r="B32" s="47" t="s">
        <v>217</v>
      </c>
      <c r="C32" s="112" t="s">
        <v>206</v>
      </c>
      <c r="D32" s="113"/>
      <c r="E32" s="41" t="s">
        <v>246</v>
      </c>
      <c r="F32" s="31" t="s">
        <v>76</v>
      </c>
      <c r="G32" s="27"/>
    </row>
    <row r="33" spans="1:27" ht="13.5" customHeight="1" x14ac:dyDescent="0.2">
      <c r="A33" s="49" t="s">
        <v>245</v>
      </c>
      <c r="B33" s="22" t="s">
        <v>264</v>
      </c>
      <c r="C33" s="114" t="s">
        <v>266</v>
      </c>
      <c r="D33" s="115"/>
      <c r="E33" s="40" t="s">
        <v>247</v>
      </c>
      <c r="F33" s="31" t="s">
        <v>76</v>
      </c>
      <c r="G33" s="27"/>
    </row>
    <row r="34" spans="1:27" ht="13.5" customHeight="1" x14ac:dyDescent="0.2">
      <c r="A34" s="49" t="s">
        <v>271</v>
      </c>
      <c r="B34" s="47" t="s">
        <v>265</v>
      </c>
      <c r="C34" s="112" t="s">
        <v>267</v>
      </c>
      <c r="D34" s="113"/>
      <c r="E34" s="40" t="s">
        <v>268</v>
      </c>
      <c r="F34" s="31" t="s">
        <v>76</v>
      </c>
      <c r="G34" s="27"/>
    </row>
    <row r="35" spans="1:27" s="6" customFormat="1" ht="25.5" customHeight="1" x14ac:dyDescent="0.2">
      <c r="A35" s="49" t="s">
        <v>272</v>
      </c>
      <c r="B35" s="23" t="s">
        <v>169</v>
      </c>
      <c r="C35" s="110" t="s">
        <v>298</v>
      </c>
      <c r="D35" s="111"/>
      <c r="E35" s="46" t="s">
        <v>269</v>
      </c>
      <c r="F35" s="46" t="s">
        <v>76</v>
      </c>
      <c r="G35" s="28"/>
    </row>
    <row r="36" spans="1:27" ht="25.5" customHeight="1" x14ac:dyDescent="0.2">
      <c r="A36" s="49" t="s">
        <v>288</v>
      </c>
      <c r="B36" s="48" t="s">
        <v>132</v>
      </c>
      <c r="C36" s="118" t="s">
        <v>197</v>
      </c>
      <c r="D36" s="119"/>
      <c r="E36" s="40" t="s">
        <v>290</v>
      </c>
      <c r="F36" s="31" t="s">
        <v>76</v>
      </c>
      <c r="G36" s="27"/>
    </row>
    <row r="37" spans="1:27" ht="25.5" customHeight="1" x14ac:dyDescent="0.2">
      <c r="A37" s="49" t="s">
        <v>289</v>
      </c>
      <c r="B37" s="25" t="s">
        <v>154</v>
      </c>
      <c r="C37" s="118" t="s">
        <v>198</v>
      </c>
      <c r="D37" s="119"/>
      <c r="E37" s="40" t="s">
        <v>291</v>
      </c>
      <c r="F37" s="30" t="s">
        <v>76</v>
      </c>
      <c r="G37" s="27"/>
    </row>
    <row r="38" spans="1:27" ht="26.25" customHeight="1" x14ac:dyDescent="0.2">
      <c r="A38" s="49" t="s">
        <v>296</v>
      </c>
      <c r="B38" s="24" t="s">
        <v>133</v>
      </c>
      <c r="C38" s="118" t="s">
        <v>199</v>
      </c>
      <c r="D38" s="119"/>
      <c r="E38" s="40" t="s">
        <v>299</v>
      </c>
      <c r="F38" s="31" t="s">
        <v>76</v>
      </c>
      <c r="G38" s="27"/>
    </row>
    <row r="39" spans="1:27" s="6" customFormat="1" ht="31.9" customHeight="1" x14ac:dyDescent="0.2">
      <c r="A39" s="49" t="s">
        <v>297</v>
      </c>
      <c r="B39" s="25" t="s">
        <v>131</v>
      </c>
      <c r="C39" s="118" t="s">
        <v>347</v>
      </c>
      <c r="D39" s="119"/>
      <c r="E39" s="40" t="s">
        <v>300</v>
      </c>
      <c r="F39" s="30" t="s">
        <v>76</v>
      </c>
      <c r="G39" s="28"/>
    </row>
    <row r="40" spans="1:27" s="6" customFormat="1" ht="13.5" customHeight="1" x14ac:dyDescent="0.2">
      <c r="A40" s="50"/>
      <c r="B40" s="26"/>
      <c r="C40" s="8"/>
      <c r="D40" s="9"/>
      <c r="E40" s="18"/>
      <c r="F40" s="18"/>
      <c r="G40" s="18"/>
      <c r="H40" s="18"/>
      <c r="I40" s="18"/>
      <c r="J40" s="10"/>
      <c r="K40" s="10"/>
      <c r="L40" s="4"/>
    </row>
    <row r="41" spans="1:27" s="6" customFormat="1" ht="13.5" customHeight="1" x14ac:dyDescent="0.2">
      <c r="A41" s="50" t="s">
        <v>12</v>
      </c>
      <c r="B41" s="59" t="s">
        <v>219</v>
      </c>
      <c r="C41" s="120" t="s">
        <v>225</v>
      </c>
      <c r="D41" s="106"/>
      <c r="E41" s="45">
        <v>100</v>
      </c>
      <c r="F41" s="31" t="s">
        <v>76</v>
      </c>
      <c r="G41" s="58"/>
      <c r="H41" s="18"/>
      <c r="I41" s="18"/>
      <c r="J41" s="10"/>
      <c r="K41" s="10"/>
      <c r="L41" s="4"/>
    </row>
    <row r="42" spans="1:27" s="6" customFormat="1" ht="54" customHeight="1" x14ac:dyDescent="0.2">
      <c r="A42" s="50" t="s">
        <v>222</v>
      </c>
      <c r="B42" s="48" t="s">
        <v>220</v>
      </c>
      <c r="C42" s="121" t="s">
        <v>337</v>
      </c>
      <c r="D42" s="107"/>
      <c r="E42" s="40" t="s">
        <v>238</v>
      </c>
      <c r="F42" s="31" t="s">
        <v>76</v>
      </c>
      <c r="G42" s="30" t="s">
        <v>226</v>
      </c>
      <c r="H42" s="18"/>
      <c r="I42" s="18"/>
      <c r="J42" s="10"/>
      <c r="K42" s="10"/>
      <c r="L42" s="4"/>
    </row>
    <row r="43" spans="1:27" s="6" customFormat="1" ht="13.5" customHeight="1" x14ac:dyDescent="0.2">
      <c r="A43" s="50" t="s">
        <v>223</v>
      </c>
      <c r="B43" s="48" t="s">
        <v>224</v>
      </c>
      <c r="C43" s="120" t="s">
        <v>240</v>
      </c>
      <c r="D43" s="106"/>
      <c r="E43" s="40" t="s">
        <v>239</v>
      </c>
      <c r="F43" s="31" t="s">
        <v>76</v>
      </c>
      <c r="G43" s="30" t="s">
        <v>227</v>
      </c>
      <c r="H43" s="18"/>
      <c r="I43" s="18"/>
      <c r="J43" s="10"/>
      <c r="K43" s="10"/>
      <c r="L43" s="4"/>
    </row>
    <row r="44" spans="1:27" s="6" customFormat="1" ht="13.5" customHeight="1" x14ac:dyDescent="0.2">
      <c r="A44" s="50"/>
      <c r="B44" s="177" t="s">
        <v>345</v>
      </c>
      <c r="C44" s="8"/>
      <c r="D44" s="9"/>
      <c r="E44" s="9"/>
      <c r="F44" s="18"/>
      <c r="G44" s="18"/>
      <c r="H44" s="18"/>
      <c r="I44" s="18"/>
      <c r="J44" s="18"/>
      <c r="K44" s="10"/>
      <c r="L44" s="10"/>
      <c r="M44" s="4"/>
    </row>
    <row r="45" spans="1:27" ht="48.75" customHeight="1" x14ac:dyDescent="0.2">
      <c r="B45" s="252" t="str">
        <f>CONCATENATE("Informacja z wykonania budżetów województw za ",definicja!$D$104," ",definicja!$C$105," roku",definicja!$C$107,"")</f>
        <v>Informacja z wykonania budżetów województw za - 2023 roku</v>
      </c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</row>
    <row r="46" spans="1:27" s="6" customFormat="1" ht="13.5" customHeight="1" x14ac:dyDescent="0.2">
      <c r="A46" s="51"/>
      <c r="B46" s="7"/>
      <c r="C46" s="8"/>
      <c r="D46" s="9"/>
      <c r="E46" s="9"/>
      <c r="F46" s="5"/>
      <c r="G46" s="5"/>
      <c r="H46" s="5"/>
      <c r="I46" s="5"/>
      <c r="J46" s="5"/>
      <c r="K46" s="10"/>
      <c r="L46" s="10"/>
      <c r="M46" s="4"/>
    </row>
    <row r="47" spans="1:27" ht="29.25" customHeight="1" x14ac:dyDescent="0.2">
      <c r="B47" s="202" t="s">
        <v>0</v>
      </c>
      <c r="C47" s="195" t="s">
        <v>150</v>
      </c>
      <c r="D47" s="195" t="s">
        <v>152</v>
      </c>
      <c r="E47" s="195" t="s">
        <v>151</v>
      </c>
      <c r="F47" s="195" t="s">
        <v>34</v>
      </c>
      <c r="G47" s="195"/>
      <c r="H47" s="195"/>
      <c r="I47" s="195" t="s">
        <v>270</v>
      </c>
      <c r="J47" s="195"/>
      <c r="K47" s="195" t="s">
        <v>2</v>
      </c>
      <c r="L47" s="198" t="s">
        <v>128</v>
      </c>
      <c r="N47" s="11"/>
      <c r="O47" s="125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8" customHeight="1" x14ac:dyDescent="0.2">
      <c r="B48" s="202"/>
      <c r="C48" s="195"/>
      <c r="D48" s="195"/>
      <c r="E48" s="196"/>
      <c r="F48" s="179" t="s">
        <v>153</v>
      </c>
      <c r="G48" s="201" t="s">
        <v>126</v>
      </c>
      <c r="H48" s="196"/>
      <c r="I48" s="195"/>
      <c r="J48" s="195"/>
      <c r="K48" s="195"/>
      <c r="L48" s="198"/>
      <c r="M48" s="12"/>
      <c r="N48" s="13"/>
      <c r="O48" s="83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36" customHeight="1" x14ac:dyDescent="0.2">
      <c r="B49" s="202"/>
      <c r="C49" s="195"/>
      <c r="D49" s="195"/>
      <c r="E49" s="196"/>
      <c r="F49" s="196"/>
      <c r="G49" s="20" t="s">
        <v>137</v>
      </c>
      <c r="H49" s="20" t="s">
        <v>138</v>
      </c>
      <c r="I49" s="195"/>
      <c r="J49" s="195"/>
      <c r="K49" s="195"/>
      <c r="L49" s="198"/>
      <c r="M49" s="12"/>
      <c r="N49" s="11"/>
      <c r="O49" s="83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3.5" customHeight="1" x14ac:dyDescent="0.2">
      <c r="B50" s="202"/>
      <c r="C50" s="19" t="s">
        <v>140</v>
      </c>
      <c r="D50" s="19" t="s">
        <v>143</v>
      </c>
      <c r="E50" s="19" t="s">
        <v>142</v>
      </c>
      <c r="F50" s="19" t="s">
        <v>144</v>
      </c>
      <c r="G50" s="19" t="s">
        <v>145</v>
      </c>
      <c r="H50" s="19" t="s">
        <v>146</v>
      </c>
      <c r="I50" s="209" t="s">
        <v>147</v>
      </c>
      <c r="J50" s="211"/>
      <c r="K50" s="197" t="s">
        <v>4</v>
      </c>
      <c r="L50" s="197"/>
      <c r="O50" s="14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1.25" customHeight="1" x14ac:dyDescent="0.2">
      <c r="B51" s="19">
        <v>1</v>
      </c>
      <c r="C51" s="21">
        <v>2</v>
      </c>
      <c r="D51" s="21">
        <v>3</v>
      </c>
      <c r="E51" s="21">
        <v>4</v>
      </c>
      <c r="F51" s="19">
        <v>5</v>
      </c>
      <c r="G51" s="19">
        <v>6</v>
      </c>
      <c r="H51" s="21">
        <v>7</v>
      </c>
      <c r="I51" s="196">
        <v>8</v>
      </c>
      <c r="J51" s="196"/>
      <c r="K51" s="19">
        <v>9</v>
      </c>
      <c r="L51" s="21">
        <v>10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25.5" customHeight="1" x14ac:dyDescent="0.2">
      <c r="A52" s="49" t="s">
        <v>37</v>
      </c>
      <c r="B52" s="22" t="s">
        <v>170</v>
      </c>
      <c r="C52" s="243" t="s">
        <v>139</v>
      </c>
      <c r="D52" s="243"/>
      <c r="E52" s="243"/>
      <c r="F52" s="243"/>
      <c r="G52" s="243"/>
      <c r="H52" s="243"/>
      <c r="I52" s="243"/>
      <c r="J52" s="243"/>
      <c r="K52" s="34">
        <v>100</v>
      </c>
      <c r="L52" s="34" t="s">
        <v>76</v>
      </c>
    </row>
    <row r="53" spans="1:27" ht="49.5" customHeight="1" x14ac:dyDescent="0.2">
      <c r="A53" s="49" t="s">
        <v>38</v>
      </c>
      <c r="B53" s="23" t="s">
        <v>36</v>
      </c>
      <c r="C53" s="242" t="s">
        <v>338</v>
      </c>
      <c r="D53" s="242"/>
      <c r="E53" s="242"/>
      <c r="F53" s="242"/>
      <c r="G53" s="242"/>
      <c r="H53" s="242"/>
      <c r="I53" s="242"/>
      <c r="J53" s="242"/>
      <c r="K53" s="36" t="s">
        <v>79</v>
      </c>
      <c r="L53" s="36" t="s">
        <v>76</v>
      </c>
    </row>
    <row r="54" spans="1:27" ht="22.5" customHeight="1" x14ac:dyDescent="0.2">
      <c r="A54" s="49" t="s">
        <v>39</v>
      </c>
      <c r="B54" s="24" t="s">
        <v>35</v>
      </c>
      <c r="C54" s="253" t="s">
        <v>339</v>
      </c>
      <c r="D54" s="253"/>
      <c r="E54" s="253"/>
      <c r="F54" s="253"/>
      <c r="G54" s="253"/>
      <c r="H54" s="253"/>
      <c r="I54" s="253"/>
      <c r="J54" s="253"/>
      <c r="K54" s="37" t="s">
        <v>80</v>
      </c>
      <c r="L54" s="37" t="s">
        <v>76</v>
      </c>
    </row>
    <row r="55" spans="1:27" ht="25.5" customHeight="1" x14ac:dyDescent="0.2">
      <c r="A55" s="49" t="s">
        <v>40</v>
      </c>
      <c r="B55" s="23" t="s">
        <v>171</v>
      </c>
      <c r="C55" s="242" t="s">
        <v>90</v>
      </c>
      <c r="D55" s="242"/>
      <c r="E55" s="242"/>
      <c r="F55" s="242"/>
      <c r="G55" s="242"/>
      <c r="H55" s="242"/>
      <c r="I55" s="242"/>
      <c r="J55" s="242"/>
      <c r="K55" s="36" t="s">
        <v>81</v>
      </c>
      <c r="L55" s="36" t="s">
        <v>76</v>
      </c>
    </row>
    <row r="56" spans="1:27" ht="22.5" x14ac:dyDescent="0.2">
      <c r="A56" s="49" t="s">
        <v>41</v>
      </c>
      <c r="B56" s="24" t="s">
        <v>301</v>
      </c>
      <c r="C56" s="248" t="s">
        <v>340</v>
      </c>
      <c r="D56" s="248"/>
      <c r="E56" s="248"/>
      <c r="F56" s="248"/>
      <c r="G56" s="248"/>
      <c r="H56" s="248"/>
      <c r="I56" s="248"/>
      <c r="J56" s="248"/>
      <c r="K56" s="37" t="s">
        <v>82</v>
      </c>
      <c r="L56" s="37" t="s">
        <v>76</v>
      </c>
    </row>
    <row r="57" spans="1:27" ht="33" customHeight="1" x14ac:dyDescent="0.2">
      <c r="A57" s="49" t="s">
        <v>42</v>
      </c>
      <c r="B57" s="25" t="s">
        <v>136</v>
      </c>
      <c r="C57" s="244" t="s">
        <v>341</v>
      </c>
      <c r="D57" s="244"/>
      <c r="E57" s="244"/>
      <c r="F57" s="244"/>
      <c r="G57" s="244"/>
      <c r="H57" s="244"/>
      <c r="I57" s="244"/>
      <c r="J57" s="244"/>
      <c r="K57" s="38" t="s">
        <v>83</v>
      </c>
      <c r="L57" s="38" t="s">
        <v>76</v>
      </c>
      <c r="N57" s="102"/>
    </row>
    <row r="58" spans="1:27" ht="13.5" customHeight="1" x14ac:dyDescent="0.2">
      <c r="A58" s="49" t="s">
        <v>43</v>
      </c>
      <c r="B58" s="24" t="s">
        <v>135</v>
      </c>
      <c r="C58" s="248" t="s">
        <v>286</v>
      </c>
      <c r="D58" s="248"/>
      <c r="E58" s="248"/>
      <c r="F58" s="248"/>
      <c r="G58" s="248"/>
      <c r="H58" s="248"/>
      <c r="I58" s="248"/>
      <c r="J58" s="248"/>
      <c r="K58" s="37" t="s">
        <v>84</v>
      </c>
      <c r="L58" s="37" t="s">
        <v>76</v>
      </c>
    </row>
    <row r="59" spans="1:27" ht="22.5" customHeight="1" x14ac:dyDescent="0.2">
      <c r="A59" s="49" t="s">
        <v>44</v>
      </c>
      <c r="B59" s="25" t="s">
        <v>200</v>
      </c>
      <c r="C59" s="244" t="s">
        <v>283</v>
      </c>
      <c r="D59" s="244"/>
      <c r="E59" s="244"/>
      <c r="F59" s="244"/>
      <c r="G59" s="244"/>
      <c r="H59" s="244"/>
      <c r="I59" s="244"/>
      <c r="J59" s="244"/>
      <c r="K59" s="38" t="s">
        <v>85</v>
      </c>
      <c r="L59" s="38" t="s">
        <v>76</v>
      </c>
    </row>
    <row r="60" spans="1:27" ht="22.5" customHeight="1" x14ac:dyDescent="0.2">
      <c r="A60" s="49" t="s">
        <v>45</v>
      </c>
      <c r="B60" s="25" t="s">
        <v>215</v>
      </c>
      <c r="C60" s="249" t="s">
        <v>342</v>
      </c>
      <c r="D60" s="250"/>
      <c r="E60" s="250"/>
      <c r="F60" s="250"/>
      <c r="G60" s="250"/>
      <c r="H60" s="250"/>
      <c r="I60" s="250"/>
      <c r="J60" s="251"/>
      <c r="K60" s="38" t="s">
        <v>86</v>
      </c>
      <c r="L60" s="38" t="s">
        <v>76</v>
      </c>
    </row>
    <row r="61" spans="1:27" ht="13.5" customHeight="1" x14ac:dyDescent="0.2">
      <c r="A61" s="49" t="s">
        <v>46</v>
      </c>
      <c r="B61" s="24" t="s">
        <v>134</v>
      </c>
      <c r="C61" s="248" t="s">
        <v>284</v>
      </c>
      <c r="D61" s="248"/>
      <c r="E61" s="248"/>
      <c r="F61" s="248"/>
      <c r="G61" s="248"/>
      <c r="H61" s="248"/>
      <c r="I61" s="248"/>
      <c r="J61" s="248"/>
      <c r="K61" s="37" t="s">
        <v>87</v>
      </c>
      <c r="L61" s="37" t="s">
        <v>76</v>
      </c>
    </row>
    <row r="62" spans="1:27" ht="24" customHeight="1" x14ac:dyDescent="0.2">
      <c r="A62" s="49" t="s">
        <v>47</v>
      </c>
      <c r="B62" s="23" t="s">
        <v>48</v>
      </c>
      <c r="C62" s="242" t="s">
        <v>88</v>
      </c>
      <c r="D62" s="242"/>
      <c r="E62" s="242"/>
      <c r="F62" s="242"/>
      <c r="G62" s="242"/>
      <c r="H62" s="242"/>
      <c r="I62" s="242"/>
      <c r="J62" s="242"/>
      <c r="K62" s="39"/>
      <c r="L62" s="39"/>
      <c r="M62" s="14"/>
    </row>
    <row r="63" spans="1:27" ht="12" customHeight="1" x14ac:dyDescent="0.2">
      <c r="B63" s="15"/>
      <c r="C63" s="16"/>
      <c r="D63" s="16"/>
      <c r="E63" s="16"/>
      <c r="F63" s="2"/>
      <c r="G63" s="2"/>
      <c r="H63" s="2"/>
      <c r="I63" s="2"/>
      <c r="L63" s="11"/>
      <c r="M63" s="11"/>
    </row>
    <row r="64" spans="1:27" ht="12" customHeight="1" x14ac:dyDescent="0.2">
      <c r="B64" s="173" t="s">
        <v>343</v>
      </c>
      <c r="C64" s="16"/>
      <c r="D64" s="16"/>
      <c r="E64" s="16"/>
      <c r="F64" s="2"/>
      <c r="G64" s="2"/>
      <c r="H64" s="2"/>
      <c r="I64" s="2"/>
      <c r="L64" s="11"/>
      <c r="M64" s="11"/>
    </row>
    <row r="65" spans="1:13" ht="12" customHeight="1" x14ac:dyDescent="0.2">
      <c r="A65" s="49" t="s">
        <v>228</v>
      </c>
      <c r="B65" s="174" t="s">
        <v>233</v>
      </c>
      <c r="C65" s="245" t="s">
        <v>285</v>
      </c>
      <c r="D65" s="246"/>
      <c r="E65" s="246"/>
      <c r="F65" s="246"/>
      <c r="G65" s="246"/>
      <c r="H65" s="246"/>
      <c r="I65" s="246"/>
      <c r="J65" s="247"/>
      <c r="K65" s="33">
        <v>100</v>
      </c>
      <c r="L65" s="33" t="s">
        <v>76</v>
      </c>
      <c r="M65" s="11"/>
    </row>
    <row r="66" spans="1:13" ht="42" customHeight="1" x14ac:dyDescent="0.2">
      <c r="A66" s="49" t="s">
        <v>231</v>
      </c>
      <c r="B66" s="174" t="s">
        <v>229</v>
      </c>
      <c r="C66" s="245" t="s">
        <v>344</v>
      </c>
      <c r="D66" s="246"/>
      <c r="E66" s="246"/>
      <c r="F66" s="246"/>
      <c r="G66" s="246"/>
      <c r="H66" s="246"/>
      <c r="I66" s="246"/>
      <c r="J66" s="247"/>
      <c r="K66" s="60" t="s">
        <v>235</v>
      </c>
      <c r="L66" s="33" t="s">
        <v>76</v>
      </c>
      <c r="M66" s="11"/>
    </row>
    <row r="67" spans="1:13" x14ac:dyDescent="0.2">
      <c r="A67" s="49" t="s">
        <v>232</v>
      </c>
      <c r="B67" s="174" t="s">
        <v>234</v>
      </c>
      <c r="C67" s="245" t="s">
        <v>237</v>
      </c>
      <c r="D67" s="246"/>
      <c r="E67" s="246"/>
      <c r="F67" s="246"/>
      <c r="G67" s="246"/>
      <c r="H67" s="246"/>
      <c r="I67" s="246"/>
      <c r="J67" s="247"/>
      <c r="K67" s="60" t="s">
        <v>236</v>
      </c>
      <c r="L67" s="33" t="s">
        <v>76</v>
      </c>
    </row>
    <row r="69" spans="1:13" ht="45" customHeight="1" x14ac:dyDescent="0.2">
      <c r="B69" s="252" t="str">
        <f>CONCATENATE("Informacja z wykonania budżetów województw za ",definicja!$D$104," ",definicja!$C$105," roku",definicja!$C$107,"")</f>
        <v>Informacja z wykonania budżetów województw za - 2023 roku</v>
      </c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</row>
    <row r="70" spans="1:13" ht="12" customHeight="1" x14ac:dyDescent="0.2">
      <c r="A70"/>
      <c r="B70" s="232" t="s">
        <v>49</v>
      </c>
      <c r="C70" s="232"/>
      <c r="D70" s="196" t="s">
        <v>50</v>
      </c>
      <c r="E70" s="196"/>
      <c r="F70" s="196" t="s">
        <v>1</v>
      </c>
      <c r="G70" s="196"/>
      <c r="H70" s="21" t="s">
        <v>91</v>
      </c>
      <c r="I70" s="21" t="s">
        <v>92</v>
      </c>
    </row>
    <row r="71" spans="1:13" x14ac:dyDescent="0.2">
      <c r="A71"/>
      <c r="B71" s="232"/>
      <c r="C71" s="232"/>
      <c r="D71" s="195" t="s">
        <v>148</v>
      </c>
      <c r="E71" s="195"/>
      <c r="F71" s="195" t="s">
        <v>149</v>
      </c>
      <c r="G71" s="195"/>
      <c r="H71" s="228" t="s">
        <v>4</v>
      </c>
      <c r="I71" s="228"/>
    </row>
    <row r="72" spans="1:13" x14ac:dyDescent="0.2">
      <c r="A72"/>
      <c r="B72" s="235">
        <v>1</v>
      </c>
      <c r="C72" s="195"/>
      <c r="D72" s="236">
        <v>2</v>
      </c>
      <c r="E72" s="236"/>
      <c r="F72" s="236">
        <v>3</v>
      </c>
      <c r="G72" s="236"/>
      <c r="H72" s="64">
        <v>4</v>
      </c>
      <c r="I72" s="64">
        <v>5</v>
      </c>
    </row>
    <row r="73" spans="1:13" ht="29.25" customHeight="1" x14ac:dyDescent="0.2">
      <c r="A73" s="49" t="s">
        <v>51</v>
      </c>
      <c r="B73" s="233" t="s">
        <v>172</v>
      </c>
      <c r="C73" s="234"/>
      <c r="D73" s="229" t="s">
        <v>177</v>
      </c>
      <c r="E73" s="230"/>
      <c r="F73" s="230"/>
      <c r="G73" s="231"/>
      <c r="H73" s="66">
        <v>100</v>
      </c>
      <c r="I73" s="69" t="s">
        <v>93</v>
      </c>
    </row>
    <row r="74" spans="1:13" ht="27.75" customHeight="1" x14ac:dyDescent="0.2">
      <c r="A74" s="49" t="s">
        <v>52</v>
      </c>
      <c r="B74" s="227" t="s">
        <v>275</v>
      </c>
      <c r="C74" s="227"/>
      <c r="D74" s="220" t="s">
        <v>178</v>
      </c>
      <c r="E74" s="221"/>
      <c r="F74" s="221"/>
      <c r="G74" s="222"/>
      <c r="H74" s="67" t="s">
        <v>94</v>
      </c>
      <c r="I74" s="67" t="s">
        <v>95</v>
      </c>
    </row>
    <row r="75" spans="1:13" ht="14.25" customHeight="1" x14ac:dyDescent="0.2">
      <c r="A75" s="49" t="s">
        <v>111</v>
      </c>
      <c r="B75" s="256" t="s">
        <v>276</v>
      </c>
      <c r="C75" s="256"/>
      <c r="D75" s="215" t="s">
        <v>179</v>
      </c>
      <c r="E75" s="216"/>
      <c r="F75" s="216"/>
      <c r="G75" s="217"/>
      <c r="H75" s="144" t="s">
        <v>112</v>
      </c>
      <c r="I75" s="144" t="s">
        <v>113</v>
      </c>
    </row>
    <row r="76" spans="1:13" x14ac:dyDescent="0.2">
      <c r="A76" s="49" t="s">
        <v>53</v>
      </c>
      <c r="B76" s="223" t="s">
        <v>277</v>
      </c>
      <c r="C76" s="223" t="s">
        <v>114</v>
      </c>
      <c r="D76" s="215" t="s">
        <v>180</v>
      </c>
      <c r="E76" s="216"/>
      <c r="F76" s="216"/>
      <c r="G76" s="217"/>
      <c r="H76" s="144" t="s">
        <v>96</v>
      </c>
      <c r="I76" s="144" t="s">
        <v>97</v>
      </c>
    </row>
    <row r="77" spans="1:13" ht="37.5" customHeight="1" x14ac:dyDescent="0.2">
      <c r="A77" s="49" t="s">
        <v>54</v>
      </c>
      <c r="B77" s="227" t="s">
        <v>306</v>
      </c>
      <c r="C77" s="227" t="s">
        <v>115</v>
      </c>
      <c r="D77" s="220" t="s">
        <v>181</v>
      </c>
      <c r="E77" s="221"/>
      <c r="F77" s="221"/>
      <c r="G77" s="222"/>
      <c r="H77" s="67" t="s">
        <v>98</v>
      </c>
      <c r="I77" s="67" t="s">
        <v>99</v>
      </c>
    </row>
    <row r="78" spans="1:13" ht="32.25" customHeight="1" x14ac:dyDescent="0.2">
      <c r="A78" s="49" t="s">
        <v>55</v>
      </c>
      <c r="B78" s="227" t="s">
        <v>307</v>
      </c>
      <c r="C78" s="227"/>
      <c r="D78" s="220" t="s">
        <v>182</v>
      </c>
      <c r="E78" s="221"/>
      <c r="F78" s="221"/>
      <c r="G78" s="222"/>
      <c r="H78" s="67" t="s">
        <v>100</v>
      </c>
      <c r="I78" s="67" t="s">
        <v>101</v>
      </c>
    </row>
    <row r="79" spans="1:13" x14ac:dyDescent="0.2">
      <c r="A79" s="49" t="s">
        <v>56</v>
      </c>
      <c r="B79" s="227" t="s">
        <v>278</v>
      </c>
      <c r="C79" s="227" t="s">
        <v>116</v>
      </c>
      <c r="D79" s="220" t="s">
        <v>183</v>
      </c>
      <c r="E79" s="221"/>
      <c r="F79" s="221"/>
      <c r="G79" s="222"/>
      <c r="H79" s="67" t="s">
        <v>102</v>
      </c>
      <c r="I79" s="67" t="s">
        <v>103</v>
      </c>
    </row>
    <row r="80" spans="1:13" ht="27" customHeight="1" x14ac:dyDescent="0.2">
      <c r="A80" s="49" t="s">
        <v>57</v>
      </c>
      <c r="B80" s="227" t="s">
        <v>281</v>
      </c>
      <c r="C80" s="227" t="s">
        <v>117</v>
      </c>
      <c r="D80" s="220" t="s">
        <v>184</v>
      </c>
      <c r="E80" s="221"/>
      <c r="F80" s="221"/>
      <c r="G80" s="222"/>
      <c r="H80" s="67" t="s">
        <v>104</v>
      </c>
      <c r="I80" s="67" t="s">
        <v>105</v>
      </c>
    </row>
    <row r="81" spans="1:9" ht="38.25" customHeight="1" x14ac:dyDescent="0.2">
      <c r="A81" s="49" t="s">
        <v>348</v>
      </c>
      <c r="B81" s="227" t="s">
        <v>367</v>
      </c>
      <c r="C81" s="227"/>
      <c r="D81" s="220" t="s">
        <v>350</v>
      </c>
      <c r="E81" s="221"/>
      <c r="F81" s="221"/>
      <c r="G81" s="222"/>
      <c r="H81" s="67" t="s">
        <v>354</v>
      </c>
      <c r="I81" s="67" t="s">
        <v>355</v>
      </c>
    </row>
    <row r="82" spans="1:9" x14ac:dyDescent="0.2">
      <c r="A82" s="49" t="s">
        <v>349</v>
      </c>
      <c r="B82" s="227" t="s">
        <v>368</v>
      </c>
      <c r="C82" s="227"/>
      <c r="D82" s="220" t="s">
        <v>351</v>
      </c>
      <c r="E82" s="221"/>
      <c r="F82" s="221"/>
      <c r="G82" s="222"/>
      <c r="H82" s="67" t="s">
        <v>356</v>
      </c>
      <c r="I82" s="67" t="s">
        <v>357</v>
      </c>
    </row>
    <row r="83" spans="1:9" x14ac:dyDescent="0.2">
      <c r="A83" s="49" t="s">
        <v>352</v>
      </c>
      <c r="B83" s="257" t="s">
        <v>369</v>
      </c>
      <c r="C83" s="258"/>
      <c r="D83" s="220" t="s">
        <v>353</v>
      </c>
      <c r="E83" s="221"/>
      <c r="F83" s="221"/>
      <c r="G83" s="222"/>
      <c r="H83" s="67" t="s">
        <v>358</v>
      </c>
      <c r="I83" s="67" t="s">
        <v>359</v>
      </c>
    </row>
    <row r="84" spans="1:9" ht="26.25" customHeight="1" x14ac:dyDescent="0.2">
      <c r="A84" s="49" t="s">
        <v>58</v>
      </c>
      <c r="B84" s="233" t="s">
        <v>173</v>
      </c>
      <c r="C84" s="234" t="s">
        <v>118</v>
      </c>
      <c r="D84" s="229" t="s">
        <v>185</v>
      </c>
      <c r="E84" s="230"/>
      <c r="F84" s="230"/>
      <c r="G84" s="231"/>
      <c r="H84" s="66">
        <v>100</v>
      </c>
      <c r="I84" s="69" t="s">
        <v>110</v>
      </c>
    </row>
    <row r="85" spans="1:9" ht="24.75" customHeight="1" x14ac:dyDescent="0.2">
      <c r="A85" s="49" t="s">
        <v>59</v>
      </c>
      <c r="B85" s="227" t="s">
        <v>279</v>
      </c>
      <c r="C85" s="227" t="s">
        <v>119</v>
      </c>
      <c r="D85" s="220" t="s">
        <v>186</v>
      </c>
      <c r="E85" s="221"/>
      <c r="F85" s="221"/>
      <c r="G85" s="222"/>
      <c r="H85" s="67" t="s">
        <v>106</v>
      </c>
      <c r="I85" s="67" t="s">
        <v>107</v>
      </c>
    </row>
    <row r="86" spans="1:9" x14ac:dyDescent="0.2">
      <c r="A86" s="49" t="s">
        <v>120</v>
      </c>
      <c r="B86" s="238" t="s">
        <v>280</v>
      </c>
      <c r="C86" s="238" t="s">
        <v>124</v>
      </c>
      <c r="D86" s="239" t="s">
        <v>187</v>
      </c>
      <c r="E86" s="240"/>
      <c r="F86" s="240"/>
      <c r="G86" s="241"/>
      <c r="H86" s="68" t="s">
        <v>121</v>
      </c>
      <c r="I86" s="68" t="s">
        <v>122</v>
      </c>
    </row>
    <row r="87" spans="1:9" x14ac:dyDescent="0.2">
      <c r="A87" s="49" t="s">
        <v>60</v>
      </c>
      <c r="B87" s="237" t="s">
        <v>308</v>
      </c>
      <c r="C87" s="237" t="s">
        <v>123</v>
      </c>
      <c r="D87" s="224" t="s">
        <v>188</v>
      </c>
      <c r="E87" s="225"/>
      <c r="F87" s="225"/>
      <c r="G87" s="226"/>
      <c r="H87" s="70" t="s">
        <v>108</v>
      </c>
      <c r="I87" s="70" t="s">
        <v>109</v>
      </c>
    </row>
    <row r="88" spans="1:9" x14ac:dyDescent="0.2">
      <c r="A88" s="49" t="s">
        <v>201</v>
      </c>
      <c r="B88" s="237" t="s">
        <v>370</v>
      </c>
      <c r="C88" s="237" t="s">
        <v>125</v>
      </c>
      <c r="D88" s="224" t="s">
        <v>202</v>
      </c>
      <c r="E88" s="225"/>
      <c r="F88" s="225"/>
      <c r="G88" s="226"/>
      <c r="H88" s="70" t="s">
        <v>204</v>
      </c>
      <c r="I88" s="70" t="s">
        <v>203</v>
      </c>
    </row>
    <row r="89" spans="1:9" x14ac:dyDescent="0.2">
      <c r="A89" s="49" t="s">
        <v>360</v>
      </c>
      <c r="B89" s="238" t="s">
        <v>371</v>
      </c>
      <c r="C89" s="238" t="s">
        <v>125</v>
      </c>
      <c r="D89" s="224" t="s">
        <v>361</v>
      </c>
      <c r="E89" s="225"/>
      <c r="F89" s="225"/>
      <c r="G89" s="226"/>
      <c r="H89" s="70" t="s">
        <v>362</v>
      </c>
      <c r="I89" s="70" t="s">
        <v>363</v>
      </c>
    </row>
    <row r="90" spans="1:9" x14ac:dyDescent="0.2">
      <c r="A90"/>
      <c r="B90"/>
      <c r="C90"/>
      <c r="D90"/>
      <c r="E90"/>
      <c r="F90"/>
      <c r="G90"/>
      <c r="H90"/>
      <c r="I90"/>
    </row>
    <row r="91" spans="1:9" x14ac:dyDescent="0.2">
      <c r="A91"/>
      <c r="B91" s="232" t="s">
        <v>49</v>
      </c>
      <c r="C91" s="232"/>
      <c r="D91" s="196" t="s">
        <v>50</v>
      </c>
      <c r="E91" s="196"/>
      <c r="F91" s="196" t="s">
        <v>1</v>
      </c>
      <c r="G91" s="196"/>
    </row>
    <row r="92" spans="1:9" x14ac:dyDescent="0.2">
      <c r="A92"/>
      <c r="B92" s="232"/>
      <c r="C92" s="232"/>
      <c r="D92" s="195" t="s">
        <v>148</v>
      </c>
      <c r="E92" s="195"/>
      <c r="F92" s="195" t="s">
        <v>149</v>
      </c>
      <c r="G92" s="195"/>
    </row>
    <row r="93" spans="1:9" x14ac:dyDescent="0.2">
      <c r="A93"/>
      <c r="B93" s="235">
        <v>1</v>
      </c>
      <c r="C93" s="195"/>
      <c r="D93" s="236">
        <v>2</v>
      </c>
      <c r="E93" s="236"/>
      <c r="F93" s="236">
        <v>3</v>
      </c>
      <c r="G93" s="236"/>
    </row>
    <row r="94" spans="1:9" ht="27.75" customHeight="1" x14ac:dyDescent="0.2">
      <c r="A94" s="71" t="s">
        <v>248</v>
      </c>
      <c r="B94" s="254" t="s">
        <v>366</v>
      </c>
      <c r="C94" s="255"/>
      <c r="D94" s="229" t="s">
        <v>249</v>
      </c>
      <c r="E94" s="230"/>
      <c r="F94" s="230"/>
      <c r="G94" s="231"/>
    </row>
    <row r="95" spans="1:9" ht="24.75" customHeight="1" x14ac:dyDescent="0.2">
      <c r="A95" s="71" t="s">
        <v>250</v>
      </c>
      <c r="B95" s="218" t="s">
        <v>251</v>
      </c>
      <c r="C95" s="219"/>
      <c r="D95" s="215" t="s">
        <v>252</v>
      </c>
      <c r="E95" s="216"/>
      <c r="F95" s="216"/>
      <c r="G95" s="217"/>
    </row>
    <row r="96" spans="1:9" x14ac:dyDescent="0.2">
      <c r="A96" s="71" t="s">
        <v>253</v>
      </c>
      <c r="B96" s="218" t="s">
        <v>254</v>
      </c>
      <c r="C96" s="219"/>
      <c r="D96" s="215" t="s">
        <v>255</v>
      </c>
      <c r="E96" s="216"/>
      <c r="F96" s="216"/>
      <c r="G96" s="217"/>
    </row>
    <row r="97" spans="1:7" x14ac:dyDescent="0.2">
      <c r="A97" s="71" t="s">
        <v>256</v>
      </c>
      <c r="B97" s="218" t="s">
        <v>257</v>
      </c>
      <c r="C97" s="219"/>
      <c r="D97" s="215" t="s">
        <v>258</v>
      </c>
      <c r="E97" s="216"/>
      <c r="F97" s="216"/>
      <c r="G97" s="217"/>
    </row>
    <row r="98" spans="1:7" ht="40.5" customHeight="1" x14ac:dyDescent="0.2">
      <c r="A98" s="71" t="s">
        <v>259</v>
      </c>
      <c r="B98" s="218" t="s">
        <v>309</v>
      </c>
      <c r="C98" s="219"/>
      <c r="D98" s="215" t="s">
        <v>260</v>
      </c>
      <c r="E98" s="216"/>
      <c r="F98" s="216"/>
      <c r="G98" s="217"/>
    </row>
    <row r="99" spans="1:7" ht="53.25" customHeight="1" x14ac:dyDescent="0.2">
      <c r="A99" s="71" t="s">
        <v>261</v>
      </c>
      <c r="B99" s="218" t="s">
        <v>262</v>
      </c>
      <c r="C99" s="219"/>
      <c r="D99" s="215" t="s">
        <v>263</v>
      </c>
      <c r="E99" s="216"/>
      <c r="F99" s="216"/>
      <c r="G99" s="217"/>
    </row>
    <row r="100" spans="1:7" ht="90" customHeight="1" x14ac:dyDescent="0.2">
      <c r="A100" s="71" t="s">
        <v>302</v>
      </c>
      <c r="B100" s="218" t="s">
        <v>310</v>
      </c>
      <c r="C100" s="219"/>
      <c r="D100" s="215" t="s">
        <v>304</v>
      </c>
      <c r="E100" s="216"/>
      <c r="F100" s="216"/>
      <c r="G100" s="217"/>
    </row>
    <row r="101" spans="1:7" ht="16.5" customHeight="1" x14ac:dyDescent="0.2">
      <c r="A101" s="71" t="s">
        <v>303</v>
      </c>
      <c r="B101" s="218" t="s">
        <v>311</v>
      </c>
      <c r="C101" s="219"/>
      <c r="D101" s="215" t="s">
        <v>305</v>
      </c>
      <c r="E101" s="216"/>
      <c r="F101" s="216"/>
      <c r="G101" s="217"/>
    </row>
    <row r="102" spans="1:7" ht="16.5" customHeight="1" x14ac:dyDescent="0.2">
      <c r="A102" s="71" t="s">
        <v>364</v>
      </c>
      <c r="B102" s="218" t="s">
        <v>369</v>
      </c>
      <c r="C102" s="219"/>
      <c r="D102" s="215" t="s">
        <v>365</v>
      </c>
      <c r="E102" s="216"/>
      <c r="F102" s="216"/>
      <c r="G102" s="217"/>
    </row>
    <row r="104" spans="1:7" x14ac:dyDescent="0.2">
      <c r="B104" s="52" t="s">
        <v>174</v>
      </c>
      <c r="C104" s="52">
        <f>2</f>
        <v>2</v>
      </c>
      <c r="D104" s="52" t="str">
        <f>IF(C104="1","I Kwartał",IF(C104="2","II Kwartały",IF(C104="3","III Kwartały",IF(C104="4","IV Kwartały","-"))))</f>
        <v>-</v>
      </c>
    </row>
    <row r="105" spans="1:7" x14ac:dyDescent="0.2">
      <c r="B105" s="52" t="s">
        <v>175</v>
      </c>
      <c r="C105" s="52">
        <f>2023</f>
        <v>2023</v>
      </c>
    </row>
    <row r="106" spans="1:7" x14ac:dyDescent="0.2">
      <c r="B106" s="52" t="s">
        <v>176</v>
      </c>
      <c r="C106" s="53" t="str">
        <f>"Aug 14 2023 12:00AM"</f>
        <v>Aug 14 2023 12:00AM</v>
      </c>
    </row>
    <row r="107" spans="1:7" x14ac:dyDescent="0.2">
      <c r="B107" s="52" t="s">
        <v>218</v>
      </c>
      <c r="C107" s="53" t="str">
        <f>""</f>
        <v/>
      </c>
    </row>
  </sheetData>
  <mergeCells count="101">
    <mergeCell ref="D102:G102"/>
    <mergeCell ref="B81:C81"/>
    <mergeCell ref="B82:C82"/>
    <mergeCell ref="B83:C83"/>
    <mergeCell ref="B88:C88"/>
    <mergeCell ref="B89:C89"/>
    <mergeCell ref="B102:C102"/>
    <mergeCell ref="D81:G81"/>
    <mergeCell ref="D82:G82"/>
    <mergeCell ref="D89:G89"/>
    <mergeCell ref="B91:C92"/>
    <mergeCell ref="D80:G80"/>
    <mergeCell ref="B47:B50"/>
    <mergeCell ref="C62:J62"/>
    <mergeCell ref="D93:E93"/>
    <mergeCell ref="F93:G93"/>
    <mergeCell ref="B78:C78"/>
    <mergeCell ref="F92:G92"/>
    <mergeCell ref="D91:E91"/>
    <mergeCell ref="F91:G91"/>
    <mergeCell ref="B94:C94"/>
    <mergeCell ref="D94:G94"/>
    <mergeCell ref="C58:J58"/>
    <mergeCell ref="B93:C93"/>
    <mergeCell ref="C67:J67"/>
    <mergeCell ref="C65:J65"/>
    <mergeCell ref="B77:C77"/>
    <mergeCell ref="B75:C75"/>
    <mergeCell ref="D92:E92"/>
    <mergeCell ref="D87:G87"/>
    <mergeCell ref="B1:M1"/>
    <mergeCell ref="B45:M45"/>
    <mergeCell ref="B69:M69"/>
    <mergeCell ref="L47:L49"/>
    <mergeCell ref="B2:B3"/>
    <mergeCell ref="C47:C49"/>
    <mergeCell ref="C53:J53"/>
    <mergeCell ref="C54:J54"/>
    <mergeCell ref="K47:K49"/>
    <mergeCell ref="C57:J57"/>
    <mergeCell ref="C60:J60"/>
    <mergeCell ref="C61:J61"/>
    <mergeCell ref="D83:G83"/>
    <mergeCell ref="D79:G79"/>
    <mergeCell ref="D75:G75"/>
    <mergeCell ref="B79:C79"/>
    <mergeCell ref="D76:G76"/>
    <mergeCell ref="B80:C80"/>
    <mergeCell ref="D78:G78"/>
    <mergeCell ref="D77:G77"/>
    <mergeCell ref="C59:J59"/>
    <mergeCell ref="F72:G72"/>
    <mergeCell ref="K50:L50"/>
    <mergeCell ref="E3:G3"/>
    <mergeCell ref="I47:J49"/>
    <mergeCell ref="D47:D49"/>
    <mergeCell ref="G48:H48"/>
    <mergeCell ref="C66:J66"/>
    <mergeCell ref="I50:J50"/>
    <mergeCell ref="C56:J56"/>
    <mergeCell ref="E47:E49"/>
    <mergeCell ref="F48:F49"/>
    <mergeCell ref="F47:H47"/>
    <mergeCell ref="C55:J55"/>
    <mergeCell ref="C52:J52"/>
    <mergeCell ref="I51:J51"/>
    <mergeCell ref="B87:C87"/>
    <mergeCell ref="B84:C84"/>
    <mergeCell ref="B86:C86"/>
    <mergeCell ref="D85:G85"/>
    <mergeCell ref="D86:G86"/>
    <mergeCell ref="B85:C85"/>
    <mergeCell ref="D84:G84"/>
    <mergeCell ref="D71:E71"/>
    <mergeCell ref="H71:I71"/>
    <mergeCell ref="F71:G71"/>
    <mergeCell ref="D73:G73"/>
    <mergeCell ref="B70:C71"/>
    <mergeCell ref="B73:C73"/>
    <mergeCell ref="F70:G70"/>
    <mergeCell ref="B72:C72"/>
    <mergeCell ref="D70:E70"/>
    <mergeCell ref="D72:E72"/>
    <mergeCell ref="D74:G74"/>
    <mergeCell ref="B76:C76"/>
    <mergeCell ref="D88:G88"/>
    <mergeCell ref="B74:C74"/>
    <mergeCell ref="D98:G98"/>
    <mergeCell ref="B99:C99"/>
    <mergeCell ref="D99:G99"/>
    <mergeCell ref="B95:C95"/>
    <mergeCell ref="D95:G95"/>
    <mergeCell ref="B96:C96"/>
    <mergeCell ref="D96:G96"/>
    <mergeCell ref="B97:C97"/>
    <mergeCell ref="D100:G100"/>
    <mergeCell ref="D101:G101"/>
    <mergeCell ref="B100:C100"/>
    <mergeCell ref="B101:C101"/>
    <mergeCell ref="D97:G97"/>
    <mergeCell ref="B98:C98"/>
  </mergeCells>
  <phoneticPr fontId="0" type="noConversion"/>
  <pageMargins left="0.18" right="0.18" top="0.55118110236220474" bottom="0.39370078740157483" header="0.31496062992125984" footer="0.19685039370078741"/>
  <pageSetup paperSize="9" scale="62" orientation="landscape" r:id="rId1"/>
  <headerFooter alignWithMargins="0">
    <oddFooter>Strona &amp;P z &amp;N</oddFooter>
  </headerFooter>
  <rowBreaks count="2" manualBreakCount="2">
    <brk id="44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doch_wyd</vt:lpstr>
      <vt:lpstr>definicja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2023-08-14T13:30:15Z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