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B2579EFF-5F6D-49D2-B9A7-A775970D0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1" i="7" l="1"/>
  <c r="A77" i="7"/>
  <c r="A34" i="7"/>
  <c r="A9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<sst xmlns="http://schemas.openxmlformats.org/spreadsheetml/2006/main" count="97" uniqueCount="81">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</sst>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III Kwartały 2024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38688926017.88</f>
        <v>38688926017.879997</v>
      </c>
      <c r="C13" s="28">
        <f>38688924998.57</f>
        <v>38688924998.57</v>
      </c>
      <c r="D13" s="28">
        <f>2523575030.52</f>
        <v>2523575030.52</v>
      </c>
      <c r="E13" s="28">
        <f>289746720.13</f>
        <v>289746720.13</v>
      </c>
      <c r="F13" s="28">
        <f>476777293.45</f>
        <v>476777293.44999999</v>
      </c>
      <c r="G13" s="28">
        <f>1755258080.41</f>
        <v>1755258080.4100001</v>
      </c>
      <c r="H13" s="28">
        <f>1792936.53</f>
        <v>1792936.53</v>
      </c>
      <c r="I13" s="28">
        <f>0</f>
        <v>0</v>
      </c>
      <c r="J13" s="28">
        <f>34086979410.6</f>
        <v>34086979410.599998</v>
      </c>
      <c r="K13" s="28">
        <f>1839459768.18</f>
        <v>1839459768.1800001</v>
      </c>
      <c r="L13" s="28">
        <f>205455531.35</f>
        <v>205455531.34999999</v>
      </c>
      <c r="M13" s="28">
        <f>15933859.38</f>
        <v>15933859.380000001</v>
      </c>
      <c r="N13" s="28">
        <f>17521398.54</f>
        <v>17521398.539999999</v>
      </c>
      <c r="O13" s="28">
        <f>1019.31</f>
        <v>1019.31</v>
      </c>
      <c r="P13" s="28">
        <f>0</f>
        <v>0</v>
      </c>
      <c r="Q13" s="28">
        <f>1019.31</f>
        <v>1019.31</v>
      </c>
    </row>
    <row r="14" spans="1:17" ht="26.25" customHeight="1" x14ac:dyDescent="0.2">
      <c r="A14" s="29" t="s">
        <v>47</v>
      </c>
      <c r="B14" s="28">
        <f>941464000</f>
        <v>941464000</v>
      </c>
      <c r="C14" s="28">
        <f>941464000</f>
        <v>941464000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910914000</f>
        <v>910914000</v>
      </c>
      <c r="K14" s="28">
        <f>30550000</f>
        <v>30550000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0</f>
        <v>0</v>
      </c>
      <c r="C15" s="33">
        <f>0</f>
        <v>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0</f>
        <v>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941464000</f>
        <v>941464000</v>
      </c>
      <c r="C16" s="33">
        <f>941464000</f>
        <v>941464000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910914000</f>
        <v>910914000</v>
      </c>
      <c r="K16" s="33">
        <f>30550000</f>
        <v>30550000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37668156542.54</f>
        <v>37668156542.540001</v>
      </c>
      <c r="C17" s="28">
        <f>37668156542.54</f>
        <v>37668156542.540001</v>
      </c>
      <c r="D17" s="28">
        <f>2498423486.6</f>
        <v>2498423486.5999999</v>
      </c>
      <c r="E17" s="28">
        <f>284373769.5</f>
        <v>284373769.5</v>
      </c>
      <c r="F17" s="28">
        <f>476737944.45</f>
        <v>476737944.44999999</v>
      </c>
      <c r="G17" s="28">
        <f>1737311772.65</f>
        <v>1737311772.6500001</v>
      </c>
      <c r="H17" s="28">
        <f>0</f>
        <v>0</v>
      </c>
      <c r="I17" s="28">
        <f>0</f>
        <v>0</v>
      </c>
      <c r="J17" s="28">
        <f>33175838950.59</f>
        <v>33175838950.59</v>
      </c>
      <c r="K17" s="28">
        <f>1807918360.25</f>
        <v>1807918360.25</v>
      </c>
      <c r="L17" s="28">
        <f>167697160.43</f>
        <v>167697160.43000001</v>
      </c>
      <c r="M17" s="28">
        <f>4372656.32</f>
        <v>4372656.32</v>
      </c>
      <c r="N17" s="28">
        <f>13905928.35</f>
        <v>13905928.35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768786242.12</f>
        <v>768786242.12</v>
      </c>
      <c r="C18" s="33">
        <f>768786242.12</f>
        <v>768786242.12</v>
      </c>
      <c r="D18" s="33">
        <f>65093036.62</f>
        <v>65093036.619999997</v>
      </c>
      <c r="E18" s="33">
        <f>53780916.23</f>
        <v>53780916.229999997</v>
      </c>
      <c r="F18" s="33">
        <f>429971</f>
        <v>429971</v>
      </c>
      <c r="G18" s="33">
        <f>10882149.39</f>
        <v>10882149.390000001</v>
      </c>
      <c r="H18" s="33">
        <f>0</f>
        <v>0</v>
      </c>
      <c r="I18" s="33">
        <f>0</f>
        <v>0</v>
      </c>
      <c r="J18" s="33">
        <f>686353401.11</f>
        <v>686353401.11000001</v>
      </c>
      <c r="K18" s="33">
        <f>16213609</f>
        <v>16213609</v>
      </c>
      <c r="L18" s="33">
        <f>86195.39</f>
        <v>86195.39</v>
      </c>
      <c r="M18" s="33">
        <f>1040000</f>
        <v>1040000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36899370300.42</f>
        <v>36899370300.419998</v>
      </c>
      <c r="C19" s="33">
        <f>36899370300.42</f>
        <v>36899370300.419998</v>
      </c>
      <c r="D19" s="33">
        <f>2433330449.98</f>
        <v>2433330449.98</v>
      </c>
      <c r="E19" s="33">
        <f>230592853.27</f>
        <v>230592853.27000001</v>
      </c>
      <c r="F19" s="33">
        <f>476307973.45</f>
        <v>476307973.44999999</v>
      </c>
      <c r="G19" s="33">
        <f>1726429623.26</f>
        <v>1726429623.26</v>
      </c>
      <c r="H19" s="33">
        <f>0</f>
        <v>0</v>
      </c>
      <c r="I19" s="33">
        <f>0</f>
        <v>0</v>
      </c>
      <c r="J19" s="33">
        <f>32489485549.48</f>
        <v>32489485549.48</v>
      </c>
      <c r="K19" s="33">
        <f>1791704751.25</f>
        <v>1791704751.25</v>
      </c>
      <c r="L19" s="33">
        <f>167610965.04</f>
        <v>167610965.03999999</v>
      </c>
      <c r="M19" s="33">
        <f>3332656.32</f>
        <v>3332656.32</v>
      </c>
      <c r="N19" s="33">
        <f>13905928.35</f>
        <v>13905928.35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1500000</f>
        <v>1500000</v>
      </c>
      <c r="C20" s="28">
        <f>1500000</f>
        <v>1500000</v>
      </c>
      <c r="D20" s="28">
        <f>1500000</f>
        <v>1500000</v>
      </c>
      <c r="E20" s="28">
        <f>0</f>
        <v>0</v>
      </c>
      <c r="F20" s="28">
        <f>0</f>
        <v>0</v>
      </c>
      <c r="G20" s="28">
        <f>1500000</f>
        <v>1500000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77805475.34</f>
        <v>77805475.340000004</v>
      </c>
      <c r="C21" s="28">
        <f>77804456.03</f>
        <v>77804456.030000001</v>
      </c>
      <c r="D21" s="28">
        <f>23651543.92</f>
        <v>23651543.920000002</v>
      </c>
      <c r="E21" s="28">
        <f>5372950.63</f>
        <v>5372950.6299999999</v>
      </c>
      <c r="F21" s="28">
        <f>39349</f>
        <v>39349</v>
      </c>
      <c r="G21" s="28">
        <f>16446307.76</f>
        <v>16446307.76</v>
      </c>
      <c r="H21" s="28">
        <f>1792936.53</f>
        <v>1792936.53</v>
      </c>
      <c r="I21" s="28">
        <f>0</f>
        <v>0</v>
      </c>
      <c r="J21" s="28">
        <f>226460.01</f>
        <v>226460.01</v>
      </c>
      <c r="K21" s="28">
        <f>991407.93</f>
        <v>991407.93</v>
      </c>
      <c r="L21" s="28">
        <f>37758370.92</f>
        <v>37758370.920000002</v>
      </c>
      <c r="M21" s="28">
        <f>11561203.06</f>
        <v>11561203.060000001</v>
      </c>
      <c r="N21" s="28">
        <f>3615470.19</f>
        <v>3615470.19</v>
      </c>
      <c r="O21" s="28">
        <f>1019.31</f>
        <v>1019.31</v>
      </c>
      <c r="P21" s="28">
        <f>0</f>
        <v>0</v>
      </c>
      <c r="Q21" s="28">
        <f>1019.31</f>
        <v>1019.31</v>
      </c>
    </row>
    <row r="22" spans="1:17" ht="27" customHeight="1" x14ac:dyDescent="0.2">
      <c r="A22" s="19" t="s">
        <v>55</v>
      </c>
      <c r="B22" s="33">
        <f>49162463.63</f>
        <v>49162463.630000003</v>
      </c>
      <c r="C22" s="33">
        <f>49162463.63</f>
        <v>49162463.630000003</v>
      </c>
      <c r="D22" s="33">
        <f>6651238.96</f>
        <v>6651238.96</v>
      </c>
      <c r="E22" s="33">
        <f>0</f>
        <v>0</v>
      </c>
      <c r="F22" s="33">
        <f>1431</f>
        <v>1431</v>
      </c>
      <c r="G22" s="33">
        <f>6649807.96</f>
        <v>6649807.96</v>
      </c>
      <c r="H22" s="33">
        <f>0</f>
        <v>0</v>
      </c>
      <c r="I22" s="33">
        <f>0</f>
        <v>0</v>
      </c>
      <c r="J22" s="33">
        <f>226460</f>
        <v>226460</v>
      </c>
      <c r="K22" s="33">
        <f>991353.92</f>
        <v>991353.92</v>
      </c>
      <c r="L22" s="33">
        <f>32839162.44</f>
        <v>32839162.440000001</v>
      </c>
      <c r="M22" s="33">
        <f>5385301.34</f>
        <v>5385301.3399999999</v>
      </c>
      <c r="N22" s="33">
        <f>3068946.97</f>
        <v>3068946.97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28643011.71</f>
        <v>28643011.710000001</v>
      </c>
      <c r="C23" s="33">
        <f>28641992.4</f>
        <v>28641992.399999999</v>
      </c>
      <c r="D23" s="33">
        <f>17000304.96</f>
        <v>17000304.960000001</v>
      </c>
      <c r="E23" s="33">
        <f>5372950.63</f>
        <v>5372950.6299999999</v>
      </c>
      <c r="F23" s="33">
        <f>37918</f>
        <v>37918</v>
      </c>
      <c r="G23" s="33">
        <f>9796499.8</f>
        <v>9796499.8000000007</v>
      </c>
      <c r="H23" s="33">
        <f>1792936.53</f>
        <v>1792936.53</v>
      </c>
      <c r="I23" s="33">
        <f>0</f>
        <v>0</v>
      </c>
      <c r="J23" s="33">
        <f>0.01</f>
        <v>0.01</v>
      </c>
      <c r="K23" s="33">
        <f>54.01</f>
        <v>54.01</v>
      </c>
      <c r="L23" s="33">
        <f>4919208.48</f>
        <v>4919208.4800000004</v>
      </c>
      <c r="M23" s="33">
        <f>6175901.72</f>
        <v>6175901.7199999997</v>
      </c>
      <c r="N23" s="33">
        <f>546523.22</f>
        <v>546523.22</v>
      </c>
      <c r="O23" s="33">
        <f>1019.31</f>
        <v>1019.31</v>
      </c>
      <c r="P23" s="33">
        <f>0</f>
        <v>0</v>
      </c>
      <c r="Q23" s="33">
        <f>1019.31</f>
        <v>1019.31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III Kwartały 2024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4146594.18</f>
        <v>4146594.18</v>
      </c>
      <c r="C44" s="35">
        <f>4146594.18</f>
        <v>4146594.18</v>
      </c>
      <c r="D44" s="35">
        <f>0</f>
        <v>0</v>
      </c>
      <c r="E44" s="35">
        <f>0</f>
        <v>0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243750.25</f>
        <v>243750.25</v>
      </c>
      <c r="K44" s="35">
        <f>6125</f>
        <v>6125</v>
      </c>
      <c r="L44" s="35">
        <f>3062477.59</f>
        <v>3062477.59</v>
      </c>
      <c r="M44" s="35">
        <f>394241.34</f>
        <v>394241.34</v>
      </c>
      <c r="N44" s="35">
        <f>440000</f>
        <v>440000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1081516.63</f>
        <v>1081516.6299999999</v>
      </c>
      <c r="C45" s="26">
        <f>1081516.63</f>
        <v>1081516.6299999999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635479.48</f>
        <v>635479.48</v>
      </c>
      <c r="M45" s="26">
        <f>37.15</f>
        <v>37.15</v>
      </c>
      <c r="N45" s="26">
        <f>440000</f>
        <v>440000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3065077.55</f>
        <v>3065077.55</v>
      </c>
      <c r="C46" s="26">
        <f>3065077.55</f>
        <v>3065077.55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237750.25</f>
        <v>237750.25</v>
      </c>
      <c r="K46" s="26">
        <f>6125</f>
        <v>6125</v>
      </c>
      <c r="L46" s="26">
        <f>2426998.11</f>
        <v>2426998.11</v>
      </c>
      <c r="M46" s="26">
        <f>394204.19</f>
        <v>394204.19</v>
      </c>
      <c r="N46" s="26">
        <f>0</f>
        <v>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495498748.06</f>
        <v>495498748.06</v>
      </c>
      <c r="C47" s="26">
        <f>495350765.24</f>
        <v>495350765.24000001</v>
      </c>
      <c r="D47" s="26">
        <f>31238162.11</f>
        <v>31238162.109999999</v>
      </c>
      <c r="E47" s="26">
        <f>17841.6</f>
        <v>17841.599999999999</v>
      </c>
      <c r="F47" s="26">
        <f>4048</f>
        <v>4048</v>
      </c>
      <c r="G47" s="26">
        <f>26913536.51</f>
        <v>26913536.510000002</v>
      </c>
      <c r="H47" s="26">
        <f>4302736</f>
        <v>4302736</v>
      </c>
      <c r="I47" s="26">
        <f>0</f>
        <v>0</v>
      </c>
      <c r="J47" s="26">
        <f>50808.13</f>
        <v>50808.13</v>
      </c>
      <c r="K47" s="26">
        <f>326461.14</f>
        <v>326461.14</v>
      </c>
      <c r="L47" s="26">
        <f>184897907.7</f>
        <v>184897907.69999999</v>
      </c>
      <c r="M47" s="26">
        <f>237008837.63</f>
        <v>237008837.63</v>
      </c>
      <c r="N47" s="26">
        <f>41828588.53</f>
        <v>41828588.530000001</v>
      </c>
      <c r="O47" s="15">
        <f>147982.82</f>
        <v>147982.82</v>
      </c>
      <c r="P47" s="15">
        <f>10182.82</f>
        <v>10182.82</v>
      </c>
      <c r="Q47" s="15">
        <f>137800</f>
        <v>137800</v>
      </c>
    </row>
    <row r="48" spans="1:17" ht="24.75" customHeight="1" x14ac:dyDescent="0.2">
      <c r="A48" s="23" t="s">
        <v>31</v>
      </c>
      <c r="B48" s="26">
        <f>82656582.41</f>
        <v>82656582.409999996</v>
      </c>
      <c r="C48" s="26">
        <f>82518782.41</f>
        <v>82518782.409999996</v>
      </c>
      <c r="D48" s="26">
        <f>15774374.45</f>
        <v>15774374.449999999</v>
      </c>
      <c r="E48" s="26">
        <f>0</f>
        <v>0</v>
      </c>
      <c r="F48" s="26">
        <f>0</f>
        <v>0</v>
      </c>
      <c r="G48" s="26">
        <f>11474374.45</f>
        <v>11474374.449999999</v>
      </c>
      <c r="H48" s="26">
        <f>4300000</f>
        <v>4300000</v>
      </c>
      <c r="I48" s="26">
        <f>0</f>
        <v>0</v>
      </c>
      <c r="J48" s="26">
        <f>0</f>
        <v>0</v>
      </c>
      <c r="K48" s="26">
        <f>0</f>
        <v>0</v>
      </c>
      <c r="L48" s="26">
        <f>38996946.22</f>
        <v>38996946.219999999</v>
      </c>
      <c r="M48" s="26">
        <f>2211169.28</f>
        <v>2211169.2799999998</v>
      </c>
      <c r="N48" s="26">
        <f>25536292.46</f>
        <v>25536292.460000001</v>
      </c>
      <c r="O48" s="15">
        <f>137800</f>
        <v>137800</v>
      </c>
      <c r="P48" s="15">
        <f>0</f>
        <v>0</v>
      </c>
      <c r="Q48" s="15">
        <f>137800</f>
        <v>137800</v>
      </c>
    </row>
    <row r="49" spans="1:17" ht="24.75" customHeight="1" x14ac:dyDescent="0.2">
      <c r="A49" s="23" t="s">
        <v>32</v>
      </c>
      <c r="B49" s="26">
        <f>412842165.65</f>
        <v>412842165.64999998</v>
      </c>
      <c r="C49" s="26">
        <f>412831982.83</f>
        <v>412831982.82999998</v>
      </c>
      <c r="D49" s="26">
        <f>15463787.66</f>
        <v>15463787.66</v>
      </c>
      <c r="E49" s="26">
        <f>17841.6</f>
        <v>17841.599999999999</v>
      </c>
      <c r="F49" s="26">
        <f>4048</f>
        <v>4048</v>
      </c>
      <c r="G49" s="26">
        <f>15439162.06</f>
        <v>15439162.060000001</v>
      </c>
      <c r="H49" s="26">
        <f>2736</f>
        <v>2736</v>
      </c>
      <c r="I49" s="26">
        <f>0</f>
        <v>0</v>
      </c>
      <c r="J49" s="26">
        <f>50808.13</f>
        <v>50808.13</v>
      </c>
      <c r="K49" s="26">
        <f>326461.14</f>
        <v>326461.14</v>
      </c>
      <c r="L49" s="26">
        <f>145900961.48</f>
        <v>145900961.47999999</v>
      </c>
      <c r="M49" s="26">
        <f>234797668.35</f>
        <v>234797668.34999999</v>
      </c>
      <c r="N49" s="26">
        <f>16292296.07</f>
        <v>16292296.07</v>
      </c>
      <c r="O49" s="15">
        <f>10182.82</f>
        <v>10182.82</v>
      </c>
      <c r="P49" s="15">
        <f>10182.82</f>
        <v>10182.82</v>
      </c>
      <c r="Q49" s="15">
        <f>0</f>
        <v>0</v>
      </c>
    </row>
    <row r="50" spans="1:17" ht="24.75" customHeight="1" x14ac:dyDescent="0.2">
      <c r="A50" s="34" t="s">
        <v>43</v>
      </c>
      <c r="B50" s="35">
        <f>23975754222.47</f>
        <v>23975754222.470001</v>
      </c>
      <c r="C50" s="35">
        <f>23975754222.47</f>
        <v>23975754222.470001</v>
      </c>
      <c r="D50" s="35">
        <f>17976411.94</f>
        <v>17976411.940000001</v>
      </c>
      <c r="E50" s="35">
        <f>480779.9</f>
        <v>480779.9</v>
      </c>
      <c r="F50" s="35">
        <f>8624.58</f>
        <v>8624.58</v>
      </c>
      <c r="G50" s="35">
        <f>17487007.46</f>
        <v>17487007.460000001</v>
      </c>
      <c r="H50" s="35">
        <f>0</f>
        <v>0</v>
      </c>
      <c r="I50" s="35">
        <f>97788.07</f>
        <v>97788.07</v>
      </c>
      <c r="J50" s="35">
        <f>23946226176.04</f>
        <v>23946226176.040001</v>
      </c>
      <c r="K50" s="35">
        <f>218607.53</f>
        <v>218607.53</v>
      </c>
      <c r="L50" s="35">
        <f>11105195.76</f>
        <v>11105195.76</v>
      </c>
      <c r="M50" s="35">
        <f>130043.13</f>
        <v>130043.13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17413122.26</f>
        <v>17413122.260000002</v>
      </c>
      <c r="C51" s="26">
        <f>17413122.26</f>
        <v>17413122.260000002</v>
      </c>
      <c r="D51" s="26">
        <f>17413122.26</f>
        <v>17413122.260000002</v>
      </c>
      <c r="E51" s="26">
        <f>0</f>
        <v>0</v>
      </c>
      <c r="F51" s="26">
        <f>0</f>
        <v>0</v>
      </c>
      <c r="G51" s="26">
        <f>17413122.26</f>
        <v>17413122.260000002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17259612421.95</f>
        <v>17259612421.950001</v>
      </c>
      <c r="C52" s="26">
        <f>17259612421.95</f>
        <v>17259612421.950001</v>
      </c>
      <c r="D52" s="26">
        <f>154486.21</f>
        <v>154486.21</v>
      </c>
      <c r="E52" s="26">
        <f>145951.21</f>
        <v>145951.21</v>
      </c>
      <c r="F52" s="26">
        <f>6600</f>
        <v>6600</v>
      </c>
      <c r="G52" s="26">
        <f>1935</f>
        <v>1935</v>
      </c>
      <c r="H52" s="26">
        <f>0</f>
        <v>0</v>
      </c>
      <c r="I52" s="26">
        <f>97788.07</f>
        <v>97788.07</v>
      </c>
      <c r="J52" s="26">
        <f>17248310178.26</f>
        <v>17248310178.259998</v>
      </c>
      <c r="K52" s="26">
        <f>216101.21</f>
        <v>216101.21</v>
      </c>
      <c r="L52" s="26">
        <f>10833804.76</f>
        <v>10833804.76</v>
      </c>
      <c r="M52" s="26">
        <f>63.44</f>
        <v>63.44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6698728678.26</f>
        <v>6698728678.2600002</v>
      </c>
      <c r="C53" s="26">
        <f>6698728678.26</f>
        <v>6698728678.2600002</v>
      </c>
      <c r="D53" s="26">
        <f>408803.47</f>
        <v>408803.47</v>
      </c>
      <c r="E53" s="26">
        <f>334828.69</f>
        <v>334828.69</v>
      </c>
      <c r="F53" s="26">
        <f>2024.58</f>
        <v>2024.58</v>
      </c>
      <c r="G53" s="26">
        <f>71950.2</f>
        <v>71950.2</v>
      </c>
      <c r="H53" s="26">
        <f>0</f>
        <v>0</v>
      </c>
      <c r="I53" s="26">
        <f>0</f>
        <v>0</v>
      </c>
      <c r="J53" s="26">
        <f>6697915997.78</f>
        <v>6697915997.7799997</v>
      </c>
      <c r="K53" s="26">
        <f>2506.32</f>
        <v>2506.3200000000002</v>
      </c>
      <c r="L53" s="26">
        <f>271391</f>
        <v>271391</v>
      </c>
      <c r="M53" s="26">
        <f>129979.69</f>
        <v>129979.69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10828534832.57</f>
        <v>10828534832.57</v>
      </c>
      <c r="C54" s="35">
        <f>10800446503.85</f>
        <v>10800446503.85</v>
      </c>
      <c r="D54" s="35">
        <f>94868479.32</f>
        <v>94868479.319999993</v>
      </c>
      <c r="E54" s="35">
        <f>55899911.82</f>
        <v>55899911.82</v>
      </c>
      <c r="F54" s="35">
        <f>1283064.82</f>
        <v>1283064.82</v>
      </c>
      <c r="G54" s="35">
        <f>36954426.63</f>
        <v>36954426.630000003</v>
      </c>
      <c r="H54" s="35">
        <f>731076.05</f>
        <v>731076.05</v>
      </c>
      <c r="I54" s="35">
        <f>0</f>
        <v>0</v>
      </c>
      <c r="J54" s="35">
        <f>8660048.41</f>
        <v>8660048.4100000001</v>
      </c>
      <c r="K54" s="35">
        <f>11236602.93</f>
        <v>11236602.93</v>
      </c>
      <c r="L54" s="35">
        <f>2347019313.7</f>
        <v>2347019313.6999998</v>
      </c>
      <c r="M54" s="35">
        <f>8247626820.61</f>
        <v>8247626820.6099997</v>
      </c>
      <c r="N54" s="35">
        <f>91035238.88</f>
        <v>91035238.879999995</v>
      </c>
      <c r="O54" s="35">
        <f>28088328.72</f>
        <v>28088328.719999999</v>
      </c>
      <c r="P54" s="35">
        <f>19187549.4</f>
        <v>19187549.399999999</v>
      </c>
      <c r="Q54" s="35">
        <f>8900779.32</f>
        <v>8900779.3200000003</v>
      </c>
    </row>
    <row r="55" spans="1:17" ht="24.75" customHeight="1" x14ac:dyDescent="0.2">
      <c r="A55" s="22" t="s">
        <v>36</v>
      </c>
      <c r="B55" s="26">
        <f>1445358806.69</f>
        <v>1445358806.6900001</v>
      </c>
      <c r="C55" s="26">
        <f>1445052945.17</f>
        <v>1445052945.1700001</v>
      </c>
      <c r="D55" s="26">
        <f>8726673.12</f>
        <v>8726673.1199999992</v>
      </c>
      <c r="E55" s="26">
        <f>1866412.44</f>
        <v>1866412.44</v>
      </c>
      <c r="F55" s="26">
        <f>168583.53</f>
        <v>168583.53</v>
      </c>
      <c r="G55" s="26">
        <f>6474168.22</f>
        <v>6474168.2199999997</v>
      </c>
      <c r="H55" s="26">
        <f>217508.93</f>
        <v>217508.93</v>
      </c>
      <c r="I55" s="26">
        <f>0</f>
        <v>0</v>
      </c>
      <c r="J55" s="26">
        <f>38605.08</f>
        <v>38605.08</v>
      </c>
      <c r="K55" s="26">
        <f>520285.16</f>
        <v>520285.16</v>
      </c>
      <c r="L55" s="26">
        <f>300629242.5</f>
        <v>300629242.5</v>
      </c>
      <c r="M55" s="26">
        <f>1106630381.52</f>
        <v>1106630381.52</v>
      </c>
      <c r="N55" s="26">
        <f>28507757.79</f>
        <v>28507757.789999999</v>
      </c>
      <c r="O55" s="15">
        <f>305861.52</f>
        <v>305861.52</v>
      </c>
      <c r="P55" s="15">
        <f>185957.29</f>
        <v>185957.29</v>
      </c>
      <c r="Q55" s="15">
        <f>119904.23</f>
        <v>119904.23</v>
      </c>
    </row>
    <row r="56" spans="1:17" ht="24.75" customHeight="1" x14ac:dyDescent="0.2">
      <c r="A56" s="23" t="s">
        <v>37</v>
      </c>
      <c r="B56" s="26">
        <f>9383176025.88</f>
        <v>9383176025.8799992</v>
      </c>
      <c r="C56" s="26">
        <f>9355393558.68</f>
        <v>9355393558.6800003</v>
      </c>
      <c r="D56" s="26">
        <f>86141806.2</f>
        <v>86141806.200000003</v>
      </c>
      <c r="E56" s="26">
        <f>54033499.38</f>
        <v>54033499.380000003</v>
      </c>
      <c r="F56" s="26">
        <f>1114481.29</f>
        <v>1114481.29</v>
      </c>
      <c r="G56" s="26">
        <f>30480258.41</f>
        <v>30480258.41</v>
      </c>
      <c r="H56" s="26">
        <f>513567.12</f>
        <v>513567.12</v>
      </c>
      <c r="I56" s="26">
        <f>0</f>
        <v>0</v>
      </c>
      <c r="J56" s="26">
        <f>8621443.33</f>
        <v>8621443.3300000001</v>
      </c>
      <c r="K56" s="26">
        <f>10716317.77</f>
        <v>10716317.77</v>
      </c>
      <c r="L56" s="26">
        <f>2046390071.2</f>
        <v>2046390071.2</v>
      </c>
      <c r="M56" s="26">
        <f>7140996439.09</f>
        <v>7140996439.0900002</v>
      </c>
      <c r="N56" s="26">
        <f>62527481.09</f>
        <v>62527481.090000004</v>
      </c>
      <c r="O56" s="15">
        <f>27782467.2</f>
        <v>27782467.199999999</v>
      </c>
      <c r="P56" s="15">
        <f>19001592.11</f>
        <v>19001592.109999999</v>
      </c>
      <c r="Q56" s="15">
        <f>8780875.09</f>
        <v>8780875.0899999999</v>
      </c>
    </row>
    <row r="57" spans="1:17" ht="24.75" customHeight="1" x14ac:dyDescent="0.2">
      <c r="A57" s="34" t="s">
        <v>45</v>
      </c>
      <c r="B57" s="35">
        <f>9565663646.8</f>
        <v>9565663646.7999992</v>
      </c>
      <c r="C57" s="35">
        <f>9564414240.02</f>
        <v>9564414240.0200005</v>
      </c>
      <c r="D57" s="35">
        <f>712427257.93</f>
        <v>712427257.92999995</v>
      </c>
      <c r="E57" s="35">
        <f>361413019.97</f>
        <v>361413019.97000003</v>
      </c>
      <c r="F57" s="35">
        <f>35147864.27</f>
        <v>35147864.270000003</v>
      </c>
      <c r="G57" s="35">
        <f>310078983.75</f>
        <v>310078983.75</v>
      </c>
      <c r="H57" s="35">
        <f>5787389.94</f>
        <v>5787389.9400000004</v>
      </c>
      <c r="I57" s="35">
        <f>126927</f>
        <v>126927</v>
      </c>
      <c r="J57" s="35">
        <f>5743962.07</f>
        <v>5743962.0700000003</v>
      </c>
      <c r="K57" s="35">
        <f>22059232.3</f>
        <v>22059232.300000001</v>
      </c>
      <c r="L57" s="35">
        <f>5121216421.32</f>
        <v>5121216421.3199997</v>
      </c>
      <c r="M57" s="35">
        <f>3575353266.26</f>
        <v>3575353266.2600002</v>
      </c>
      <c r="N57" s="35">
        <f>127487173.14</f>
        <v>127487173.14</v>
      </c>
      <c r="O57" s="35">
        <f>1249406.78</f>
        <v>1249406.78</v>
      </c>
      <c r="P57" s="35">
        <f>816542.25</f>
        <v>816542.25</v>
      </c>
      <c r="Q57" s="35">
        <f>432864.53</f>
        <v>432864.53</v>
      </c>
    </row>
    <row r="58" spans="1:17" ht="30" customHeight="1" x14ac:dyDescent="0.2">
      <c r="A58" s="22" t="s">
        <v>38</v>
      </c>
      <c r="B58" s="26">
        <f>790662653.6</f>
        <v>790662653.60000002</v>
      </c>
      <c r="C58" s="26">
        <f>790305977.43</f>
        <v>790305977.42999995</v>
      </c>
      <c r="D58" s="26">
        <f>52701318.48</f>
        <v>52701318.479999997</v>
      </c>
      <c r="E58" s="26">
        <f>4208512.24</f>
        <v>4208512.24</v>
      </c>
      <c r="F58" s="26">
        <f>1810697.33</f>
        <v>1810697.33</v>
      </c>
      <c r="G58" s="26">
        <f>45285406.87</f>
        <v>45285406.869999997</v>
      </c>
      <c r="H58" s="26">
        <f>1396702.04</f>
        <v>1396702.04</v>
      </c>
      <c r="I58" s="26">
        <f>0</f>
        <v>0</v>
      </c>
      <c r="J58" s="26">
        <f>389034.95</f>
        <v>389034.95</v>
      </c>
      <c r="K58" s="26">
        <f>1819496.59</f>
        <v>1819496.59</v>
      </c>
      <c r="L58" s="26">
        <f>304311351.93</f>
        <v>304311351.93000001</v>
      </c>
      <c r="M58" s="26">
        <f>421407562.69</f>
        <v>421407562.69</v>
      </c>
      <c r="N58" s="26">
        <f>9677212.79</f>
        <v>9677212.7899999991</v>
      </c>
      <c r="O58" s="15">
        <f>356676.17</f>
        <v>356676.17</v>
      </c>
      <c r="P58" s="15">
        <f>115667.56</f>
        <v>115667.56</v>
      </c>
      <c r="Q58" s="15">
        <f>241008.61</f>
        <v>241008.61</v>
      </c>
    </row>
    <row r="59" spans="1:17" ht="36" x14ac:dyDescent="0.2">
      <c r="A59" s="22" t="s">
        <v>39</v>
      </c>
      <c r="B59" s="26">
        <f>5232755316.4</f>
        <v>5232755316.3999996</v>
      </c>
      <c r="C59" s="26">
        <f>5231917305.51</f>
        <v>5231917305.5100002</v>
      </c>
      <c r="D59" s="26">
        <f>203268995.71</f>
        <v>203268995.71000001</v>
      </c>
      <c r="E59" s="26">
        <f>120052776.63</f>
        <v>120052776.63</v>
      </c>
      <c r="F59" s="26">
        <f>17874604.93</f>
        <v>17874604.93</v>
      </c>
      <c r="G59" s="26">
        <f>63438423.33</f>
        <v>63438423.329999998</v>
      </c>
      <c r="H59" s="26">
        <f>1903190.82</f>
        <v>1903190.82</v>
      </c>
      <c r="I59" s="26">
        <f>126927</f>
        <v>126927</v>
      </c>
      <c r="J59" s="26">
        <f>4357238.99</f>
        <v>4357238.99</v>
      </c>
      <c r="K59" s="26">
        <f>9730617.95</f>
        <v>9730617.9499999993</v>
      </c>
      <c r="L59" s="26">
        <f>3400423366.33</f>
        <v>3400423366.3299999</v>
      </c>
      <c r="M59" s="26">
        <f>1590164982.48</f>
        <v>1590164982.48</v>
      </c>
      <c r="N59" s="26">
        <f>23845177.05</f>
        <v>23845177.050000001</v>
      </c>
      <c r="O59" s="15">
        <f>838010.89</f>
        <v>838010.89</v>
      </c>
      <c r="P59" s="15">
        <f>651660.83</f>
        <v>651660.82999999996</v>
      </c>
      <c r="Q59" s="15">
        <f>186350.06</f>
        <v>186350.06</v>
      </c>
    </row>
    <row r="60" spans="1:17" ht="30.75" customHeight="1" x14ac:dyDescent="0.2">
      <c r="A60" s="22" t="s">
        <v>40</v>
      </c>
      <c r="B60" s="26">
        <f>3542245676.8</f>
        <v>3542245676.8000002</v>
      </c>
      <c r="C60" s="26">
        <f>3542190957.08</f>
        <v>3542190957.0799999</v>
      </c>
      <c r="D60" s="26">
        <f>456456943.74</f>
        <v>456456943.74000001</v>
      </c>
      <c r="E60" s="26">
        <f>237151731.1</f>
        <v>237151731.09999999</v>
      </c>
      <c r="F60" s="26">
        <f>15462562.01</f>
        <v>15462562.01</v>
      </c>
      <c r="G60" s="26">
        <f>201355153.55</f>
        <v>201355153.55000001</v>
      </c>
      <c r="H60" s="26">
        <f>2487497.08</f>
        <v>2487497.08</v>
      </c>
      <c r="I60" s="26">
        <f>0</f>
        <v>0</v>
      </c>
      <c r="J60" s="26">
        <f>997688.13</f>
        <v>997688.13</v>
      </c>
      <c r="K60" s="26">
        <f>10509117.76</f>
        <v>10509117.76</v>
      </c>
      <c r="L60" s="26">
        <f>1416481703.06</f>
        <v>1416481703.0599999</v>
      </c>
      <c r="M60" s="26">
        <f>1563780721.09</f>
        <v>1563780721.0899999</v>
      </c>
      <c r="N60" s="26">
        <f>93964783.3</f>
        <v>93964783.299999997</v>
      </c>
      <c r="O60" s="15">
        <f>54719.72</f>
        <v>54719.72</v>
      </c>
      <c r="P60" s="15">
        <f>49213.86</f>
        <v>49213.86</v>
      </c>
      <c r="Q60" s="15">
        <f>5505.86</f>
        <v>5505.86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III Kwartały 2024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1118399438.97</f>
        <v>1118399438.97</v>
      </c>
      <c r="G87" s="33">
        <f>429461782.01</f>
        <v>429461782.00999999</v>
      </c>
      <c r="H87" s="33">
        <f>18743187.39</f>
        <v>18743187.390000001</v>
      </c>
      <c r="I87" s="33">
        <f>141520824.56</f>
        <v>141520824.56</v>
      </c>
      <c r="J87" s="33">
        <f>228490397.54</f>
        <v>228490397.53999999</v>
      </c>
      <c r="K87" s="33">
        <f>40707372.52</f>
        <v>40707372.520000003</v>
      </c>
      <c r="L87" s="33">
        <f>688937656.96</f>
        <v>688937656.96000004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1401409</f>
        <v>1401409</v>
      </c>
      <c r="G88" s="33">
        <f>1401409</f>
        <v>1401409</v>
      </c>
      <c r="H88" s="33">
        <f>0</f>
        <v>0</v>
      </c>
      <c r="I88" s="33">
        <f>0</f>
        <v>0</v>
      </c>
      <c r="J88" s="33">
        <f>1401409</f>
        <v>1401409</v>
      </c>
      <c r="K88" s="33">
        <f>0</f>
        <v>0</v>
      </c>
      <c r="L88" s="33">
        <f>0</f>
        <v>0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138845750.82</f>
        <v>138845750.81999999</v>
      </c>
      <c r="G89" s="33">
        <f>9437933.92</f>
        <v>9437933.9199999999</v>
      </c>
      <c r="H89" s="33">
        <f>47200</f>
        <v>47200</v>
      </c>
      <c r="I89" s="33">
        <f>0</f>
        <v>0</v>
      </c>
      <c r="J89" s="33">
        <f>9281147.88</f>
        <v>9281147.8800000008</v>
      </c>
      <c r="K89" s="33">
        <f>109586.04</f>
        <v>109586.04</v>
      </c>
      <c r="L89" s="33">
        <f>129407816.9</f>
        <v>129407816.90000001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6791968.3</f>
        <v>6791968.2999999998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6791968.3</f>
        <v>6791968.2999999998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26532.65</f>
        <v>26532.65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26532.65</f>
        <v>26532.65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885492.54</f>
        <v>885492.54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885492.54</f>
        <v>885492.54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90000</f>
        <v>90000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90000</f>
        <v>90000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III Kwartały 2024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1617</f>
        <v>1617</v>
      </c>
      <c r="H99" s="67"/>
      <c r="I99" s="68">
        <f>8277766128.97</f>
        <v>8277766128.9700003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794</f>
        <v>794</v>
      </c>
      <c r="H100" s="77"/>
      <c r="I100" s="78">
        <f>-2519792832.55</f>
        <v>-2519792832.5500002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3</f>
        <v>3</v>
      </c>
      <c r="C104" s="8" t="str">
        <f>IF(B104=1,"I Kwartał",IF(B104=2,"II Kwartały",IF(B104=3,"III Kwartały",IF(B104=4,"IV Kwartały","-"))))</f>
        <v>III Kwartały</v>
      </c>
    </row>
    <row r="105" spans="1:11" ht="13.5" customHeight="1" x14ac:dyDescent="0.2">
      <c r="A105" s="8" t="s">
        <v>9</v>
      </c>
      <c r="B105" s="8">
        <f>2024</f>
        <v>2024</v>
      </c>
      <c r="C105" s="9"/>
    </row>
    <row r="106" spans="1:11" ht="13.5" customHeight="1" x14ac:dyDescent="0.2">
      <c r="A106" s="8" t="s">
        <v>10</v>
      </c>
      <c r="B106" s="10" t="str">
        <f>"Nov 14 2024 12:00AM"</f>
        <v>Nov 14 2024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2024-12-09T09:11:02Z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2024-12-09T10:11:00.8955719+01:00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GRN-69f3ac65-c262-41dc-bab7-8bac1b4ef854</vt:lpwstr>
  </property>
  <property fmtid="{D5CDD505-2E9C-101B-9397-08002B2CF9AE}" pid="7" name="MFHash">
    <vt:lpwstr>JGTc3RCoRnMHygDxjDqyE48U4y+1qiRLDi6+KOJ0Ki8=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