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66" i="7" s="1"/>
  <c r="A29" i="7" l="1"/>
  <c r="A85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<sst xmlns="http://schemas.openxmlformats.org/spreadsheetml/2006/main" count="97" uniqueCount="81">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</sst>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IV Kwartały 2022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5072046111.95</f>
        <v>5072046111.9499998</v>
      </c>
      <c r="C13" s="20">
        <f>3045271841.28</f>
        <v>3045271841.2800002</v>
      </c>
      <c r="D13" s="20">
        <f>184788477.24</f>
        <v>184788477.24000001</v>
      </c>
      <c r="E13" s="20">
        <f>182000000</f>
        <v>182000000</v>
      </c>
      <c r="F13" s="20">
        <f>0</f>
        <v>0</v>
      </c>
      <c r="G13" s="20">
        <f>2788477.24</f>
        <v>2788477.24</v>
      </c>
      <c r="H13" s="20">
        <f>0</f>
        <v>0</v>
      </c>
      <c r="I13" s="20">
        <f>0</f>
        <v>0</v>
      </c>
      <c r="J13" s="20">
        <f>2649444348.65</f>
        <v>2649444348.6500001</v>
      </c>
      <c r="K13" s="20">
        <f>0</f>
        <v>0</v>
      </c>
      <c r="L13" s="20">
        <f>210759038.02</f>
        <v>210759038.02000001</v>
      </c>
      <c r="M13" s="20">
        <f>269415.42</f>
        <v>269415.42</v>
      </c>
      <c r="N13" s="20">
        <f>10561.95</f>
        <v>10561.95</v>
      </c>
      <c r="O13" s="20">
        <f>2026774270.67</f>
        <v>2026774270.6700001</v>
      </c>
      <c r="P13" s="20">
        <f>2026774270.67</f>
        <v>2026774270.6700001</v>
      </c>
      <c r="Q13" s="20">
        <f>0</f>
        <v>0</v>
      </c>
    </row>
    <row r="14" spans="1:17" ht="28.5" customHeight="1" x14ac:dyDescent="0.2">
      <c r="A14" s="19" t="s">
        <v>45</v>
      </c>
      <c r="B14" s="20">
        <f>229950000</f>
        <v>229950000</v>
      </c>
      <c r="C14" s="20">
        <f>229950000</f>
        <v>229950000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229950000</f>
        <v>229950000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229950000</f>
        <v>229950000</v>
      </c>
      <c r="C16" s="21">
        <f>229950000</f>
        <v>229950000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229950000</f>
        <v>229950000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4841599117.56</f>
        <v>4841599117.5600004</v>
      </c>
      <c r="C17" s="20">
        <f>2814824846.89</f>
        <v>2814824846.8899999</v>
      </c>
      <c r="D17" s="20">
        <f>184764548.24</f>
        <v>184764548.24000001</v>
      </c>
      <c r="E17" s="20">
        <f>182000000</f>
        <v>182000000</v>
      </c>
      <c r="F17" s="20">
        <f>0</f>
        <v>0</v>
      </c>
      <c r="G17" s="20">
        <f>2764548.24</f>
        <v>2764548.24</v>
      </c>
      <c r="H17" s="20">
        <f>0</f>
        <v>0</v>
      </c>
      <c r="I17" s="20">
        <f>0</f>
        <v>0</v>
      </c>
      <c r="J17" s="20">
        <f>2419494348.65</f>
        <v>2419494348.6500001</v>
      </c>
      <c r="K17" s="20">
        <f>0</f>
        <v>0</v>
      </c>
      <c r="L17" s="20">
        <f>210565950</f>
        <v>210565950</v>
      </c>
      <c r="M17" s="20">
        <f>0</f>
        <v>0</v>
      </c>
      <c r="N17" s="20">
        <f>0</f>
        <v>0</v>
      </c>
      <c r="O17" s="20">
        <f>2026774270.67</f>
        <v>2026774270.6700001</v>
      </c>
      <c r="P17" s="20">
        <f>2026774270.67</f>
        <v>2026774270.6700001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4841599117.56</f>
        <v>4841599117.5600004</v>
      </c>
      <c r="C19" s="21">
        <f>2814824846.89</f>
        <v>2814824846.8899999</v>
      </c>
      <c r="D19" s="21">
        <f>184764548.24</f>
        <v>184764548.24000001</v>
      </c>
      <c r="E19" s="21">
        <f>182000000</f>
        <v>182000000</v>
      </c>
      <c r="F19" s="21">
        <f>0</f>
        <v>0</v>
      </c>
      <c r="G19" s="21">
        <f>2764548.24</f>
        <v>2764548.24</v>
      </c>
      <c r="H19" s="21">
        <f>0</f>
        <v>0</v>
      </c>
      <c r="I19" s="21">
        <f>0</f>
        <v>0</v>
      </c>
      <c r="J19" s="21">
        <f>2419494348.65</f>
        <v>2419494348.6500001</v>
      </c>
      <c r="K19" s="21">
        <f>0</f>
        <v>0</v>
      </c>
      <c r="L19" s="21">
        <f>210565950</f>
        <v>210565950</v>
      </c>
      <c r="M19" s="21">
        <f>0</f>
        <v>0</v>
      </c>
      <c r="N19" s="21">
        <f>0</f>
        <v>0</v>
      </c>
      <c r="O19" s="21">
        <f>2026774270.67</f>
        <v>2026774270.6700001</v>
      </c>
      <c r="P19" s="21">
        <f>2026774270.67</f>
        <v>2026774270.6700001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496994.39</f>
        <v>496994.39</v>
      </c>
      <c r="C21" s="20">
        <f>496994.39</f>
        <v>496994.39</v>
      </c>
      <c r="D21" s="20">
        <f>23929</f>
        <v>23929</v>
      </c>
      <c r="E21" s="20">
        <f>0</f>
        <v>0</v>
      </c>
      <c r="F21" s="20">
        <f>0</f>
        <v>0</v>
      </c>
      <c r="G21" s="20">
        <f>23929</f>
        <v>23929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193088.02</f>
        <v>193088.02</v>
      </c>
      <c r="M21" s="20">
        <f>269415.42</f>
        <v>269415.42</v>
      </c>
      <c r="N21" s="20">
        <f>10561.95</f>
        <v>10561.95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222834.88</f>
        <v>222834.88</v>
      </c>
      <c r="C22" s="21">
        <f>222834.88</f>
        <v>222834.88</v>
      </c>
      <c r="D22" s="21">
        <f>23821</f>
        <v>23821</v>
      </c>
      <c r="E22" s="21">
        <f>0</f>
        <v>0</v>
      </c>
      <c r="F22" s="21">
        <f>0</f>
        <v>0</v>
      </c>
      <c r="G22" s="21">
        <f>23821</f>
        <v>23821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169014.02</f>
        <v>169014.02</v>
      </c>
      <c r="M22" s="21">
        <f>19437.91</f>
        <v>19437.91</v>
      </c>
      <c r="N22" s="21">
        <f>10561.95</f>
        <v>10561.95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274159.51</f>
        <v>274159.51</v>
      </c>
      <c r="C23" s="21">
        <f>274159.51</f>
        <v>274159.51</v>
      </c>
      <c r="D23" s="21">
        <f>108</f>
        <v>108</v>
      </c>
      <c r="E23" s="21">
        <f>0</f>
        <v>0</v>
      </c>
      <c r="F23" s="21">
        <f>0</f>
        <v>0</v>
      </c>
      <c r="G23" s="21">
        <f>108</f>
        <v>108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24074</f>
        <v>24074</v>
      </c>
      <c r="M23" s="21">
        <f>249977.51</f>
        <v>249977.51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IV Kwartały 2022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416106123.05</f>
        <v>416106123.05000001</v>
      </c>
      <c r="C43" s="22">
        <f>416106123.05</f>
        <v>416106123.05000001</v>
      </c>
      <c r="D43" s="22">
        <f>370299500.95</f>
        <v>370299500.94999999</v>
      </c>
      <c r="E43" s="22">
        <f>42162.9</f>
        <v>42162.9</v>
      </c>
      <c r="F43" s="22">
        <f>11415.52</f>
        <v>11415.52</v>
      </c>
      <c r="G43" s="22">
        <f>370245922.53</f>
        <v>370245922.52999997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41568426.64</f>
        <v>41568426.640000001</v>
      </c>
      <c r="M43" s="22">
        <f>4060711</f>
        <v>4060711</v>
      </c>
      <c r="N43" s="22">
        <f>177484.46</f>
        <v>177484.46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21800466.41</f>
        <v>21800466.41</v>
      </c>
      <c r="C44" s="23">
        <f>21800466.41</f>
        <v>21800466.41</v>
      </c>
      <c r="D44" s="23">
        <f>21717454.79</f>
        <v>21717454.789999999</v>
      </c>
      <c r="E44" s="23">
        <f>0</f>
        <v>0</v>
      </c>
      <c r="F44" s="23">
        <f>0</f>
        <v>0</v>
      </c>
      <c r="G44" s="23">
        <f>21717454.79</f>
        <v>21717454.789999999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83011.62</f>
        <v>83011.62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394305656.64</f>
        <v>394305656.63999999</v>
      </c>
      <c r="C45" s="23">
        <f>394305656.64</f>
        <v>394305656.63999999</v>
      </c>
      <c r="D45" s="23">
        <f>348582046.16</f>
        <v>348582046.16000003</v>
      </c>
      <c r="E45" s="23">
        <f>42162.9</f>
        <v>42162.9</v>
      </c>
      <c r="F45" s="23">
        <f>11415.52</f>
        <v>11415.52</v>
      </c>
      <c r="G45" s="23">
        <f>348528467.74</f>
        <v>348528467.74000001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41485415.02</f>
        <v>41485415.020000003</v>
      </c>
      <c r="M45" s="23">
        <f>4060711</f>
        <v>4060711</v>
      </c>
      <c r="N45" s="23">
        <f>177484.46</f>
        <v>177484.46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4719307225.84</f>
        <v>4719307225.8400002</v>
      </c>
      <c r="C46" s="22">
        <f>4719123810.56</f>
        <v>4719123810.5600004</v>
      </c>
      <c r="D46" s="22">
        <f>43172.51</f>
        <v>43172.51</v>
      </c>
      <c r="E46" s="22">
        <f>960</f>
        <v>960</v>
      </c>
      <c r="F46" s="22">
        <f>16265.52</f>
        <v>16265.52</v>
      </c>
      <c r="G46" s="22">
        <f>25946.99</f>
        <v>25946.99</v>
      </c>
      <c r="H46" s="22">
        <f>0</f>
        <v>0</v>
      </c>
      <c r="I46" s="22">
        <f>0</f>
        <v>0</v>
      </c>
      <c r="J46" s="22">
        <f>4715926830.43</f>
        <v>4715926830.4300003</v>
      </c>
      <c r="K46" s="22">
        <f>0</f>
        <v>0</v>
      </c>
      <c r="L46" s="22">
        <f>3145343.99</f>
        <v>3145343.99</v>
      </c>
      <c r="M46" s="22">
        <f>8463.63</f>
        <v>8463.6299999999992</v>
      </c>
      <c r="N46" s="22">
        <f>0</f>
        <v>0</v>
      </c>
      <c r="O46" s="22">
        <f>183415.28</f>
        <v>183415.28</v>
      </c>
      <c r="P46" s="22">
        <f>183415.28</f>
        <v>183415.28</v>
      </c>
      <c r="Q46" s="22">
        <f>0</f>
        <v>0</v>
      </c>
    </row>
    <row r="47" spans="1:17" ht="24" customHeight="1" x14ac:dyDescent="0.2">
      <c r="A47" s="18" t="s">
        <v>33</v>
      </c>
      <c r="B47" s="23">
        <f>25922.99</f>
        <v>25922.99</v>
      </c>
      <c r="C47" s="23">
        <f>25922.99</f>
        <v>25922.99</v>
      </c>
      <c r="D47" s="23">
        <f>25922.99</f>
        <v>25922.99</v>
      </c>
      <c r="E47" s="23">
        <f>0</f>
        <v>0</v>
      </c>
      <c r="F47" s="23">
        <f>0</f>
        <v>0</v>
      </c>
      <c r="G47" s="23">
        <f>25922.99</f>
        <v>25922.99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4472099849.53</f>
        <v>4472099849.5299997</v>
      </c>
      <c r="C48" s="23">
        <f>4472099849.53</f>
        <v>4472099849.5299997</v>
      </c>
      <c r="D48" s="23">
        <f>984</f>
        <v>984</v>
      </c>
      <c r="E48" s="23">
        <f>960</f>
        <v>960</v>
      </c>
      <c r="F48" s="23">
        <f>0</f>
        <v>0</v>
      </c>
      <c r="G48" s="23">
        <f>24</f>
        <v>24</v>
      </c>
      <c r="H48" s="23">
        <f>0</f>
        <v>0</v>
      </c>
      <c r="I48" s="23">
        <f>0</f>
        <v>0</v>
      </c>
      <c r="J48" s="23">
        <f>4468951426.15</f>
        <v>4468951426.1499996</v>
      </c>
      <c r="K48" s="23">
        <f>0</f>
        <v>0</v>
      </c>
      <c r="L48" s="23">
        <f>3138975.75</f>
        <v>3138975.75</v>
      </c>
      <c r="M48" s="23">
        <f>8463.63</f>
        <v>8463.6299999999992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247181453.32</f>
        <v>247181453.31999999</v>
      </c>
      <c r="C49" s="23">
        <f>246998038.04</f>
        <v>246998038.03999999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246975404.28</f>
        <v>246975404.28</v>
      </c>
      <c r="K49" s="23">
        <f>0</f>
        <v>0</v>
      </c>
      <c r="L49" s="23">
        <f>6368.24</f>
        <v>6368.24</v>
      </c>
      <c r="M49" s="23">
        <f>0</f>
        <v>0</v>
      </c>
      <c r="N49" s="23">
        <f>0</f>
        <v>0</v>
      </c>
      <c r="O49" s="23">
        <f>183415.28</f>
        <v>183415.28</v>
      </c>
      <c r="P49" s="23">
        <f>183415.28</f>
        <v>183415.28</v>
      </c>
      <c r="Q49" s="23">
        <f>0</f>
        <v>0</v>
      </c>
    </row>
    <row r="50" spans="1:17" ht="30.75" customHeight="1" x14ac:dyDescent="0.2">
      <c r="A50" s="24" t="s">
        <v>43</v>
      </c>
      <c r="B50" s="22">
        <f>3949493333.9</f>
        <v>3949493333.9000001</v>
      </c>
      <c r="C50" s="22">
        <f>3947148499.03</f>
        <v>3947148499.0300002</v>
      </c>
      <c r="D50" s="22">
        <f>21126234.72</f>
        <v>21126234.719999999</v>
      </c>
      <c r="E50" s="22">
        <f>138019.9</f>
        <v>138019.9</v>
      </c>
      <c r="F50" s="22">
        <f>563824.24</f>
        <v>563824.24</v>
      </c>
      <c r="G50" s="22">
        <f>20424356.79</f>
        <v>20424356.789999999</v>
      </c>
      <c r="H50" s="22">
        <f>33.79</f>
        <v>33.79</v>
      </c>
      <c r="I50" s="22">
        <f>0</f>
        <v>0</v>
      </c>
      <c r="J50" s="22">
        <f>29536.93</f>
        <v>29536.93</v>
      </c>
      <c r="K50" s="22">
        <f>15792177.84</f>
        <v>15792177.84</v>
      </c>
      <c r="L50" s="22">
        <f>1784163107.17</f>
        <v>1784163107.1700001</v>
      </c>
      <c r="M50" s="22">
        <f>2105397396.54</f>
        <v>2105397396.54</v>
      </c>
      <c r="N50" s="22">
        <f>20640045.83</f>
        <v>20640045.829999998</v>
      </c>
      <c r="O50" s="22">
        <f>2344834.87</f>
        <v>2344834.87</v>
      </c>
      <c r="P50" s="22">
        <f>1809167.16</f>
        <v>1809167.16</v>
      </c>
      <c r="Q50" s="22">
        <f>535667.71</f>
        <v>535667.71</v>
      </c>
    </row>
    <row r="51" spans="1:17" ht="30" customHeight="1" x14ac:dyDescent="0.2">
      <c r="A51" s="18" t="s">
        <v>36</v>
      </c>
      <c r="B51" s="23">
        <f>131014136.02</f>
        <v>131014136.02</v>
      </c>
      <c r="C51" s="23">
        <f>131006828.4</f>
        <v>131006828.40000001</v>
      </c>
      <c r="D51" s="23">
        <f>1730747.66</f>
        <v>1730747.66</v>
      </c>
      <c r="E51" s="23">
        <f>1500</f>
        <v>1500</v>
      </c>
      <c r="F51" s="23">
        <f>225.99</f>
        <v>225.99</v>
      </c>
      <c r="G51" s="23">
        <f>1728987.88</f>
        <v>1728987.88</v>
      </c>
      <c r="H51" s="23">
        <f>33.79</f>
        <v>33.79</v>
      </c>
      <c r="I51" s="23">
        <f>0</f>
        <v>0</v>
      </c>
      <c r="J51" s="23">
        <f>998.91</f>
        <v>998.91</v>
      </c>
      <c r="K51" s="23">
        <f>0</f>
        <v>0</v>
      </c>
      <c r="L51" s="23">
        <f>123306933.14</f>
        <v>123306933.14</v>
      </c>
      <c r="M51" s="23">
        <f>5308212.13</f>
        <v>5308212.13</v>
      </c>
      <c r="N51" s="23">
        <f>659936.56</f>
        <v>659936.56000000006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3818479197.88</f>
        <v>3818479197.8800001</v>
      </c>
      <c r="C52" s="23">
        <f>3816141670.63</f>
        <v>3816141670.6300001</v>
      </c>
      <c r="D52" s="23">
        <f>19395487.06</f>
        <v>19395487.059999999</v>
      </c>
      <c r="E52" s="23">
        <f>136519.9</f>
        <v>136519.9</v>
      </c>
      <c r="F52" s="23">
        <f>563598.25</f>
        <v>563598.25</v>
      </c>
      <c r="G52" s="23">
        <f>18695368.91</f>
        <v>18695368.91</v>
      </c>
      <c r="H52" s="23">
        <f>0</f>
        <v>0</v>
      </c>
      <c r="I52" s="23">
        <f>0</f>
        <v>0</v>
      </c>
      <c r="J52" s="23">
        <f>28538.02</f>
        <v>28538.02</v>
      </c>
      <c r="K52" s="23">
        <f>15792177.84</f>
        <v>15792177.84</v>
      </c>
      <c r="L52" s="23">
        <f>1660856174.03</f>
        <v>1660856174.03</v>
      </c>
      <c r="M52" s="23">
        <f>2100089184.41</f>
        <v>2100089184.4100001</v>
      </c>
      <c r="N52" s="23">
        <f>19980109.27</f>
        <v>19980109.27</v>
      </c>
      <c r="O52" s="23">
        <f>2337527.25</f>
        <v>2337527.25</v>
      </c>
      <c r="P52" s="23">
        <f>1801859.54</f>
        <v>1801859.54</v>
      </c>
      <c r="Q52" s="23">
        <f>535667.71</f>
        <v>535667.71</v>
      </c>
    </row>
    <row r="53" spans="1:17" ht="30.75" customHeight="1" x14ac:dyDescent="0.2">
      <c r="A53" s="24" t="s">
        <v>44</v>
      </c>
      <c r="B53" s="22">
        <f>1277429581.98</f>
        <v>1277429581.98</v>
      </c>
      <c r="C53" s="22">
        <f>1273923289.9</f>
        <v>1273923289.9000001</v>
      </c>
      <c r="D53" s="22">
        <f>149889727.64</f>
        <v>149889727.63999999</v>
      </c>
      <c r="E53" s="22">
        <f>36386181.22</f>
        <v>36386181.219999999</v>
      </c>
      <c r="F53" s="22">
        <f>1272257.53</f>
        <v>1272257.53</v>
      </c>
      <c r="G53" s="22">
        <f>112079434.23</f>
        <v>112079434.23</v>
      </c>
      <c r="H53" s="22">
        <f>151854.66</f>
        <v>151854.66</v>
      </c>
      <c r="I53" s="22">
        <f>0</f>
        <v>0</v>
      </c>
      <c r="J53" s="22">
        <f>401553.8</f>
        <v>401553.8</v>
      </c>
      <c r="K53" s="22">
        <f>229963.26</f>
        <v>229963.26</v>
      </c>
      <c r="L53" s="22">
        <f>880942653.83</f>
        <v>880942653.83000004</v>
      </c>
      <c r="M53" s="22">
        <f>188934708.63</f>
        <v>188934708.63</v>
      </c>
      <c r="N53" s="22">
        <f>53524682.74</f>
        <v>53524682.740000002</v>
      </c>
      <c r="O53" s="22">
        <f>3506292.08</f>
        <v>3506292.08</v>
      </c>
      <c r="P53" s="22">
        <f>3497045</f>
        <v>3497045</v>
      </c>
      <c r="Q53" s="22">
        <f>9247.08</f>
        <v>9247.08</v>
      </c>
    </row>
    <row r="54" spans="1:17" ht="30" customHeight="1" x14ac:dyDescent="0.2">
      <c r="A54" s="18" t="s">
        <v>38</v>
      </c>
      <c r="B54" s="23">
        <f>78831454.11</f>
        <v>78831454.109999999</v>
      </c>
      <c r="C54" s="23">
        <f>78824687.03</f>
        <v>78824687.030000001</v>
      </c>
      <c r="D54" s="23">
        <f>4232906.59</f>
        <v>4232906.59</v>
      </c>
      <c r="E54" s="23">
        <f>111196.66</f>
        <v>111196.66</v>
      </c>
      <c r="F54" s="23">
        <f>319812.63</f>
        <v>319812.63</v>
      </c>
      <c r="G54" s="23">
        <f>3800934.9</f>
        <v>3800934.9</v>
      </c>
      <c r="H54" s="23">
        <f>962.4</f>
        <v>962.4</v>
      </c>
      <c r="I54" s="23">
        <f>0</f>
        <v>0</v>
      </c>
      <c r="J54" s="23">
        <f>2505.6</f>
        <v>2505.6</v>
      </c>
      <c r="K54" s="23">
        <f>10</f>
        <v>10</v>
      </c>
      <c r="L54" s="23">
        <f>69786053.49</f>
        <v>69786053.489999995</v>
      </c>
      <c r="M54" s="23">
        <f>4477615.88</f>
        <v>4477615.88</v>
      </c>
      <c r="N54" s="23">
        <f>325595.47</f>
        <v>325595.46999999997</v>
      </c>
      <c r="O54" s="23">
        <f>6767.08</f>
        <v>6767.08</v>
      </c>
      <c r="P54" s="23">
        <f>0</f>
        <v>0</v>
      </c>
      <c r="Q54" s="23">
        <f>6767.08</f>
        <v>6767.08</v>
      </c>
    </row>
    <row r="55" spans="1:17" ht="33" customHeight="1" x14ac:dyDescent="0.2">
      <c r="A55" s="18" t="s">
        <v>80</v>
      </c>
      <c r="B55" s="23">
        <f>0</f>
        <v>0</v>
      </c>
      <c r="C55" s="23">
        <f>0</f>
        <v>0</v>
      </c>
      <c r="D55" s="23">
        <f>0</f>
        <v>0</v>
      </c>
      <c r="E55" s="23">
        <f>0</f>
        <v>0</v>
      </c>
      <c r="F55" s="23">
        <f>0</f>
        <v>0</v>
      </c>
      <c r="G55" s="23">
        <f>0</f>
        <v>0</v>
      </c>
      <c r="H55" s="23">
        <f>0</f>
        <v>0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1198598127.87</f>
        <v>1198598127.8699999</v>
      </c>
      <c r="C56" s="23">
        <f>1195098602.87</f>
        <v>1195098602.8699999</v>
      </c>
      <c r="D56" s="23">
        <f>145656821.05</f>
        <v>145656821.05000001</v>
      </c>
      <c r="E56" s="23">
        <f>36274984.56</f>
        <v>36274984.560000002</v>
      </c>
      <c r="F56" s="23">
        <f>952444.9</f>
        <v>952444.9</v>
      </c>
      <c r="G56" s="23">
        <f>108278499.33</f>
        <v>108278499.33</v>
      </c>
      <c r="H56" s="23">
        <f>150892.26</f>
        <v>150892.26</v>
      </c>
      <c r="I56" s="23">
        <f>0</f>
        <v>0</v>
      </c>
      <c r="J56" s="23">
        <f>399048.2</f>
        <v>399048.2</v>
      </c>
      <c r="K56" s="23">
        <f>229953.26</f>
        <v>229953.26</v>
      </c>
      <c r="L56" s="23">
        <f>811156600.34</f>
        <v>811156600.34000003</v>
      </c>
      <c r="M56" s="23">
        <f>184457092.75</f>
        <v>184457092.75</v>
      </c>
      <c r="N56" s="23">
        <f>53199087.27</f>
        <v>53199087.270000003</v>
      </c>
      <c r="O56" s="23">
        <f>3499525</f>
        <v>3499525</v>
      </c>
      <c r="P56" s="23">
        <f>3497045</f>
        <v>3497045</v>
      </c>
      <c r="Q56" s="23">
        <f>2480</f>
        <v>2480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IV Kwartały 2022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1244727036.95</f>
        <v>1244727036.95</v>
      </c>
      <c r="G76" s="25">
        <f>186259276.29</f>
        <v>186259276.28999999</v>
      </c>
      <c r="H76" s="25">
        <f>0</f>
        <v>0</v>
      </c>
      <c r="I76" s="25">
        <f>0</f>
        <v>0</v>
      </c>
      <c r="J76" s="25">
        <f>186259276.29</f>
        <v>186259276.28999999</v>
      </c>
      <c r="K76" s="25">
        <f>0</f>
        <v>0</v>
      </c>
      <c r="L76" s="25">
        <f>1058467760.66</f>
        <v>1058467760.66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94670000</f>
        <v>94670000</v>
      </c>
      <c r="G78" s="25">
        <f>4000000</f>
        <v>4000000</v>
      </c>
      <c r="H78" s="25">
        <f>0</f>
        <v>0</v>
      </c>
      <c r="I78" s="25">
        <f>0</f>
        <v>0</v>
      </c>
      <c r="J78" s="25">
        <f>4000000</f>
        <v>4000000</v>
      </c>
      <c r="K78" s="25">
        <f>0</f>
        <v>0</v>
      </c>
      <c r="L78" s="25">
        <f>90670000</f>
        <v>90670000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20511043.53</f>
        <v>20511043.530000001</v>
      </c>
      <c r="G79" s="25">
        <f>11083037.87</f>
        <v>11083037.869999999</v>
      </c>
      <c r="H79" s="25">
        <f>0</f>
        <v>0</v>
      </c>
      <c r="I79" s="25">
        <f>0</f>
        <v>0</v>
      </c>
      <c r="J79" s="25">
        <f>11083037.87</f>
        <v>11083037.869999999</v>
      </c>
      <c r="K79" s="25">
        <f>0</f>
        <v>0</v>
      </c>
      <c r="L79" s="25">
        <f>9428005.66</f>
        <v>9428005.6600000001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1205532.93</f>
        <v>1205532.93</v>
      </c>
      <c r="G80" s="25">
        <f>711432.93</f>
        <v>711432.93</v>
      </c>
      <c r="H80" s="25">
        <f>0</f>
        <v>0</v>
      </c>
      <c r="I80" s="25">
        <f>0</f>
        <v>0</v>
      </c>
      <c r="J80" s="25">
        <f>711432.93</f>
        <v>711432.93</v>
      </c>
      <c r="K80" s="25">
        <f>0</f>
        <v>0</v>
      </c>
      <c r="L80" s="25">
        <f>494100</f>
        <v>494100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18925651.85</f>
        <v>18925651.850000001</v>
      </c>
      <c r="G81" s="25">
        <f>11119360.61</f>
        <v>11119360.609999999</v>
      </c>
      <c r="H81" s="25">
        <f>0</f>
        <v>0</v>
      </c>
      <c r="I81" s="25">
        <f>0</f>
        <v>0</v>
      </c>
      <c r="J81" s="25">
        <f>11119360.61</f>
        <v>11119360.609999999</v>
      </c>
      <c r="K81" s="25">
        <f>0</f>
        <v>0</v>
      </c>
      <c r="L81" s="25">
        <f>7806291.24</f>
        <v>7806291.2400000002</v>
      </c>
    </row>
    <row r="82" spans="1:13" ht="33" customHeight="1" x14ac:dyDescent="0.2">
      <c r="B82" s="35" t="s">
        <v>61</v>
      </c>
      <c r="C82" s="36"/>
      <c r="D82" s="36"/>
      <c r="E82" s="37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IV Kwartały 2022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10</f>
        <v>10</v>
      </c>
      <c r="H88" s="54"/>
      <c r="I88" s="38">
        <f>982695314.41</f>
        <v>982695314.40999997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6</f>
        <v>6</v>
      </c>
      <c r="H89" s="54"/>
      <c r="I89" s="38">
        <f>-120801779.14</f>
        <v>-120801779.14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4</f>
        <v>4</v>
      </c>
      <c r="C93" s="8" t="str">
        <f>IF(B93=1,"I Kwartał",IF(B93=2,"II Kwartały",IF(B93=3,"III Kwartały",IF(B93=4,"IV Kwartały","-"))))</f>
        <v>IV Kwartały</v>
      </c>
    </row>
    <row r="94" spans="1:13" ht="13.5" customHeight="1" x14ac:dyDescent="0.2">
      <c r="A94" s="8" t="s">
        <v>9</v>
      </c>
      <c r="B94" s="8">
        <f>2022</f>
        <v>2022</v>
      </c>
      <c r="C94" s="9"/>
    </row>
    <row r="95" spans="1:13" ht="13.5" customHeight="1" x14ac:dyDescent="0.2">
      <c r="A95" s="8" t="s">
        <v>10</v>
      </c>
      <c r="B95" s="10" t="str">
        <f>"Mar 23 2023 12:00AM"</f>
        <v>Mar 23 2023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2023-03-29T10:54:10Z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2023-03-29T12:54:07.9778837+02:00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GRN-e16105a9-3371-4c71-be34-3d4fdb358d52</vt:lpwstr>
  </property>
  <property fmtid="{D5CDD505-2E9C-101B-9397-08002B2CF9AE}" pid="7" name="MFHash">
    <vt:lpwstr>LxYQzEzWFjTFO7O7eMgEPHVn2pHRd2D8uO/VwHgpE78=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