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65265CE8-C118-48DD-851C-B41B724AD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4" l="1"/>
  <c r="C106" i="4"/>
  <c r="C105" i="4"/>
  <c r="C104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D61" i="4" l="1"/>
  <c r="J51" i="4"/>
  <c r="J53" i="4"/>
  <c r="D54" i="4"/>
  <c r="D60" i="4" s="1"/>
  <c r="J60" i="4" s="1"/>
  <c r="J59" i="4"/>
  <c r="J57" i="4"/>
  <c r="J52" i="4"/>
  <c r="J58" i="4"/>
  <c r="J54" i="4"/>
  <c r="J55" i="4"/>
  <c r="J56" i="4"/>
  <c r="K59" i="4"/>
  <c r="H67" i="4"/>
  <c r="K8" i="4"/>
  <c r="C12" i="4"/>
  <c r="K17" i="4"/>
  <c r="K23" i="4"/>
  <c r="K29" i="4"/>
  <c r="C35" i="4"/>
  <c r="K35" i="4" s="1"/>
  <c r="K36" i="4"/>
  <c r="E54" i="4"/>
  <c r="E60" i="4" s="1"/>
  <c r="K53" i="4"/>
  <c r="I67" i="4"/>
  <c r="K75" i="4"/>
  <c r="K81" i="4"/>
  <c r="K87" i="4"/>
  <c r="D104" i="4"/>
  <c r="D12" i="4"/>
  <c r="D11" i="4" s="1"/>
  <c r="D35" i="4"/>
  <c r="J35" i="4" s="1"/>
  <c r="F54" i="4"/>
  <c r="F60" i="4" s="1"/>
  <c r="K66" i="4"/>
  <c r="K24" i="4"/>
  <c r="G54" i="4"/>
  <c r="G60" i="4" s="1"/>
  <c r="K56" i="4"/>
  <c r="K76" i="4"/>
  <c r="H54" i="4"/>
  <c r="H60" i="4" s="1"/>
  <c r="K13" i="4"/>
  <c r="K19" i="4"/>
  <c r="K25" i="4"/>
  <c r="K31" i="4"/>
  <c r="K38" i="4"/>
  <c r="I54" i="4"/>
  <c r="I60" i="4" s="1"/>
  <c r="K58" i="4"/>
  <c r="F67" i="4"/>
  <c r="K77" i="4"/>
  <c r="K83" i="4"/>
  <c r="K89" i="4"/>
  <c r="K52" i="4"/>
  <c r="K14" i="4"/>
  <c r="K20" i="4"/>
  <c r="K26" i="4"/>
  <c r="K32" i="4"/>
  <c r="K39" i="4"/>
  <c r="C67" i="4"/>
  <c r="K65" i="4"/>
  <c r="K78" i="4"/>
  <c r="K84" i="4"/>
  <c r="K55" i="4"/>
  <c r="J66" i="4"/>
  <c r="J65" i="4"/>
  <c r="J88" i="4"/>
  <c r="J85" i="4"/>
  <c r="J84" i="4"/>
  <c r="J89" i="4"/>
  <c r="J86" i="4"/>
  <c r="J87" i="4"/>
  <c r="K18" i="4"/>
  <c r="K27" i="4"/>
  <c r="E67" i="4"/>
  <c r="K73" i="4"/>
  <c r="K79" i="4"/>
  <c r="K85" i="4"/>
  <c r="K9" i="4"/>
  <c r="K37" i="4"/>
  <c r="K88" i="4"/>
  <c r="K15" i="4"/>
  <c r="K33" i="4"/>
  <c r="J9" i="4"/>
  <c r="J23" i="4"/>
  <c r="J16" i="4"/>
  <c r="J18" i="4"/>
  <c r="D40" i="4"/>
  <c r="D42" i="4" s="1"/>
  <c r="J42" i="4" s="1"/>
  <c r="J28" i="4"/>
  <c r="J34" i="4"/>
  <c r="J8" i="4"/>
  <c r="J29" i="4"/>
  <c r="J30" i="4"/>
  <c r="J38" i="4"/>
  <c r="J27" i="4"/>
  <c r="J7" i="4"/>
  <c r="J19" i="4"/>
  <c r="J31" i="4"/>
  <c r="J17" i="4"/>
  <c r="J21" i="4"/>
  <c r="J39" i="4"/>
  <c r="J25" i="4"/>
  <c r="J14" i="4"/>
  <c r="J13" i="4"/>
  <c r="J26" i="4"/>
  <c r="J5" i="4"/>
  <c r="J20" i="4"/>
  <c r="J37" i="4"/>
  <c r="J15" i="4"/>
  <c r="J24" i="4"/>
  <c r="J33" i="4"/>
  <c r="J36" i="4"/>
  <c r="J11" i="4"/>
  <c r="J12" i="4"/>
  <c r="J32" i="4"/>
  <c r="J22" i="4"/>
  <c r="K30" i="4"/>
  <c r="D67" i="4"/>
  <c r="J67" i="4" s="1"/>
  <c r="K82" i="4"/>
  <c r="C40" i="4"/>
  <c r="C61" i="4"/>
  <c r="K5" i="4"/>
  <c r="K21" i="4"/>
  <c r="K41" i="4"/>
  <c r="K57" i="4"/>
  <c r="J81" i="4"/>
  <c r="J82" i="4"/>
  <c r="J83" i="4"/>
  <c r="J80" i="4"/>
  <c r="J74" i="4"/>
  <c r="J73" i="4"/>
  <c r="J78" i="4"/>
  <c r="J79" i="4"/>
  <c r="J76" i="4"/>
  <c r="J77" i="4"/>
  <c r="J75" i="4"/>
  <c r="K7" i="4"/>
  <c r="K16" i="4"/>
  <c r="K22" i="4"/>
  <c r="K28" i="4"/>
  <c r="K34" i="4"/>
  <c r="K51" i="4"/>
  <c r="C54" i="4"/>
  <c r="G67" i="4"/>
  <c r="K74" i="4"/>
  <c r="K80" i="4"/>
  <c r="K86" i="4"/>
  <c r="J40" i="4" l="1"/>
  <c r="J41" i="4"/>
  <c r="K67" i="4"/>
  <c r="D6" i="4"/>
  <c r="J6" i="4" s="1"/>
  <c r="L6" i="4"/>
  <c r="L9" i="4"/>
  <c r="L7" i="4"/>
  <c r="L8" i="4"/>
  <c r="D10" i="4"/>
  <c r="J10" i="4" s="1"/>
  <c r="B44" i="4"/>
  <c r="B1" i="4"/>
  <c r="B68" i="4"/>
  <c r="K12" i="4"/>
  <c r="C11" i="4"/>
  <c r="K54" i="4"/>
  <c r="C60" i="4"/>
  <c r="K60" i="4" s="1"/>
  <c r="K40" i="4"/>
  <c r="C42" i="4"/>
  <c r="D62" i="4"/>
  <c r="L10" i="4" l="1"/>
  <c r="K11" i="4"/>
  <c r="C6" i="4"/>
  <c r="C62" i="4"/>
  <c r="K42" i="4"/>
  <c r="K6" i="4" l="1"/>
  <c r="C10" i="4"/>
  <c r="K10" i="4" s="1"/>
</calcChain>
</file>

<file path=xl/sharedStrings.xml><?xml version="1.0" encoding="utf-8"?>
<sst xmlns="http://schemas.openxmlformats.org/spreadsheetml/2006/main" count="400" uniqueCount="105">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</sst>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10" xfId="44" applyFont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7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",$D$104," ",$C$105," rok    ",$C$107,"")</f>
        <v xml:space="preserve">Informacja z wykonania budżetów województw za III Kwartały 2023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21" t="s">
        <v>0</v>
      </c>
      <c r="C2" s="13" t="s">
        <v>26</v>
      </c>
      <c r="D2" s="13" t="s">
        <v>27</v>
      </c>
      <c r="E2" s="13" t="s">
        <v>88</v>
      </c>
      <c r="F2" s="13" t="s">
        <v>89</v>
      </c>
      <c r="G2" s="13" t="s">
        <v>90</v>
      </c>
      <c r="H2" s="13" t="s">
        <v>91</v>
      </c>
      <c r="I2" s="13" t="s">
        <v>92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21"/>
      <c r="C3" s="131" t="s">
        <v>60</v>
      </c>
      <c r="D3" s="133"/>
      <c r="E3" s="125" t="s">
        <v>86</v>
      </c>
      <c r="F3" s="126"/>
      <c r="G3" s="126"/>
      <c r="H3" s="126"/>
      <c r="I3" s="127"/>
      <c r="J3" s="131" t="s">
        <v>4</v>
      </c>
      <c r="K3" s="132"/>
      <c r="L3" s="133"/>
    </row>
    <row r="4" spans="2:17" ht="9" customHeight="1" x14ac:dyDescent="0.2">
      <c r="B4" s="14">
        <v>1</v>
      </c>
      <c r="C4" s="16">
        <v>2</v>
      </c>
      <c r="D4" s="16">
        <v>3</v>
      </c>
      <c r="E4" s="128"/>
      <c r="F4" s="129"/>
      <c r="G4" s="129"/>
      <c r="H4" s="129"/>
      <c r="I4" s="130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32068057629.5</f>
        <v>32068057629.5</v>
      </c>
      <c r="D5" s="55">
        <f>23225545765.47</f>
        <v>23225545765.470001</v>
      </c>
      <c r="E5" s="94" t="s">
        <v>86</v>
      </c>
      <c r="F5" s="94" t="s">
        <v>86</v>
      </c>
      <c r="G5" s="94" t="s">
        <v>86</v>
      </c>
      <c r="H5" s="94" t="s">
        <v>86</v>
      </c>
      <c r="I5" s="94" t="s">
        <v>86</v>
      </c>
      <c r="J5" s="56">
        <f t="shared" ref="J5:J39" si="0">IF($D$5=0,"",100*$D5/$D$5)</f>
        <v>100</v>
      </c>
      <c r="K5" s="56">
        <f t="shared" ref="K5:K42" si="1">IF(C5=0,"",100*D5/C5)</f>
        <v>72.425795268948221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41</v>
      </c>
      <c r="C6" s="22">
        <f>C5-C11-C35</f>
        <v>17859932529.23</v>
      </c>
      <c r="D6" s="22">
        <f>D5-D11-D35</f>
        <v>13406047790.790003</v>
      </c>
      <c r="E6" s="94" t="s">
        <v>86</v>
      </c>
      <c r="F6" s="94" t="s">
        <v>86</v>
      </c>
      <c r="G6" s="94" t="s">
        <v>86</v>
      </c>
      <c r="H6" s="94" t="s">
        <v>86</v>
      </c>
      <c r="I6" s="94" t="s">
        <v>86</v>
      </c>
      <c r="J6" s="29">
        <f t="shared" si="0"/>
        <v>57.721131404890855</v>
      </c>
      <c r="K6" s="29">
        <f t="shared" si="1"/>
        <v>75.062141297842743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25</v>
      </c>
      <c r="C7" s="20">
        <f>14074450001</f>
        <v>14074450001</v>
      </c>
      <c r="D7" s="20">
        <f>10555837425</f>
        <v>10555837425</v>
      </c>
      <c r="E7" s="110" t="s">
        <v>86</v>
      </c>
      <c r="F7" s="110" t="s">
        <v>86</v>
      </c>
      <c r="G7" s="110" t="s">
        <v>86</v>
      </c>
      <c r="H7" s="110" t="s">
        <v>86</v>
      </c>
      <c r="I7" s="110" t="s">
        <v>86</v>
      </c>
      <c r="J7" s="30">
        <f t="shared" si="0"/>
        <v>45.449254590579429</v>
      </c>
      <c r="K7" s="30">
        <f t="shared" si="1"/>
        <v>74.999999461790694</v>
      </c>
      <c r="L7" s="30">
        <f>IF($D$6=0,"",100*$D7/$D$6)</f>
        <v>78.739368900742647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1647296000</f>
        <v>1647296000</v>
      </c>
      <c r="D8" s="21">
        <f>1235471940</f>
        <v>1235471940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30">
        <f t="shared" si="0"/>
        <v>5.3194527804673033</v>
      </c>
      <c r="K8" s="30">
        <f t="shared" si="1"/>
        <v>74.999996357667357</v>
      </c>
      <c r="L8" s="30">
        <f>IF($D$6=0,"",100*$D8/$D$6)</f>
        <v>9.2157805139914029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180833501.52</f>
        <v>180833501.52000001</v>
      </c>
      <c r="D9" s="57">
        <f>150195782.47</f>
        <v>150195782.47</v>
      </c>
      <c r="E9" s="110" t="s">
        <v>86</v>
      </c>
      <c r="F9" s="110" t="s">
        <v>86</v>
      </c>
      <c r="G9" s="110" t="s">
        <v>86</v>
      </c>
      <c r="H9" s="110" t="s">
        <v>86</v>
      </c>
      <c r="I9" s="110" t="s">
        <v>86</v>
      </c>
      <c r="J9" s="30">
        <f t="shared" si="0"/>
        <v>0.64668354400222461</v>
      </c>
      <c r="K9" s="30">
        <f t="shared" si="1"/>
        <v>83.057498310615017</v>
      </c>
      <c r="L9" s="30">
        <f>IF($D$6=0,"",100*$D9/$D$6)</f>
        <v>1.1203583995365507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1957353026.7099996</v>
      </c>
      <c r="D10" s="21">
        <f>D6-D7-D8-D9</f>
        <v>1464542643.3200028</v>
      </c>
      <c r="E10" s="110" t="s">
        <v>86</v>
      </c>
      <c r="F10" s="110" t="s">
        <v>86</v>
      </c>
      <c r="G10" s="110" t="s">
        <v>86</v>
      </c>
      <c r="H10" s="110" t="s">
        <v>86</v>
      </c>
      <c r="I10" s="110" t="s">
        <v>86</v>
      </c>
      <c r="J10" s="30">
        <f t="shared" si="0"/>
        <v>6.3057404898419005</v>
      </c>
      <c r="K10" s="30">
        <f t="shared" si="1"/>
        <v>74.822611114851725</v>
      </c>
      <c r="L10" s="30">
        <f>IF($D$6=0,"",100*$D10/$D$6)</f>
        <v>10.924492185729401</v>
      </c>
      <c r="M10" s="34"/>
      <c r="N10" s="34"/>
      <c r="O10" s="34"/>
      <c r="P10" s="34"/>
      <c r="Q10" s="34"/>
    </row>
    <row r="11" spans="2:17" ht="27" customHeight="1" x14ac:dyDescent="0.2">
      <c r="B11" s="96" t="s">
        <v>87</v>
      </c>
      <c r="C11" s="55">
        <f>C12+C31+C33</f>
        <v>8352375231.2700005</v>
      </c>
      <c r="D11" s="55">
        <f>D12+D31+D33</f>
        <v>5322915921.8500004</v>
      </c>
      <c r="E11" s="94" t="s">
        <v>86</v>
      </c>
      <c r="F11" s="94" t="s">
        <v>86</v>
      </c>
      <c r="G11" s="94" t="s">
        <v>86</v>
      </c>
      <c r="H11" s="94" t="s">
        <v>86</v>
      </c>
      <c r="I11" s="94" t="s">
        <v>86</v>
      </c>
      <c r="J11" s="56">
        <f t="shared" si="0"/>
        <v>22.918367454528077</v>
      </c>
      <c r="K11" s="56">
        <f t="shared" si="1"/>
        <v>63.729367688389132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42</v>
      </c>
      <c r="C12" s="55">
        <f>C13+C15+C17+C19+C21+C23+C25+C27+C29</f>
        <v>2492004621.8199997</v>
      </c>
      <c r="D12" s="55">
        <f>D13+D15+D17+D19+D21+D23+D25+D27+D29</f>
        <v>1737956396.6200001</v>
      </c>
      <c r="E12" s="94" t="s">
        <v>86</v>
      </c>
      <c r="F12" s="94" t="s">
        <v>86</v>
      </c>
      <c r="G12" s="94" t="s">
        <v>86</v>
      </c>
      <c r="H12" s="94" t="s">
        <v>86</v>
      </c>
      <c r="I12" s="94" t="s">
        <v>86</v>
      </c>
      <c r="J12" s="56">
        <f t="shared" si="0"/>
        <v>7.4829518073321797</v>
      </c>
      <c r="K12" s="56">
        <f t="shared" si="1"/>
        <v>69.741299089193049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1452421790.31</f>
        <v>1452421790.3099999</v>
      </c>
      <c r="D13" s="21">
        <f>1250890524.55</f>
        <v>1250890524.55</v>
      </c>
      <c r="E13" s="110" t="s">
        <v>86</v>
      </c>
      <c r="F13" s="110" t="s">
        <v>86</v>
      </c>
      <c r="G13" s="110" t="s">
        <v>86</v>
      </c>
      <c r="H13" s="110" t="s">
        <v>86</v>
      </c>
      <c r="I13" s="110" t="s">
        <v>86</v>
      </c>
      <c r="J13" s="30">
        <f t="shared" si="0"/>
        <v>5.3858390979545039</v>
      </c>
      <c r="K13" s="30">
        <f t="shared" si="1"/>
        <v>86.124466934843639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9240000</f>
        <v>9240000</v>
      </c>
      <c r="D14" s="21">
        <f>1290000</f>
        <v>1290000</v>
      </c>
      <c r="E14" s="110" t="s">
        <v>86</v>
      </c>
      <c r="F14" s="110" t="s">
        <v>86</v>
      </c>
      <c r="G14" s="110" t="s">
        <v>86</v>
      </c>
      <c r="H14" s="110" t="s">
        <v>86</v>
      </c>
      <c r="I14" s="110" t="s">
        <v>86</v>
      </c>
      <c r="J14" s="30">
        <f t="shared" si="0"/>
        <v>5.5542290072592192E-3</v>
      </c>
      <c r="K14" s="30">
        <f t="shared" si="1"/>
        <v>13.961038961038961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55225386.36</f>
        <v>55225386.359999999</v>
      </c>
      <c r="D15" s="21">
        <f>27815002.02</f>
        <v>27815002.02</v>
      </c>
      <c r="E15" s="110" t="s">
        <v>86</v>
      </c>
      <c r="F15" s="110" t="s">
        <v>86</v>
      </c>
      <c r="G15" s="110" t="s">
        <v>86</v>
      </c>
      <c r="H15" s="110" t="s">
        <v>86</v>
      </c>
      <c r="I15" s="110" t="s">
        <v>86</v>
      </c>
      <c r="J15" s="30">
        <f t="shared" si="0"/>
        <v>0.11976038066392075</v>
      </c>
      <c r="K15" s="30">
        <f t="shared" si="1"/>
        <v>50.366333045967664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27745170.56</f>
        <v>27745170.559999999</v>
      </c>
      <c r="D16" s="21">
        <f>6953928.98</f>
        <v>6953928.9800000004</v>
      </c>
      <c r="E16" s="110" t="s">
        <v>86</v>
      </c>
      <c r="F16" s="110" t="s">
        <v>86</v>
      </c>
      <c r="G16" s="110" t="s">
        <v>86</v>
      </c>
      <c r="H16" s="110" t="s">
        <v>86</v>
      </c>
      <c r="I16" s="110" t="s">
        <v>86</v>
      </c>
      <c r="J16" s="30">
        <f t="shared" si="0"/>
        <v>2.9940863608632955E-2</v>
      </c>
      <c r="K16" s="30">
        <f t="shared" si="1"/>
        <v>25.063565440918307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104050061</f>
        <v>104050061</v>
      </c>
      <c r="D17" s="21">
        <f>26282310.76</f>
        <v>26282310.760000002</v>
      </c>
      <c r="E17" s="110" t="s">
        <v>86</v>
      </c>
      <c r="F17" s="110" t="s">
        <v>86</v>
      </c>
      <c r="G17" s="110" t="s">
        <v>86</v>
      </c>
      <c r="H17" s="110" t="s">
        <v>86</v>
      </c>
      <c r="I17" s="110" t="s">
        <v>86</v>
      </c>
      <c r="J17" s="30">
        <f t="shared" si="0"/>
        <v>0.11316121922557604</v>
      </c>
      <c r="K17" s="30">
        <f t="shared" si="1"/>
        <v>25.25929394697808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20662433</f>
        <v>20662433</v>
      </c>
      <c r="D18" s="21">
        <f>0</f>
        <v>0</v>
      </c>
      <c r="E18" s="110" t="s">
        <v>86</v>
      </c>
      <c r="F18" s="110" t="s">
        <v>86</v>
      </c>
      <c r="G18" s="110" t="s">
        <v>86</v>
      </c>
      <c r="H18" s="110" t="s">
        <v>86</v>
      </c>
      <c r="I18" s="110" t="s">
        <v>86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62110082.6</f>
        <v>62110082.600000001</v>
      </c>
      <c r="D19" s="21">
        <f>43098733.93</f>
        <v>43098733.93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30">
        <f t="shared" si="0"/>
        <v>0.18556607610089387</v>
      </c>
      <c r="K19" s="30">
        <f t="shared" si="1"/>
        <v>69.390881682710884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11339253.16</f>
        <v>11339253.16</v>
      </c>
      <c r="D20" s="21">
        <f>6007013.67</f>
        <v>6007013.6699999999</v>
      </c>
      <c r="E20" s="110" t="s">
        <v>86</v>
      </c>
      <c r="F20" s="110" t="s">
        <v>86</v>
      </c>
      <c r="G20" s="110" t="s">
        <v>86</v>
      </c>
      <c r="H20" s="110" t="s">
        <v>86</v>
      </c>
      <c r="I20" s="110" t="s">
        <v>86</v>
      </c>
      <c r="J20" s="30">
        <f t="shared" si="0"/>
        <v>2.5863821374353998E-2</v>
      </c>
      <c r="K20" s="30">
        <f t="shared" si="1"/>
        <v>52.975390753159623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61</v>
      </c>
      <c r="C21" s="21">
        <f>209090964.51</f>
        <v>209090964.50999999</v>
      </c>
      <c r="D21" s="21">
        <f>135423318.47</f>
        <v>135423318.47</v>
      </c>
      <c r="E21" s="110" t="s">
        <v>86</v>
      </c>
      <c r="F21" s="110" t="s">
        <v>86</v>
      </c>
      <c r="G21" s="110" t="s">
        <v>86</v>
      </c>
      <c r="H21" s="110" t="s">
        <v>86</v>
      </c>
      <c r="I21" s="110" t="s">
        <v>86</v>
      </c>
      <c r="J21" s="30">
        <f t="shared" si="0"/>
        <v>0.58307916566308304</v>
      </c>
      <c r="K21" s="30">
        <f t="shared" si="1"/>
        <v>64.767656884342912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133227719.42</f>
        <v>133227719.42</v>
      </c>
      <c r="D22" s="21">
        <f>79918946.93</f>
        <v>79918946.930000007</v>
      </c>
      <c r="E22" s="110" t="s">
        <v>86</v>
      </c>
      <c r="F22" s="110" t="s">
        <v>86</v>
      </c>
      <c r="G22" s="110" t="s">
        <v>86</v>
      </c>
      <c r="H22" s="110" t="s">
        <v>86</v>
      </c>
      <c r="I22" s="110" t="s">
        <v>86</v>
      </c>
      <c r="J22" s="30">
        <f t="shared" si="0"/>
        <v>0.34409932811489624</v>
      </c>
      <c r="K22" s="30">
        <f t="shared" si="1"/>
        <v>59.986725944062556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74570198</f>
        <v>74570198</v>
      </c>
      <c r="D23" s="21">
        <f>68631575.69</f>
        <v>68631575.689999998</v>
      </c>
      <c r="E23" s="110" t="s">
        <v>86</v>
      </c>
      <c r="F23" s="110" t="s">
        <v>86</v>
      </c>
      <c r="G23" s="110" t="s">
        <v>86</v>
      </c>
      <c r="H23" s="110" t="s">
        <v>86</v>
      </c>
      <c r="I23" s="110" t="s">
        <v>86</v>
      </c>
      <c r="J23" s="30">
        <f t="shared" si="0"/>
        <v>0.29550037869093382</v>
      </c>
      <c r="K23" s="30">
        <f t="shared" si="1"/>
        <v>92.036198817656356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34289522</f>
        <v>34289522</v>
      </c>
      <c r="D24" s="21">
        <f>30102484.53</f>
        <v>30102484.530000001</v>
      </c>
      <c r="E24" s="110" t="s">
        <v>86</v>
      </c>
      <c r="F24" s="110" t="s">
        <v>86</v>
      </c>
      <c r="G24" s="110" t="s">
        <v>86</v>
      </c>
      <c r="H24" s="110" t="s">
        <v>86</v>
      </c>
      <c r="I24" s="110" t="s">
        <v>86</v>
      </c>
      <c r="J24" s="30">
        <f t="shared" si="0"/>
        <v>0.12960937423806038</v>
      </c>
      <c r="K24" s="30">
        <f t="shared" si="1"/>
        <v>87.789163494317592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77</v>
      </c>
      <c r="C25" s="21">
        <f>0</f>
        <v>0</v>
      </c>
      <c r="D25" s="21">
        <f>0</f>
        <v>0</v>
      </c>
      <c r="E25" s="110" t="s">
        <v>86</v>
      </c>
      <c r="F25" s="110" t="s">
        <v>86</v>
      </c>
      <c r="G25" s="110" t="s">
        <v>86</v>
      </c>
      <c r="H25" s="110" t="s">
        <v>86</v>
      </c>
      <c r="I25" s="110" t="s">
        <v>86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78</v>
      </c>
      <c r="C26" s="21">
        <f>0</f>
        <v>0</v>
      </c>
      <c r="D26" s="21">
        <f>0</f>
        <v>0</v>
      </c>
      <c r="E26" s="110" t="s">
        <v>86</v>
      </c>
      <c r="F26" s="110" t="s">
        <v>86</v>
      </c>
      <c r="G26" s="110" t="s">
        <v>86</v>
      </c>
      <c r="H26" s="110" t="s">
        <v>86</v>
      </c>
      <c r="I26" s="110" t="s">
        <v>86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76</v>
      </c>
      <c r="C27" s="67">
        <f>500293165.61</f>
        <v>500293165.61000001</v>
      </c>
      <c r="D27" s="67">
        <f>150218837.22</f>
        <v>150218837.22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68">
        <f t="shared" si="0"/>
        <v>0.64678280862331383</v>
      </c>
      <c r="K27" s="68">
        <f t="shared" si="1"/>
        <v>30.026162167704292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500293165.61</f>
        <v>500293165.61000001</v>
      </c>
      <c r="D28" s="21">
        <f>150218837.22</f>
        <v>150218837.22</v>
      </c>
      <c r="E28" s="110" t="s">
        <v>86</v>
      </c>
      <c r="F28" s="110" t="s">
        <v>86</v>
      </c>
      <c r="G28" s="110" t="s">
        <v>86</v>
      </c>
      <c r="H28" s="110" t="s">
        <v>86</v>
      </c>
      <c r="I28" s="110" t="s">
        <v>86</v>
      </c>
      <c r="J28" s="30">
        <f t="shared" si="0"/>
        <v>0.64678280862331383</v>
      </c>
      <c r="K28" s="30">
        <f t="shared" si="1"/>
        <v>30.026162167704292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95</v>
      </c>
      <c r="C29" s="21">
        <f>34242973.43</f>
        <v>34242973.43</v>
      </c>
      <c r="D29" s="21">
        <f>35596093.98</f>
        <v>35596093.979999997</v>
      </c>
      <c r="E29" s="110" t="s">
        <v>86</v>
      </c>
      <c r="F29" s="110" t="s">
        <v>86</v>
      </c>
      <c r="G29" s="110" t="s">
        <v>86</v>
      </c>
      <c r="H29" s="110" t="s">
        <v>86</v>
      </c>
      <c r="I29" s="110" t="s">
        <v>86</v>
      </c>
      <c r="J29" s="30">
        <f t="shared" si="0"/>
        <v>0.15326268040995444</v>
      </c>
      <c r="K29" s="30">
        <f t="shared" si="1"/>
        <v>103.95152761125159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86</v>
      </c>
      <c r="F30" s="110" t="s">
        <v>86</v>
      </c>
      <c r="G30" s="110" t="s">
        <v>86</v>
      </c>
      <c r="H30" s="110" t="s">
        <v>86</v>
      </c>
      <c r="I30" s="110" t="s">
        <v>86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53</v>
      </c>
      <c r="C31" s="55">
        <f>954240761.18</f>
        <v>954240761.17999995</v>
      </c>
      <c r="D31" s="55">
        <f>554080084.97</f>
        <v>554080084.97000003</v>
      </c>
      <c r="E31" s="94" t="s">
        <v>86</v>
      </c>
      <c r="F31" s="94" t="s">
        <v>86</v>
      </c>
      <c r="G31" s="94" t="s">
        <v>86</v>
      </c>
      <c r="H31" s="94" t="s">
        <v>86</v>
      </c>
      <c r="I31" s="94" t="s">
        <v>86</v>
      </c>
      <c r="J31" s="56">
        <f t="shared" si="0"/>
        <v>2.385649364562036</v>
      </c>
      <c r="K31" s="56">
        <f t="shared" si="1"/>
        <v>58.065019595770863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54</v>
      </c>
      <c r="C32" s="20">
        <f>567233927</f>
        <v>567233927</v>
      </c>
      <c r="D32" s="20">
        <f>347640229.62</f>
        <v>347640229.62</v>
      </c>
      <c r="E32" s="110" t="s">
        <v>86</v>
      </c>
      <c r="F32" s="110" t="s">
        <v>86</v>
      </c>
      <c r="G32" s="110" t="s">
        <v>86</v>
      </c>
      <c r="H32" s="110" t="s">
        <v>86</v>
      </c>
      <c r="I32" s="110" t="s">
        <v>86</v>
      </c>
      <c r="J32" s="30">
        <f t="shared" si="0"/>
        <v>1.4968011220508988</v>
      </c>
      <c r="K32" s="30">
        <f t="shared" si="1"/>
        <v>61.286924683544186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66</v>
      </c>
      <c r="C33" s="55">
        <f>4906129848.27</f>
        <v>4906129848.2700005</v>
      </c>
      <c r="D33" s="55">
        <f>3030879440.26</f>
        <v>3030879440.2600002</v>
      </c>
      <c r="E33" s="94" t="s">
        <v>86</v>
      </c>
      <c r="F33" s="94" t="s">
        <v>86</v>
      </c>
      <c r="G33" s="94" t="s">
        <v>86</v>
      </c>
      <c r="H33" s="94" t="s">
        <v>86</v>
      </c>
      <c r="I33" s="94" t="s">
        <v>86</v>
      </c>
      <c r="J33" s="59">
        <f t="shared" si="0"/>
        <v>13.049766282633858</v>
      </c>
      <c r="K33" s="59">
        <f t="shared" si="1"/>
        <v>61.777399579604456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67</v>
      </c>
      <c r="C34" s="20">
        <f>2998351938.31</f>
        <v>2998351938.3099999</v>
      </c>
      <c r="D34" s="20">
        <f>1795942877.13</f>
        <v>1795942877.1300001</v>
      </c>
      <c r="E34" s="110" t="s">
        <v>86</v>
      </c>
      <c r="F34" s="110" t="s">
        <v>86</v>
      </c>
      <c r="G34" s="110" t="s">
        <v>86</v>
      </c>
      <c r="H34" s="110" t="s">
        <v>86</v>
      </c>
      <c r="I34" s="110" t="s">
        <v>86</v>
      </c>
      <c r="J34" s="30">
        <f t="shared" si="0"/>
        <v>7.732618622896144</v>
      </c>
      <c r="K34" s="30">
        <f t="shared" si="1"/>
        <v>59.897667588090762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43</v>
      </c>
      <c r="C35" s="22">
        <f>C36+C37+C38+C39</f>
        <v>5855749869</v>
      </c>
      <c r="D35" s="22">
        <f>D36+D37+D38+D39</f>
        <v>4496582052.8299999</v>
      </c>
      <c r="E35" s="94" t="s">
        <v>86</v>
      </c>
      <c r="F35" s="94" t="s">
        <v>86</v>
      </c>
      <c r="G35" s="94" t="s">
        <v>86</v>
      </c>
      <c r="H35" s="94" t="s">
        <v>86</v>
      </c>
      <c r="I35" s="94" t="s">
        <v>86</v>
      </c>
      <c r="J35" s="29">
        <f t="shared" si="0"/>
        <v>19.360501140581079</v>
      </c>
      <c r="K35" s="29">
        <f t="shared" si="1"/>
        <v>76.789175655105154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29</v>
      </c>
      <c r="C36" s="21">
        <f>791563963</f>
        <v>791563963</v>
      </c>
      <c r="D36" s="21">
        <f>670152564</f>
        <v>670152564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30">
        <f t="shared" si="0"/>
        <v>2.8854114808201086</v>
      </c>
      <c r="K36" s="30">
        <f t="shared" si="1"/>
        <v>84.661833449333017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40</v>
      </c>
      <c r="C37" s="21">
        <f>1169058479</f>
        <v>1169058479</v>
      </c>
      <c r="D37" s="21">
        <f>876793860</f>
        <v>876793860</v>
      </c>
      <c r="E37" s="110" t="s">
        <v>86</v>
      </c>
      <c r="F37" s="110" t="s">
        <v>86</v>
      </c>
      <c r="G37" s="110" t="s">
        <v>86</v>
      </c>
      <c r="H37" s="110" t="s">
        <v>86</v>
      </c>
      <c r="I37" s="110" t="s">
        <v>86</v>
      </c>
      <c r="J37" s="30">
        <f t="shared" si="0"/>
        <v>3.7751270469757974</v>
      </c>
      <c r="K37" s="30">
        <f t="shared" si="1"/>
        <v>75.000000064154193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30</v>
      </c>
      <c r="C38" s="21">
        <f>3171277626</f>
        <v>3171277626</v>
      </c>
      <c r="D38" s="21">
        <f>2378458233</f>
        <v>2378458233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30">
        <f t="shared" si="0"/>
        <v>10.240699000219461</v>
      </c>
      <c r="K38" s="30">
        <f t="shared" si="1"/>
        <v>75.00000042569593</v>
      </c>
      <c r="L38" s="27"/>
      <c r="M38" s="34"/>
      <c r="N38" s="34"/>
      <c r="O38" s="34"/>
      <c r="P38" s="34"/>
      <c r="Q38" s="34"/>
    </row>
    <row r="39" spans="1:26" s="5" customFormat="1" ht="12.75" customHeight="1" outlineLevel="1" x14ac:dyDescent="0.2">
      <c r="B39" s="60" t="s">
        <v>28</v>
      </c>
      <c r="C39" s="21">
        <f>723849801</f>
        <v>723849801</v>
      </c>
      <c r="D39" s="21">
        <f>571177395.83</f>
        <v>571177395.83000004</v>
      </c>
      <c r="E39" s="110" t="s">
        <v>86</v>
      </c>
      <c r="F39" s="110" t="s">
        <v>86</v>
      </c>
      <c r="G39" s="110" t="s">
        <v>86</v>
      </c>
      <c r="H39" s="110" t="s">
        <v>86</v>
      </c>
      <c r="I39" s="110" t="s">
        <v>86</v>
      </c>
      <c r="J39" s="30">
        <f t="shared" si="0"/>
        <v>2.459263612565711</v>
      </c>
      <c r="K39" s="30">
        <f t="shared" si="1"/>
        <v>78.908275589896874</v>
      </c>
      <c r="L39" s="27"/>
      <c r="M39" s="48"/>
      <c r="N39" s="48"/>
      <c r="O39" s="48"/>
      <c r="P39" s="48"/>
      <c r="Q39" s="48"/>
    </row>
    <row r="40" spans="1:26" s="5" customFormat="1" x14ac:dyDescent="0.2">
      <c r="B40" s="98" t="s">
        <v>93</v>
      </c>
      <c r="C40" s="55">
        <f>+C5</f>
        <v>32068057629.5</v>
      </c>
      <c r="D40" s="55">
        <f>+D5</f>
        <v>23225545765.470001</v>
      </c>
      <c r="E40" s="94" t="s">
        <v>86</v>
      </c>
      <c r="F40" s="94" t="s">
        <v>86</v>
      </c>
      <c r="G40" s="94" t="s">
        <v>86</v>
      </c>
      <c r="H40" s="94" t="s">
        <v>86</v>
      </c>
      <c r="I40" s="94" t="s">
        <v>86</v>
      </c>
      <c r="J40" s="59">
        <f>IF($D$5=0,"",100*$D40/$D$40)</f>
        <v>100</v>
      </c>
      <c r="K40" s="91">
        <f t="shared" si="1"/>
        <v>72.425795268948221</v>
      </c>
      <c r="L40" s="93"/>
      <c r="M40" s="48"/>
      <c r="N40" s="48"/>
      <c r="O40" s="48"/>
      <c r="P40" s="48"/>
      <c r="Q40" s="48"/>
    </row>
    <row r="41" spans="1:26" s="5" customFormat="1" x14ac:dyDescent="0.2">
      <c r="B41" s="99" t="s">
        <v>56</v>
      </c>
      <c r="C41" s="21">
        <f>5111205136.26</f>
        <v>5111205136.2600002</v>
      </c>
      <c r="D41" s="21">
        <f>2784154169.53</f>
        <v>2784154169.5300002</v>
      </c>
      <c r="E41" s="110" t="s">
        <v>86</v>
      </c>
      <c r="F41" s="110" t="s">
        <v>86</v>
      </c>
      <c r="G41" s="110" t="s">
        <v>86</v>
      </c>
      <c r="H41" s="110" t="s">
        <v>86</v>
      </c>
      <c r="I41" s="110" t="s">
        <v>86</v>
      </c>
      <c r="J41" s="30">
        <f>IF($D$5=0,"",100*$D41/$D$40)</f>
        <v>11.987464999290873</v>
      </c>
      <c r="K41" s="92">
        <f t="shared" si="1"/>
        <v>54.471579506340007</v>
      </c>
      <c r="L41" s="93"/>
      <c r="M41" s="48"/>
      <c r="N41" s="48"/>
      <c r="O41" s="48"/>
      <c r="P41" s="48"/>
      <c r="Q41" s="48"/>
    </row>
    <row r="42" spans="1:26" s="5" customFormat="1" x14ac:dyDescent="0.2">
      <c r="A42" s="2"/>
      <c r="B42" s="99" t="s">
        <v>57</v>
      </c>
      <c r="C42" s="21">
        <f>C40-C41</f>
        <v>26956852493.239998</v>
      </c>
      <c r="D42" s="21">
        <f>D40-D41</f>
        <v>20441391595.940002</v>
      </c>
      <c r="E42" s="110" t="s">
        <v>86</v>
      </c>
      <c r="F42" s="110" t="s">
        <v>86</v>
      </c>
      <c r="G42" s="110" t="s">
        <v>86</v>
      </c>
      <c r="H42" s="110" t="s">
        <v>86</v>
      </c>
      <c r="I42" s="110" t="s">
        <v>86</v>
      </c>
      <c r="J42" s="30">
        <f>IF($D$5=0,"",100*$D42/$D$40)</f>
        <v>88.012535000709136</v>
      </c>
      <c r="K42" s="92">
        <f t="shared" si="1"/>
        <v>75.830038395862857</v>
      </c>
      <c r="L42" s="93"/>
      <c r="M42" s="49"/>
      <c r="N42" s="49"/>
      <c r="O42" s="50"/>
      <c r="P42" s="50"/>
      <c r="Q42" s="19"/>
    </row>
    <row r="43" spans="1:26" s="5" customFormat="1" x14ac:dyDescent="0.2">
      <c r="A43" s="2"/>
      <c r="B43" s="119" t="s">
        <v>96</v>
      </c>
      <c r="C43" s="87"/>
      <c r="D43" s="87"/>
      <c r="E43" s="118"/>
      <c r="F43" s="118"/>
      <c r="G43" s="118"/>
      <c r="H43" s="118"/>
      <c r="I43" s="118"/>
      <c r="J43" s="58"/>
      <c r="K43" s="58"/>
      <c r="L43" s="58"/>
      <c r="M43" s="49"/>
      <c r="N43" s="49"/>
      <c r="O43" s="50"/>
      <c r="P43" s="50"/>
      <c r="Q43" s="19"/>
    </row>
    <row r="44" spans="1:26" ht="18" customHeight="1" x14ac:dyDescent="0.2">
      <c r="B44" s="100" t="str">
        <f>CONCATENATE("Informacja z wykonania budżetów województw za ",$D$104," ",$C$105," rok    ",$C$107,"")</f>
        <v xml:space="preserve">Informacja z wykonania budżetów województw za III Kwartały 2023 rok    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26" s="5" customFormat="1" ht="10.5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21" t="s">
        <v>0</v>
      </c>
      <c r="C46" s="122" t="s">
        <v>36</v>
      </c>
      <c r="D46" s="122" t="s">
        <v>38</v>
      </c>
      <c r="E46" s="122" t="s">
        <v>37</v>
      </c>
      <c r="F46" s="122" t="s">
        <v>12</v>
      </c>
      <c r="G46" s="122"/>
      <c r="H46" s="122"/>
      <c r="I46" s="134" t="s">
        <v>68</v>
      </c>
      <c r="J46" s="122" t="s">
        <v>2</v>
      </c>
      <c r="K46" s="156" t="s">
        <v>18</v>
      </c>
      <c r="M46" s="10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21"/>
      <c r="C47" s="122"/>
      <c r="D47" s="122"/>
      <c r="E47" s="124"/>
      <c r="F47" s="123" t="s">
        <v>39</v>
      </c>
      <c r="G47" s="139" t="s">
        <v>24</v>
      </c>
      <c r="H47" s="124"/>
      <c r="I47" s="135"/>
      <c r="J47" s="122"/>
      <c r="K47" s="156"/>
      <c r="L47" s="11"/>
      <c r="M47" s="12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5.5" customHeight="1" x14ac:dyDescent="0.2">
      <c r="B48" s="121"/>
      <c r="C48" s="122"/>
      <c r="D48" s="122"/>
      <c r="E48" s="124"/>
      <c r="F48" s="124"/>
      <c r="G48" s="15" t="s">
        <v>34</v>
      </c>
      <c r="H48" s="15" t="s">
        <v>35</v>
      </c>
      <c r="I48" s="136"/>
      <c r="J48" s="122"/>
      <c r="K48" s="156"/>
      <c r="L48" s="11"/>
      <c r="M48" s="10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21"/>
      <c r="C49" s="131" t="s">
        <v>60</v>
      </c>
      <c r="D49" s="132"/>
      <c r="E49" s="132"/>
      <c r="F49" s="132"/>
      <c r="G49" s="132"/>
      <c r="H49" s="132"/>
      <c r="I49" s="133"/>
      <c r="J49" s="155" t="s">
        <v>4</v>
      </c>
      <c r="K49" s="155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4">
        <v>1</v>
      </c>
      <c r="C50" s="16">
        <v>2</v>
      </c>
      <c r="D50" s="16">
        <v>3</v>
      </c>
      <c r="E50" s="16">
        <v>4</v>
      </c>
      <c r="F50" s="14">
        <v>5</v>
      </c>
      <c r="G50" s="14">
        <v>6</v>
      </c>
      <c r="H50" s="16">
        <v>7</v>
      </c>
      <c r="I50" s="16">
        <v>8</v>
      </c>
      <c r="J50" s="14">
        <v>9</v>
      </c>
      <c r="K50" s="16">
        <v>10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7" customHeight="1" x14ac:dyDescent="0.2">
      <c r="B51" s="95" t="s">
        <v>44</v>
      </c>
      <c r="C51" s="61">
        <f>35469284342.57</f>
        <v>35469284342.57</v>
      </c>
      <c r="D51" s="72">
        <f>18412775985.9</f>
        <v>18412775985.900002</v>
      </c>
      <c r="E51" s="72">
        <f>28932647917.89</f>
        <v>28932647917.889999</v>
      </c>
      <c r="F51" s="61">
        <f>708513957.03</f>
        <v>708513957.02999997</v>
      </c>
      <c r="G51" s="61">
        <f>0</f>
        <v>0</v>
      </c>
      <c r="H51" s="61">
        <f>597292.24</f>
        <v>597292.24</v>
      </c>
      <c r="I51" s="73">
        <f>0</f>
        <v>0</v>
      </c>
      <c r="J51" s="47">
        <f>IF($D$51=0,"",100*$D51/$D$51)</f>
        <v>100</v>
      </c>
      <c r="K51" s="47">
        <f>IF(C51=0,"",100*D51/C51)</f>
        <v>51.91189032196263</v>
      </c>
      <c r="L51" s="34"/>
      <c r="O51" s="88"/>
    </row>
    <row r="52" spans="2:26" x14ac:dyDescent="0.2">
      <c r="B52" s="96" t="s">
        <v>14</v>
      </c>
      <c r="C52" s="23">
        <f>14327279168.73</f>
        <v>14327279168.73</v>
      </c>
      <c r="D52" s="23">
        <f>5264393729.93</f>
        <v>5264393729.9300003</v>
      </c>
      <c r="E52" s="23">
        <f>11339769432.76</f>
        <v>11339769432.76</v>
      </c>
      <c r="F52" s="23">
        <f>341609963.19</f>
        <v>341609963.19</v>
      </c>
      <c r="G52" s="23">
        <f>0</f>
        <v>0</v>
      </c>
      <c r="H52" s="23">
        <f>467736.14</f>
        <v>467736.14</v>
      </c>
      <c r="I52" s="74">
        <f>0</f>
        <v>0</v>
      </c>
      <c r="J52" s="47">
        <f t="shared" ref="J52:J60" si="2">IF($D$51=0,"",100*$D52/$D$51)</f>
        <v>28.590983423473617</v>
      </c>
      <c r="K52" s="47">
        <f t="shared" ref="K52:K60" si="3">IF(C52=0,"",100*D52/C52)</f>
        <v>36.743848346445304</v>
      </c>
      <c r="L52" s="34"/>
      <c r="O52" s="81"/>
    </row>
    <row r="53" spans="2:26" ht="12.75" customHeight="1" outlineLevel="1" x14ac:dyDescent="0.2">
      <c r="B53" s="28" t="s">
        <v>13</v>
      </c>
      <c r="C53" s="20">
        <f>13668251046.5</f>
        <v>13668251046.5</v>
      </c>
      <c r="D53" s="20">
        <f>4963132909.59</f>
        <v>4963132909.5900002</v>
      </c>
      <c r="E53" s="20">
        <f>11006116215.92</f>
        <v>11006116215.92</v>
      </c>
      <c r="F53" s="20">
        <f>341609963.19</f>
        <v>341609963.19</v>
      </c>
      <c r="G53" s="20">
        <f>0</f>
        <v>0</v>
      </c>
      <c r="H53" s="20">
        <f>467736.14</f>
        <v>467736.14</v>
      </c>
      <c r="I53" s="75">
        <f>0</f>
        <v>0</v>
      </c>
      <c r="J53" s="47">
        <f t="shared" si="2"/>
        <v>26.954832413051847</v>
      </c>
      <c r="K53" s="47">
        <f t="shared" si="3"/>
        <v>36.311397066861005</v>
      </c>
      <c r="L53" s="34"/>
      <c r="O53" s="87"/>
    </row>
    <row r="54" spans="2:26" ht="27" customHeight="1" x14ac:dyDescent="0.2">
      <c r="B54" s="96" t="s">
        <v>45</v>
      </c>
      <c r="C54" s="23">
        <f t="shared" ref="C54:I54" si="4">C51-C52</f>
        <v>21142005173.84</v>
      </c>
      <c r="D54" s="23">
        <f>D51-D52</f>
        <v>13148382255.970001</v>
      </c>
      <c r="E54" s="23">
        <f>E51-E52</f>
        <v>17592878485.129997</v>
      </c>
      <c r="F54" s="23">
        <f t="shared" si="4"/>
        <v>366903993.83999997</v>
      </c>
      <c r="G54" s="23">
        <f t="shared" si="4"/>
        <v>0</v>
      </c>
      <c r="H54" s="23">
        <f t="shared" si="4"/>
        <v>129556.09999999998</v>
      </c>
      <c r="I54" s="74">
        <f t="shared" si="4"/>
        <v>0</v>
      </c>
      <c r="J54" s="47">
        <f t="shared" si="2"/>
        <v>71.409016576526383</v>
      </c>
      <c r="K54" s="47">
        <f t="shared" si="3"/>
        <v>62.190800483953687</v>
      </c>
      <c r="L54" s="34"/>
      <c r="O54" s="81"/>
    </row>
    <row r="55" spans="2:26" ht="22.5" outlineLevel="1" x14ac:dyDescent="0.2">
      <c r="B55" s="28" t="s">
        <v>79</v>
      </c>
      <c r="C55" s="20">
        <f>4916719651.35</f>
        <v>4916719651.3500004</v>
      </c>
      <c r="D55" s="20">
        <f>3306351229.91001</f>
        <v>3306351229.9100099</v>
      </c>
      <c r="E55" s="20">
        <f>4410369346.50999</f>
        <v>4410369346.5099897</v>
      </c>
      <c r="F55" s="20">
        <f>63586157.82</f>
        <v>63586157.82</v>
      </c>
      <c r="G55" s="20">
        <f>0</f>
        <v>0</v>
      </c>
      <c r="H55" s="20">
        <f>44.84</f>
        <v>44.84</v>
      </c>
      <c r="I55" s="75">
        <f>0</f>
        <v>0</v>
      </c>
      <c r="J55" s="47">
        <f t="shared" si="2"/>
        <v>17.956831889129173</v>
      </c>
      <c r="K55" s="47">
        <f t="shared" si="3"/>
        <v>67.247096933870807</v>
      </c>
      <c r="L55" s="34"/>
      <c r="O55" s="87"/>
    </row>
    <row r="56" spans="2:26" ht="12.75" customHeight="1" outlineLevel="1" x14ac:dyDescent="0.2">
      <c r="B56" s="60" t="s">
        <v>33</v>
      </c>
      <c r="C56" s="62">
        <f>8107252371.45</f>
        <v>8107252371.4499998</v>
      </c>
      <c r="D56" s="62">
        <f>5744784902.08</f>
        <v>5744784902.0799999</v>
      </c>
      <c r="E56" s="62">
        <f>7421054664.2</f>
        <v>7421054664.1999998</v>
      </c>
      <c r="F56" s="62">
        <f>32539391.43</f>
        <v>32539391.43</v>
      </c>
      <c r="G56" s="62">
        <f>0</f>
        <v>0</v>
      </c>
      <c r="H56" s="62">
        <f>0</f>
        <v>0</v>
      </c>
      <c r="I56" s="76">
        <f>0</f>
        <v>0</v>
      </c>
      <c r="J56" s="47">
        <f t="shared" si="2"/>
        <v>31.199993452802545</v>
      </c>
      <c r="K56" s="47">
        <f t="shared" si="3"/>
        <v>70.859825732210837</v>
      </c>
      <c r="L56" s="34"/>
      <c r="O56" s="81"/>
    </row>
    <row r="57" spans="2:26" ht="12.75" customHeight="1" outlineLevel="1" x14ac:dyDescent="0.2">
      <c r="B57" s="60" t="s">
        <v>32</v>
      </c>
      <c r="C57" s="21">
        <f>424038848.33</f>
        <v>424038848.32999998</v>
      </c>
      <c r="D57" s="21">
        <f>223894732.42</f>
        <v>223894732.41999999</v>
      </c>
      <c r="E57" s="21">
        <f>265436117.09</f>
        <v>265436117.09</v>
      </c>
      <c r="F57" s="21">
        <f>15710040.32</f>
        <v>15710040.32</v>
      </c>
      <c r="G57" s="21">
        <f>0</f>
        <v>0</v>
      </c>
      <c r="H57" s="21">
        <f>0</f>
        <v>0</v>
      </c>
      <c r="I57" s="77">
        <f>0</f>
        <v>0</v>
      </c>
      <c r="J57" s="47">
        <f t="shared" si="2"/>
        <v>1.2159748893455959</v>
      </c>
      <c r="K57" s="47">
        <f t="shared" si="3"/>
        <v>52.800523655266197</v>
      </c>
      <c r="L57" s="34"/>
      <c r="O57" s="87"/>
    </row>
    <row r="58" spans="2:26" ht="22.5" customHeight="1" outlineLevel="1" x14ac:dyDescent="0.2">
      <c r="B58" s="60" t="s">
        <v>51</v>
      </c>
      <c r="C58" s="62">
        <f>74431485.28</f>
        <v>74431485.280000001</v>
      </c>
      <c r="D58" s="62">
        <f>21683285.77</f>
        <v>21683285.77</v>
      </c>
      <c r="E58" s="62">
        <f>30859662.95</f>
        <v>30859662.949999999</v>
      </c>
      <c r="F58" s="62">
        <f>0</f>
        <v>0</v>
      </c>
      <c r="G58" s="62">
        <f>0</f>
        <v>0</v>
      </c>
      <c r="H58" s="62">
        <f>0</f>
        <v>0</v>
      </c>
      <c r="I58" s="76">
        <f>0</f>
        <v>0</v>
      </c>
      <c r="J58" s="47">
        <f t="shared" si="2"/>
        <v>0.11776217658111121</v>
      </c>
      <c r="K58" s="47">
        <f t="shared" si="3"/>
        <v>29.131873008352251</v>
      </c>
      <c r="L58" s="34"/>
      <c r="O58" s="81"/>
    </row>
    <row r="59" spans="2:26" ht="22.5" outlineLevel="1" x14ac:dyDescent="0.2">
      <c r="B59" s="60" t="s">
        <v>52</v>
      </c>
      <c r="C59" s="62">
        <f>198348294.77</f>
        <v>198348294.77000001</v>
      </c>
      <c r="D59" s="62">
        <f>124099776.5</f>
        <v>124099776.5</v>
      </c>
      <c r="E59" s="62">
        <f>162671757.2</f>
        <v>162671757.19999999</v>
      </c>
      <c r="F59" s="62">
        <f>3702466.75</f>
        <v>3702466.75</v>
      </c>
      <c r="G59" s="62">
        <f>0</f>
        <v>0</v>
      </c>
      <c r="H59" s="62">
        <f>0</f>
        <v>0</v>
      </c>
      <c r="I59" s="69">
        <f>0</f>
        <v>0</v>
      </c>
      <c r="J59" s="47">
        <f t="shared" si="2"/>
        <v>0.67398732594711519</v>
      </c>
      <c r="K59" s="47">
        <f t="shared" si="3"/>
        <v>62.56659612017495</v>
      </c>
      <c r="L59" s="34"/>
      <c r="O59" s="81"/>
    </row>
    <row r="60" spans="2:26" ht="12.75" customHeight="1" outlineLevel="1" x14ac:dyDescent="0.2">
      <c r="B60" s="60" t="s">
        <v>31</v>
      </c>
      <c r="C60" s="21">
        <f t="shared" ref="C60:I60" si="5">C54-C55-C56-C57-C58-C59</f>
        <v>7421214522.6599998</v>
      </c>
      <c r="D60" s="21">
        <f>D54-D55-D56-D57-D58-D59</f>
        <v>3727568329.2899919</v>
      </c>
      <c r="E60" s="78">
        <f>E54-E55-E56-E57-E58-E59</f>
        <v>5302486937.180007</v>
      </c>
      <c r="F60" s="78">
        <f t="shared" si="5"/>
        <v>251365937.51999998</v>
      </c>
      <c r="G60" s="78">
        <f t="shared" si="5"/>
        <v>0</v>
      </c>
      <c r="H60" s="78">
        <f t="shared" si="5"/>
        <v>129511.25999999998</v>
      </c>
      <c r="I60" s="79">
        <f t="shared" si="5"/>
        <v>0</v>
      </c>
      <c r="J60" s="80">
        <f t="shared" si="2"/>
        <v>20.244466842720847</v>
      </c>
      <c r="K60" s="47">
        <f t="shared" si="3"/>
        <v>50.228548412233643</v>
      </c>
      <c r="L60" s="34"/>
      <c r="O60" s="87"/>
    </row>
    <row r="61" spans="2:26" x14ac:dyDescent="0.2">
      <c r="B61" s="17" t="s">
        <v>15</v>
      </c>
      <c r="C61" s="115">
        <f>C5-C51</f>
        <v>-3401226713.0699997</v>
      </c>
      <c r="D61" s="115">
        <f>D5-D51</f>
        <v>4812769779.5699997</v>
      </c>
      <c r="E61" s="84"/>
      <c r="F61" s="85"/>
      <c r="G61" s="85"/>
      <c r="H61" s="85"/>
      <c r="I61" s="154"/>
      <c r="J61" s="154"/>
      <c r="K61" s="25"/>
      <c r="L61" s="25"/>
      <c r="M61" s="51"/>
    </row>
    <row r="62" spans="2:26" ht="38.25" x14ac:dyDescent="0.2">
      <c r="B62" s="97" t="s">
        <v>94</v>
      </c>
      <c r="C62" s="115">
        <f>+C42-C54</f>
        <v>5814847319.3999977</v>
      </c>
      <c r="D62" s="115">
        <f>+D42-D54</f>
        <v>7293009339.9700012</v>
      </c>
      <c r="E62" s="83"/>
      <c r="F62" s="82"/>
      <c r="G62" s="82"/>
      <c r="H62" s="82"/>
      <c r="I62" s="141"/>
      <c r="J62" s="142"/>
      <c r="K62" s="34"/>
      <c r="L62" s="52"/>
      <c r="M62" s="52"/>
    </row>
    <row r="63" spans="2:26" ht="13.5" customHeight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ht="12" customHeight="1" x14ac:dyDescent="0.2">
      <c r="B64" s="116" t="s">
        <v>97</v>
      </c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27" customHeight="1" x14ac:dyDescent="0.2">
      <c r="B65" s="117" t="s">
        <v>69</v>
      </c>
      <c r="C65" s="115">
        <f>8057302669.67</f>
        <v>8057302669.6700001</v>
      </c>
      <c r="D65" s="115">
        <f>3645731959.5</f>
        <v>3645731959.5</v>
      </c>
      <c r="E65" s="23">
        <f>6254836067.72998</f>
        <v>6254836067.7299805</v>
      </c>
      <c r="F65" s="23">
        <f>144571889.69</f>
        <v>144571889.69</v>
      </c>
      <c r="G65" s="23">
        <f>0</f>
        <v>0</v>
      </c>
      <c r="H65" s="23">
        <f>176709.17</f>
        <v>176709.17</v>
      </c>
      <c r="I65" s="86">
        <f>0</f>
        <v>0</v>
      </c>
      <c r="J65" s="32">
        <f>IF($D$65=0,"",100*$D65/$D$65)</f>
        <v>100</v>
      </c>
      <c r="K65" s="32">
        <f>IF(C65=0,"",100*D65/C65)</f>
        <v>45.247548825782374</v>
      </c>
      <c r="L65" s="52"/>
    </row>
    <row r="66" spans="2:13" ht="12.75" customHeight="1" x14ac:dyDescent="0.2">
      <c r="B66" s="101" t="s">
        <v>58</v>
      </c>
      <c r="C66" s="62">
        <f>5155969928.83</f>
        <v>5155969928.8299999</v>
      </c>
      <c r="D66" s="62">
        <f>2160771887.98</f>
        <v>2160771887.98</v>
      </c>
      <c r="E66" s="62">
        <f>4217332850.05</f>
        <v>4217332850.0500002</v>
      </c>
      <c r="F66" s="62">
        <f>124384206</f>
        <v>124384206</v>
      </c>
      <c r="G66" s="62">
        <f>0</f>
        <v>0</v>
      </c>
      <c r="H66" s="62">
        <f>176709.17</f>
        <v>176709.17</v>
      </c>
      <c r="I66" s="69">
        <f>0</f>
        <v>0</v>
      </c>
      <c r="J66" s="32">
        <f>IF($D$65=0,"",100*$D66/$D$65)</f>
        <v>59.268534055266713</v>
      </c>
      <c r="K66" s="32">
        <f>IF(C66=0,"",100*D66/C66)</f>
        <v>41.908155357886763</v>
      </c>
      <c r="L66" s="34"/>
    </row>
    <row r="67" spans="2:13" ht="12.75" customHeight="1" x14ac:dyDescent="0.2">
      <c r="B67" s="101" t="s">
        <v>59</v>
      </c>
      <c r="C67" s="62">
        <f t="shared" ref="C67:I67" si="6">C65-C66</f>
        <v>2901332740.8400002</v>
      </c>
      <c r="D67" s="62">
        <f t="shared" si="6"/>
        <v>1484960071.52</v>
      </c>
      <c r="E67" s="62">
        <f t="shared" si="6"/>
        <v>2037503217.6799803</v>
      </c>
      <c r="F67" s="62">
        <f t="shared" si="6"/>
        <v>20187683.689999998</v>
      </c>
      <c r="G67" s="62">
        <f t="shared" si="6"/>
        <v>0</v>
      </c>
      <c r="H67" s="62">
        <f t="shared" si="6"/>
        <v>0</v>
      </c>
      <c r="I67" s="71">
        <f t="shared" si="6"/>
        <v>0</v>
      </c>
      <c r="J67" s="32">
        <f>IF($D$65=0,"",100*$D67/$D$65)</f>
        <v>40.731465944733287</v>
      </c>
      <c r="K67" s="32">
        <f>IF(C67=0,"",100*D67/C67)</f>
        <v>51.181998211279662</v>
      </c>
      <c r="L67" s="34"/>
    </row>
    <row r="68" spans="2:13" ht="18" customHeight="1" x14ac:dyDescent="0.2">
      <c r="B68" s="100" t="str">
        <f>CONCATENATE("Informacja z wykonania budżetów województw za ",$D$104," ",$C$105," rok    ",$C$107,"")</f>
        <v xml:space="preserve">Informacja z wykonania budżetów województw za III Kwartały 2023 rok    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</row>
    <row r="69" spans="2:13" ht="6" customHeight="1" x14ac:dyDescent="0.2"/>
    <row r="70" spans="2:13" x14ac:dyDescent="0.2">
      <c r="B70" s="37" t="s">
        <v>16</v>
      </c>
      <c r="C70" s="70" t="s">
        <v>17</v>
      </c>
      <c r="D70" s="70" t="s">
        <v>1</v>
      </c>
      <c r="E70" s="143" t="s">
        <v>86</v>
      </c>
      <c r="F70" s="144"/>
      <c r="G70" s="144"/>
      <c r="H70" s="144"/>
      <c r="I70" s="145"/>
      <c r="J70" s="16" t="s">
        <v>22</v>
      </c>
      <c r="K70" s="16" t="s">
        <v>23</v>
      </c>
    </row>
    <row r="71" spans="2:13" x14ac:dyDescent="0.2">
      <c r="B71" s="37"/>
      <c r="C71" s="123" t="s">
        <v>60</v>
      </c>
      <c r="D71" s="140"/>
      <c r="E71" s="146"/>
      <c r="F71" s="147"/>
      <c r="G71" s="147"/>
      <c r="H71" s="147"/>
      <c r="I71" s="148"/>
      <c r="J71" s="152" t="s">
        <v>4</v>
      </c>
      <c r="K71" s="153"/>
    </row>
    <row r="72" spans="2:13" x14ac:dyDescent="0.2">
      <c r="B72" s="35">
        <v>1</v>
      </c>
      <c r="C72" s="89">
        <v>2</v>
      </c>
      <c r="D72" s="89">
        <v>3</v>
      </c>
      <c r="E72" s="149"/>
      <c r="F72" s="150"/>
      <c r="G72" s="150"/>
      <c r="H72" s="150"/>
      <c r="I72" s="151"/>
      <c r="J72" s="36">
        <v>4</v>
      </c>
      <c r="K72" s="36">
        <v>5</v>
      </c>
    </row>
    <row r="73" spans="2:13" ht="27" customHeight="1" x14ac:dyDescent="0.2">
      <c r="B73" s="90" t="s">
        <v>46</v>
      </c>
      <c r="C73" s="39">
        <f>4852609073.75</f>
        <v>4852609073.75</v>
      </c>
      <c r="D73" s="39">
        <f>4402513997.27</f>
        <v>4402513997.2700005</v>
      </c>
      <c r="E73" s="108" t="s">
        <v>86</v>
      </c>
      <c r="F73" s="108" t="s">
        <v>86</v>
      </c>
      <c r="G73" s="108" t="s">
        <v>86</v>
      </c>
      <c r="H73" s="108" t="s">
        <v>86</v>
      </c>
      <c r="I73" s="108" t="s">
        <v>86</v>
      </c>
      <c r="J73" s="38">
        <f>IF($D$73=0,"",100*$D73/$D$73)</f>
        <v>100</v>
      </c>
      <c r="K73" s="31">
        <f t="shared" ref="K73:K87" si="7">IF(C73=0,"",100*D73/C73)</f>
        <v>90.724678834840191</v>
      </c>
    </row>
    <row r="74" spans="2:13" ht="33.75" x14ac:dyDescent="0.2">
      <c r="B74" s="105" t="s">
        <v>102</v>
      </c>
      <c r="C74" s="40">
        <f>1658041010</f>
        <v>1658041010</v>
      </c>
      <c r="D74" s="40">
        <f>0</f>
        <v>0</v>
      </c>
      <c r="E74" s="109" t="s">
        <v>86</v>
      </c>
      <c r="F74" s="109" t="s">
        <v>86</v>
      </c>
      <c r="G74" s="109" t="s">
        <v>86</v>
      </c>
      <c r="H74" s="109" t="s">
        <v>86</v>
      </c>
      <c r="I74" s="109" t="s">
        <v>86</v>
      </c>
      <c r="J74" s="45">
        <f t="shared" ref="J74:J83" si="8">IF($D$73=0,"",100*$D74/$D$73)</f>
        <v>0</v>
      </c>
      <c r="K74" s="46">
        <f t="shared" si="7"/>
        <v>0</v>
      </c>
    </row>
    <row r="75" spans="2:13" ht="22.5" x14ac:dyDescent="0.2">
      <c r="B75" s="106" t="s">
        <v>70</v>
      </c>
      <c r="C75" s="64">
        <f>181353019</f>
        <v>181353019</v>
      </c>
      <c r="D75" s="64">
        <f>0</f>
        <v>0</v>
      </c>
      <c r="E75" s="109" t="s">
        <v>86</v>
      </c>
      <c r="F75" s="109" t="s">
        <v>86</v>
      </c>
      <c r="G75" s="109" t="s">
        <v>86</v>
      </c>
      <c r="H75" s="109" t="s">
        <v>86</v>
      </c>
      <c r="I75" s="109" t="s">
        <v>86</v>
      </c>
      <c r="J75" s="65">
        <f t="shared" si="8"/>
        <v>0</v>
      </c>
      <c r="K75" s="66">
        <f t="shared" si="7"/>
        <v>0</v>
      </c>
    </row>
    <row r="76" spans="2:13" ht="12.75" customHeight="1" x14ac:dyDescent="0.2">
      <c r="B76" s="63" t="s">
        <v>71</v>
      </c>
      <c r="C76" s="64">
        <f>120706822</f>
        <v>120706822</v>
      </c>
      <c r="D76" s="64">
        <f>22510236.02</f>
        <v>22510236.02</v>
      </c>
      <c r="E76" s="109" t="s">
        <v>86</v>
      </c>
      <c r="F76" s="109" t="s">
        <v>86</v>
      </c>
      <c r="G76" s="109" t="s">
        <v>86</v>
      </c>
      <c r="H76" s="109" t="s">
        <v>86</v>
      </c>
      <c r="I76" s="109" t="s">
        <v>86</v>
      </c>
      <c r="J76" s="65">
        <f t="shared" si="8"/>
        <v>0.51130413291039167</v>
      </c>
      <c r="K76" s="66">
        <f t="shared" si="7"/>
        <v>18.648685838154201</v>
      </c>
    </row>
    <row r="77" spans="2:13" ht="46.5" customHeight="1" x14ac:dyDescent="0.2">
      <c r="B77" s="63" t="s">
        <v>80</v>
      </c>
      <c r="C77" s="64">
        <f>519278170.57</f>
        <v>519278170.56999999</v>
      </c>
      <c r="D77" s="64">
        <f>1287729235.26</f>
        <v>1287729235.26</v>
      </c>
      <c r="E77" s="109" t="s">
        <v>86</v>
      </c>
      <c r="F77" s="109" t="s">
        <v>86</v>
      </c>
      <c r="G77" s="109" t="s">
        <v>86</v>
      </c>
      <c r="H77" s="109" t="s">
        <v>86</v>
      </c>
      <c r="I77" s="109" t="s">
        <v>86</v>
      </c>
      <c r="J77" s="65">
        <f t="shared" si="8"/>
        <v>29.24986123970352</v>
      </c>
      <c r="K77" s="66">
        <f t="shared" si="7"/>
        <v>247.98447310937189</v>
      </c>
    </row>
    <row r="78" spans="2:13" ht="35.25" customHeight="1" x14ac:dyDescent="0.2">
      <c r="B78" s="63" t="s">
        <v>81</v>
      </c>
      <c r="C78" s="64">
        <f>430795641.94</f>
        <v>430795641.94</v>
      </c>
      <c r="D78" s="64">
        <f>532407807.39</f>
        <v>532407807.38999999</v>
      </c>
      <c r="E78" s="109" t="s">
        <v>86</v>
      </c>
      <c r="F78" s="109" t="s">
        <v>86</v>
      </c>
      <c r="G78" s="109" t="s">
        <v>86</v>
      </c>
      <c r="H78" s="109" t="s">
        <v>86</v>
      </c>
      <c r="I78" s="109" t="s">
        <v>86</v>
      </c>
      <c r="J78" s="65">
        <f t="shared" si="8"/>
        <v>12.093267794722427</v>
      </c>
      <c r="K78" s="66">
        <f t="shared" si="7"/>
        <v>123.58709224457574</v>
      </c>
    </row>
    <row r="79" spans="2:13" ht="12.75" customHeight="1" x14ac:dyDescent="0.2">
      <c r="B79" s="63" t="s">
        <v>72</v>
      </c>
      <c r="C79" s="64">
        <f>0</f>
        <v>0</v>
      </c>
      <c r="D79" s="64">
        <f>0</f>
        <v>0</v>
      </c>
      <c r="E79" s="109" t="s">
        <v>86</v>
      </c>
      <c r="F79" s="109" t="s">
        <v>86</v>
      </c>
      <c r="G79" s="109" t="s">
        <v>86</v>
      </c>
      <c r="H79" s="109" t="s">
        <v>86</v>
      </c>
      <c r="I79" s="109" t="s">
        <v>86</v>
      </c>
      <c r="J79" s="65">
        <f t="shared" si="8"/>
        <v>0</v>
      </c>
      <c r="K79" s="66" t="str">
        <f t="shared" si="7"/>
        <v/>
      </c>
    </row>
    <row r="80" spans="2:13" ht="33.75" x14ac:dyDescent="0.2">
      <c r="B80" s="63" t="s">
        <v>75</v>
      </c>
      <c r="C80" s="64">
        <f>1641333432.24</f>
        <v>1641333432.24</v>
      </c>
      <c r="D80" s="64">
        <f>2377412721.6</f>
        <v>2377412721.5999999</v>
      </c>
      <c r="E80" s="109" t="s">
        <v>86</v>
      </c>
      <c r="F80" s="109" t="s">
        <v>86</v>
      </c>
      <c r="G80" s="109" t="s">
        <v>86</v>
      </c>
      <c r="H80" s="109" t="s">
        <v>86</v>
      </c>
      <c r="I80" s="109" t="s">
        <v>86</v>
      </c>
      <c r="J80" s="65">
        <f t="shared" si="8"/>
        <v>54.001252990319486</v>
      </c>
      <c r="K80" s="66">
        <f t="shared" si="7"/>
        <v>144.84642028862106</v>
      </c>
    </row>
    <row r="81" spans="2:11" ht="56.25" x14ac:dyDescent="0.2">
      <c r="B81" s="63" t="s">
        <v>103</v>
      </c>
      <c r="C81" s="64">
        <f>0</f>
        <v>0</v>
      </c>
      <c r="D81" s="64">
        <f>0</f>
        <v>0</v>
      </c>
      <c r="E81" s="109" t="s">
        <v>86</v>
      </c>
      <c r="F81" s="109" t="s">
        <v>86</v>
      </c>
      <c r="G81" s="109" t="s">
        <v>86</v>
      </c>
      <c r="H81" s="109" t="s">
        <v>86</v>
      </c>
      <c r="I81" s="109" t="s">
        <v>86</v>
      </c>
      <c r="J81" s="65">
        <f t="shared" si="8"/>
        <v>0</v>
      </c>
      <c r="K81" s="66" t="str">
        <f>IF(C81=0,"",100*D81/C81)</f>
        <v/>
      </c>
    </row>
    <row r="82" spans="2:11" x14ac:dyDescent="0.2">
      <c r="B82" s="63" t="s">
        <v>98</v>
      </c>
      <c r="C82" s="64">
        <f>482453997</f>
        <v>482453997</v>
      </c>
      <c r="D82" s="64">
        <f>182453997</f>
        <v>182453997</v>
      </c>
      <c r="E82" s="109" t="s">
        <v>86</v>
      </c>
      <c r="F82" s="109" t="s">
        <v>86</v>
      </c>
      <c r="G82" s="109" t="s">
        <v>86</v>
      </c>
      <c r="H82" s="109" t="s">
        <v>86</v>
      </c>
      <c r="I82" s="109" t="s">
        <v>86</v>
      </c>
      <c r="J82" s="65">
        <f t="shared" si="8"/>
        <v>4.1443138423441637</v>
      </c>
      <c r="K82" s="66">
        <f>IF(C82=0,"",100*D82/C82)</f>
        <v>37.817905569139683</v>
      </c>
    </row>
    <row r="83" spans="2:11" ht="22.5" x14ac:dyDescent="0.2">
      <c r="B83" s="106" t="s">
        <v>99</v>
      </c>
      <c r="C83" s="64">
        <f>182453997</f>
        <v>182453997</v>
      </c>
      <c r="D83" s="64">
        <f>182453997</f>
        <v>182453997</v>
      </c>
      <c r="E83" s="109" t="s">
        <v>86</v>
      </c>
      <c r="F83" s="109" t="s">
        <v>86</v>
      </c>
      <c r="G83" s="109" t="s">
        <v>86</v>
      </c>
      <c r="H83" s="109" t="s">
        <v>86</v>
      </c>
      <c r="I83" s="109" t="s">
        <v>86</v>
      </c>
      <c r="J83" s="65">
        <f t="shared" si="8"/>
        <v>4.1443138423441637</v>
      </c>
      <c r="K83" s="66">
        <f>IF(C83=0,"",100*D83/C83)</f>
        <v>100</v>
      </c>
    </row>
    <row r="84" spans="2:11" ht="27" customHeight="1" x14ac:dyDescent="0.2">
      <c r="B84" s="90" t="s">
        <v>47</v>
      </c>
      <c r="C84" s="43">
        <f>1358899746.68</f>
        <v>1358899746.6800001</v>
      </c>
      <c r="D84" s="43">
        <f>1258331383.22</f>
        <v>1258331383.22</v>
      </c>
      <c r="E84" s="108" t="s">
        <v>86</v>
      </c>
      <c r="F84" s="108" t="s">
        <v>86</v>
      </c>
      <c r="G84" s="108" t="s">
        <v>86</v>
      </c>
      <c r="H84" s="108" t="s">
        <v>86</v>
      </c>
      <c r="I84" s="108" t="s">
        <v>86</v>
      </c>
      <c r="J84" s="38">
        <f t="shared" ref="J84:J89" si="9">IF($D$84=0,"",100*$D84/$D$84)</f>
        <v>100</v>
      </c>
      <c r="K84" s="31">
        <f t="shared" si="7"/>
        <v>92.599280137795006</v>
      </c>
    </row>
    <row r="85" spans="2:11" ht="24.75" customHeight="1" x14ac:dyDescent="0.2">
      <c r="B85" s="105" t="s">
        <v>73</v>
      </c>
      <c r="C85" s="40">
        <f>868527285.68</f>
        <v>868527285.67999995</v>
      </c>
      <c r="D85" s="42">
        <f>439251009.05</f>
        <v>439251009.05000001</v>
      </c>
      <c r="E85" s="109" t="s">
        <v>86</v>
      </c>
      <c r="F85" s="109" t="s">
        <v>86</v>
      </c>
      <c r="G85" s="109" t="s">
        <v>86</v>
      </c>
      <c r="H85" s="109" t="s">
        <v>86</v>
      </c>
      <c r="I85" s="109" t="s">
        <v>86</v>
      </c>
      <c r="J85" s="45">
        <f t="shared" si="9"/>
        <v>34.907419055700665</v>
      </c>
      <c r="K85" s="46">
        <f t="shared" si="7"/>
        <v>50.574232530425945</v>
      </c>
    </row>
    <row r="86" spans="2:11" ht="12.75" customHeight="1" x14ac:dyDescent="0.2">
      <c r="B86" s="106" t="s">
        <v>74</v>
      </c>
      <c r="C86" s="64">
        <f>24000000</f>
        <v>24000000</v>
      </c>
      <c r="D86" s="64">
        <f>0</f>
        <v>0</v>
      </c>
      <c r="E86" s="109" t="s">
        <v>86</v>
      </c>
      <c r="F86" s="109" t="s">
        <v>86</v>
      </c>
      <c r="G86" s="109" t="s">
        <v>86</v>
      </c>
      <c r="H86" s="109" t="s">
        <v>86</v>
      </c>
      <c r="I86" s="109" t="s">
        <v>86</v>
      </c>
      <c r="J86" s="65">
        <f t="shared" si="9"/>
        <v>0</v>
      </c>
      <c r="K86" s="66">
        <f t="shared" si="7"/>
        <v>0</v>
      </c>
    </row>
    <row r="87" spans="2:11" ht="12.75" customHeight="1" x14ac:dyDescent="0.2">
      <c r="B87" s="63" t="s">
        <v>82</v>
      </c>
      <c r="C87" s="64">
        <f>190372461</f>
        <v>190372461</v>
      </c>
      <c r="D87" s="64">
        <f>119080374.17</f>
        <v>119080374.17</v>
      </c>
      <c r="E87" s="109" t="s">
        <v>86</v>
      </c>
      <c r="F87" s="109" t="s">
        <v>86</v>
      </c>
      <c r="G87" s="109" t="s">
        <v>86</v>
      </c>
      <c r="H87" s="109" t="s">
        <v>86</v>
      </c>
      <c r="I87" s="109" t="s">
        <v>86</v>
      </c>
      <c r="J87" s="65">
        <f t="shared" si="9"/>
        <v>9.4633556595624242</v>
      </c>
      <c r="K87" s="66">
        <f t="shared" si="7"/>
        <v>62.551260589103798</v>
      </c>
    </row>
    <row r="88" spans="2:11" ht="12.75" customHeight="1" x14ac:dyDescent="0.2">
      <c r="B88" s="63" t="s">
        <v>100</v>
      </c>
      <c r="C88" s="64">
        <f>300000000</f>
        <v>300000000</v>
      </c>
      <c r="D88" s="64">
        <f>700000000</f>
        <v>700000000</v>
      </c>
      <c r="E88" s="109" t="s">
        <v>86</v>
      </c>
      <c r="F88" s="109" t="s">
        <v>86</v>
      </c>
      <c r="G88" s="109" t="s">
        <v>86</v>
      </c>
      <c r="H88" s="109" t="s">
        <v>86</v>
      </c>
      <c r="I88" s="109" t="s">
        <v>86</v>
      </c>
      <c r="J88" s="65">
        <f t="shared" si="9"/>
        <v>55.629225284736911</v>
      </c>
      <c r="K88" s="66">
        <f>IF(C88=0,"",100*D88/C88)</f>
        <v>233.33333333333334</v>
      </c>
    </row>
    <row r="89" spans="2:11" ht="22.5" x14ac:dyDescent="0.2">
      <c r="B89" s="106" t="s">
        <v>101</v>
      </c>
      <c r="C89" s="64">
        <f>0</f>
        <v>0</v>
      </c>
      <c r="D89" s="64">
        <f>0</f>
        <v>0</v>
      </c>
      <c r="E89" s="109" t="s">
        <v>86</v>
      </c>
      <c r="F89" s="109" t="s">
        <v>86</v>
      </c>
      <c r="G89" s="109" t="s">
        <v>86</v>
      </c>
      <c r="H89" s="109" t="s">
        <v>86</v>
      </c>
      <c r="I89" s="109" t="s">
        <v>86</v>
      </c>
      <c r="J89" s="65">
        <f t="shared" si="9"/>
        <v>0</v>
      </c>
      <c r="K89" s="66" t="str">
        <f>IF(C89=0,"",100*D89/C89)</f>
        <v/>
      </c>
    </row>
    <row r="91" spans="2:11" x14ac:dyDescent="0.2">
      <c r="B91" s="37" t="s">
        <v>16</v>
      </c>
      <c r="C91" s="70" t="s">
        <v>17</v>
      </c>
      <c r="D91" s="16" t="s">
        <v>1</v>
      </c>
    </row>
    <row r="92" spans="2:11" x14ac:dyDescent="0.2">
      <c r="B92" s="37"/>
      <c r="C92" s="123" t="s">
        <v>60</v>
      </c>
      <c r="D92" s="140"/>
    </row>
    <row r="93" spans="2:11" x14ac:dyDescent="0.2">
      <c r="B93" s="35">
        <v>1</v>
      </c>
      <c r="C93" s="89">
        <v>2</v>
      </c>
      <c r="D93" s="36">
        <v>3</v>
      </c>
    </row>
    <row r="94" spans="2:11" ht="36" customHeight="1" x14ac:dyDescent="0.2">
      <c r="B94" s="44" t="s">
        <v>104</v>
      </c>
      <c r="C94" s="41">
        <f>3486594179.07</f>
        <v>3486594179.0700002</v>
      </c>
      <c r="D94" s="24">
        <f>0</f>
        <v>0</v>
      </c>
    </row>
    <row r="95" spans="2:11" ht="33.75" x14ac:dyDescent="0.2">
      <c r="B95" s="107" t="s">
        <v>62</v>
      </c>
      <c r="C95" s="64">
        <f>181353019</f>
        <v>181353019</v>
      </c>
      <c r="D95" s="57">
        <f>0</f>
        <v>0</v>
      </c>
    </row>
    <row r="96" spans="2:11" ht="12.75" customHeight="1" x14ac:dyDescent="0.2">
      <c r="B96" s="107" t="s">
        <v>63</v>
      </c>
      <c r="C96" s="64">
        <f>1353561930</f>
        <v>1353561930</v>
      </c>
      <c r="D96" s="57">
        <f>0</f>
        <v>0</v>
      </c>
    </row>
    <row r="97" spans="2:4" ht="22.5" x14ac:dyDescent="0.2">
      <c r="B97" s="107" t="s">
        <v>64</v>
      </c>
      <c r="C97" s="64">
        <f>0</f>
        <v>0</v>
      </c>
      <c r="D97" s="57">
        <f>0</f>
        <v>0</v>
      </c>
    </row>
    <row r="98" spans="2:4" ht="56.25" x14ac:dyDescent="0.2">
      <c r="B98" s="107" t="s">
        <v>83</v>
      </c>
      <c r="C98" s="64">
        <f>284680702.89</f>
        <v>284680702.88999999</v>
      </c>
      <c r="D98" s="57">
        <f>0</f>
        <v>0</v>
      </c>
    </row>
    <row r="99" spans="2:4" ht="81" customHeight="1" x14ac:dyDescent="0.2">
      <c r="B99" s="107" t="s">
        <v>65</v>
      </c>
      <c r="C99" s="64">
        <f>1120202492.93</f>
        <v>1120202492.9300001</v>
      </c>
      <c r="D99" s="57">
        <f>0</f>
        <v>0</v>
      </c>
    </row>
    <row r="100" spans="2:4" ht="151.5" customHeight="1" x14ac:dyDescent="0.2">
      <c r="B100" s="107" t="s">
        <v>84</v>
      </c>
      <c r="C100" s="64">
        <f>321301183.25</f>
        <v>321301183.25</v>
      </c>
      <c r="D100" s="57">
        <f>0</f>
        <v>0</v>
      </c>
    </row>
    <row r="101" spans="2:4" ht="23.25" customHeight="1" x14ac:dyDescent="0.2">
      <c r="B101" s="107" t="s">
        <v>85</v>
      </c>
      <c r="C101" s="64">
        <f>43040854</f>
        <v>43040854</v>
      </c>
      <c r="D101" s="57">
        <f>0</f>
        <v>0</v>
      </c>
    </row>
    <row r="102" spans="2:4" ht="23.25" customHeight="1" x14ac:dyDescent="0.2">
      <c r="B102" s="120" t="s">
        <v>99</v>
      </c>
      <c r="C102" s="64">
        <f>182453997</f>
        <v>182453997</v>
      </c>
      <c r="D102" s="57">
        <f>0</f>
        <v>0</v>
      </c>
    </row>
    <row r="104" spans="2:4" x14ac:dyDescent="0.2">
      <c r="B104" s="33" t="s">
        <v>48</v>
      </c>
      <c r="C104" s="33">
        <f>3</f>
        <v>3</v>
      </c>
      <c r="D104" s="33" t="str">
        <f>IF(C104=1,"I Kwartał",IF(C104=2,"II Kwartały",IF(C104=3,"III Kwartały",IF(C104=4,"IV Kwartały",IF(C104="M1","Styczeń",IF(C104="M11","Listopad",IF(C104="M12","Grudzień","-")))))))</f>
        <v>III Kwartały</v>
      </c>
    </row>
    <row r="105" spans="2:4" x14ac:dyDescent="0.2">
      <c r="B105" s="33" t="s">
        <v>49</v>
      </c>
      <c r="C105" s="111">
        <f>2023</f>
        <v>2023</v>
      </c>
      <c r="D105" s="34"/>
    </row>
    <row r="106" spans="2:4" x14ac:dyDescent="0.2">
      <c r="B106" s="33" t="s">
        <v>50</v>
      </c>
      <c r="C106" s="137" t="str">
        <f>"Nov 14 2023 12:00AM"</f>
        <v>Nov 14 2023 12:00AM</v>
      </c>
      <c r="D106" s="138"/>
    </row>
    <row r="107" spans="2:4" hidden="1" x14ac:dyDescent="0.2">
      <c r="B107" s="33" t="s">
        <v>55</v>
      </c>
      <c r="C107" s="112" t="str">
        <f>""</f>
        <v/>
      </c>
      <c r="D107" s="34"/>
    </row>
  </sheetData>
  <mergeCells count="23">
    <mergeCell ref="J3:L3"/>
    <mergeCell ref="C3:D3"/>
    <mergeCell ref="I46:I48"/>
    <mergeCell ref="C49:I49"/>
    <mergeCell ref="C106:D106"/>
    <mergeCell ref="F46:H46"/>
    <mergeCell ref="G47:H47"/>
    <mergeCell ref="C71:D71"/>
    <mergeCell ref="J46:J48"/>
    <mergeCell ref="C92:D92"/>
    <mergeCell ref="I62:J62"/>
    <mergeCell ref="E70:I72"/>
    <mergeCell ref="J71:K71"/>
    <mergeCell ref="I61:J61"/>
    <mergeCell ref="J49:K49"/>
    <mergeCell ref="K46:K48"/>
    <mergeCell ref="B2:B3"/>
    <mergeCell ref="C46:C48"/>
    <mergeCell ref="B46:B49"/>
    <mergeCell ref="F47:F48"/>
    <mergeCell ref="E3:I4"/>
    <mergeCell ref="D46:D48"/>
    <mergeCell ref="E46:E4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2023-11-27T09:47:57Z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