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C620" i="45" l="1"/>
  <c r="F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<sst xmlns="http://schemas.openxmlformats.org/spreadsheetml/2006/main" count="5136" uniqueCount="382">
  <si>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</si>
  <si>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</si>
  <si>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</si>
  <si>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</si>
  <si>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</si>
  <si>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</si>
  <si>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</si>
  <si>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</si>
  <si>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</si>
  <si>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</si>
  <si>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</si>
  <si>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</si>
  <si>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</si>
  <si>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</si>
  <si>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</si>
  <si>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</si>
  <si>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</si>
  <si>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</si>
  <si>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</si>
  <si>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</si>
  <si>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</si>
  <si>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</si>
  <si>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</si>
  <si>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</si>
  <si>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</si>
  <si>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</si>
  <si>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</si>
  <si>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</si>
  <si>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</si>
  <si>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</si>
  <si>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</si>
  <si>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</si>
  <si>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</si>
  <si>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</si>
  <si>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</si>
  <si>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</si>
  <si>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</si>
  <si>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</si>
  <si>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</si>
  <si>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</si>
  <si>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</si>
  <si>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</si>
  <si>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</si>
  <si>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</si>
  <si>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</si>
  <si>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</si>
  <si>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</si>
  <si>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</si>
  <si>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</si>
  <si>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</si>
  <si>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</si>
  <si>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</si>
  <si>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</si>
  <si>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</si>
  <si>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</si>
  <si>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</si>
  <si>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</si>
  <si>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</si>
  <si>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</si>
  <si>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</si>
  <si>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</si>
  <si>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</si>
  <si>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</si>
  <si>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</si>
  <si>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</si>
  <si>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</si>
  <si>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</si>
  <si>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</si>
  <si>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</si>
  <si>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</si>
  <si>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</si>
  <si>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</si>
  <si>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</si>
  <si>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</si>
  <si>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</si>
  <si>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</si>
  <si>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</si>
  <si>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</si>
  <si>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</si>
  <si>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</si>
  <si>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</si>
  <si>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</si>
  <si>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</si>
  <si>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</si>
  <si>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</si>
  <si>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</si>
  <si>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</si>
  <si>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</si>
  <si>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</si>
  <si>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</si>
  <si>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</si>
  <si>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</si>
  <si>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</si>
  <si>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</si>
  <si>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</si>
  <si>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</si>
  <si>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</si>
  <si>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</si>
  <si>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</si>
  <si>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</si>
  <si>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</si>
  <si>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</si>
  <si>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</si>
  <si>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</si>
  <si>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</si>
  <si>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</si>
  <si>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</si>
  <si>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</si>
  <si>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</si>
  <si>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</si>
  <si>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</si>
  <si>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</si>
  <si>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</si>
  <si>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</si>
  <si>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</si>
  <si>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</si>
  <si>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</si>
  <si>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</si>
  <si>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</si>
  <si>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</si>
  <si>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</si>
  <si>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</si>
  <si>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</si>
  <si>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</si>
  <si>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</si>
  <si>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</si>
  <si>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</si>
  <si>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</si>
  <si>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</si>
  <si>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</si>
  <si>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</si>
  <si>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</si>
  <si>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</si>
  <si>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</si>
  <si>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</si>
  <si>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</si>
  <si>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</si>
  <si>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</si>
  <si>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</si>
  <si>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</si>
  <si>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</si>
  <si>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</si>
  <si>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</si>
  <si>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</si>
  <si>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</si>
  <si>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</si>
  <si>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</si>
  <si>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</si>
  <si>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</si>
  <si>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</si>
  <si>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</si>
  <si>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</si>
  <si>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</si>
  <si>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</si>
  <si>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</si>
  <si>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</si>
  <si>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</si>
  <si>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</si>
  <si>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</si>
  <si>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</si>
  <si>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</si>
  <si>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</si>
  <si>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</si>
  <si>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</si>
  <si>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</si>
  <si>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</si>
  <si>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</si>
  <si>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</si>
  <si>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</si>
  <si>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</si>
  <si>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</si>
  <si>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</si>
  <si>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</si>
  <si>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</si>
  <si>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</si>
  <si>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</si>
  <si>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</si>
  <si>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</si>
  <si>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</si>
  <si>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</si>
  <si>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</si>
  <si>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</si>
  <si>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</si>
  <si>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</si>
  <si>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</si>
  <si>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</si>
  <si>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</si>
  <si>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</si>
  <si>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</si>
  <si>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</si>
  <si>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</si>
  <si>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</si>
  <si>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</si>
  <si>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</si>
  <si>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</si>
  <si>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</si>
  <si>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</si>
  <si>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</si>
  <si>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</si>
  <si>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</si>
  <si>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</si>
  <si>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</si>
  <si>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</si>
  <si>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</si>
  <si>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</si>
  <si>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</si>
  <si>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</si>
  <si>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</si>
  <si>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</si>
  <si>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</si>
  <si>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</si>
  <si>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</si>
  <si>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</si>
  <si>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</si>
  <si>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</si>
  <si>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</si>
  <si>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</si>
  <si>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</si>
  <si>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</si>
  <si>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</si>
  <si>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</si>
  <si>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</si>
  <si>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</si>
  <si>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</si>
  <si>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</si>
  <si>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</si>
  <si>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</si>
  <si>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</si>
  <si>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</si>
  <si>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</si>
  <si>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</si>
  <si>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</si>
  <si>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</si>
  <si>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</si>
  <si>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</si>
  <si>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</si>
  <si>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</si>
  <si>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</si>
  <si>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</si>
  <si>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</si>
  <si>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</si>
  <si>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</si>
  <si>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</si>
  <si>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</si>
  <si>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</si>
  <si>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</si>
  <si>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</si>
  <si>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</si>
  <si>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</si>
  <si>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</si>
  <si>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</si>
  <si>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</si>
  <si>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</si>
  <si>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</si>
  <si>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</si>
  <si>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</si>
  <si>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</si>
  <si>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</si>
  <si>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</si>
  <si>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</si>
  <si>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</si>
  <si>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</si>
  <si>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</si>
  <si>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</si>
  <si>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</si>
  <si>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</si>
  <si>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</si>
  <si>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</si>
  <si>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</si>
  <si>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</si>
  <si>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</si>
  <si>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</si>
  <si>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</si>
  <si>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</si>
  <si>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</si>
  <si>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</si>
  <si>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</si>
  <si>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</si>
  <si>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</si>
  <si>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</si>
  <si>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</si>
  <si>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</si>
  <si>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</si>
  <si>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</si>
  <si>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</si>
  <si>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</si>
  <si>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</si>
  <si>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</si>
  <si>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</si>
  <si>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</si>
  <si>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</si>
  <si>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</si>
  <si>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</si>
  <si>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</si>
  <si>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</si>
  <si>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</si>
  <si>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</si>
  <si>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</si>
  <si>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</si>
  <si>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</si>
  <si>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</si>
  <si>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</si>
  <si>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</si>
  <si>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</si>
  <si>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</si>
  <si>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</si>
  <si>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</si>
  <si>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</si>
  <si>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</si>
  <si>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</si>
  <si>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</si>
  <si>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</si>
  <si>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</si>
  <si>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</si>
  <si>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</si>
  <si>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</si>
  <si>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</si>
  <si>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</si>
  <si>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</si>
  <si>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</si>
  <si>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</si>
  <si>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</si>
  <si>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</si>
  <si>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</si>
  <si>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</si>
  <si>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</si>
  <si>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</si>
  <si>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</si>
  <si>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</si>
  <si>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</si>
  <si>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</si>
  <si>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</si>
  <si>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</si>
  <si>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</si>
  <si>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</si>
  <si>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</si>
  <si>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</si>
  <si>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</si>
  <si>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</si>
  <si>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</si>
  <si>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</si>
  <si>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</si>
  <si>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</si>
  <si>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</si>
  <si>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</si>
  <si>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</si>
  <si>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</si>
  <si>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</si>
  <si>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</si>
  <si>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</si>
  <si>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</si>
  <si>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</si>
  <si>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</si>
  <si>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</si>
  <si>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</si>
  <si>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</si>
  <si>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</si>
  <si>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</si>
  <si>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</si>
  <si>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</si>
  <si>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</si>
  <si>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</si>
  <si>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</si>
  <si>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</si>
  <si>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</si>
  <si>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</si>
  <si>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</si>
  <si>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</si>
  <si>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</si>
  <si>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</si>
  <si>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</si>
  <si>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</si>
  <si>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</si>
  <si>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</si>
  <si>
    <t>Uboje przemysłowe 2019 (dane wstępne)</t>
  </si>
  <si>
    <t>09.05.2019 r.</t>
  </si>
  <si>
    <t>2019-05-05</t>
  </si>
  <si>
    <t>NR 19/2019</t>
  </si>
  <si>
    <t>Notowania z okresu: 06.05 - 12.05.2019r.</t>
  </si>
  <si>
    <t>2019-05-12</t>
  </si>
  <si>
    <t>2019-05-06 - 2019-05-12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</si>
  <si>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06.05 -12.05.2019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</si>
</sst>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7" fillId="0" borderId="16" xfId="188" applyFont="1" applyBorder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2" fontId="0" fillId="0" borderId="0" xfId="0" applyNumberFormat="1"/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2" fontId="14" fillId="0" borderId="35" xfId="0" quotePrefix="1" applyNumberFormat="1" applyFont="1" applyFill="1" applyBorder="1"/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2" fontId="14" fillId="0" borderId="63" xfId="0" quotePrefix="1" applyNumberFormat="1" applyFont="1" applyFill="1" applyBorder="1"/>
    <xf numFmtId="3" fontId="14" fillId="0" borderId="48" xfId="0" quotePrefix="1" applyNumberFormat="1" applyFont="1" applyBorder="1"/>
    <xf numFmtId="3" fontId="14" fillId="2" borderId="48" xfId="0" quotePrefix="1" applyNumberFormat="1" applyFont="1" applyFill="1" applyBorder="1"/>
    <xf numFmtId="2" fontId="14" fillId="0" borderId="58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42" fillId="0" borderId="64" xfId="51" applyFont="1" applyBorder="1" applyAlignment="1">
      <alignment horizont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9525</xdr:colOff>
      <xdr:row>21</xdr:row>
      <xdr:rowOff>86360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105525" cy="3324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23</xdr:row>
      <xdr:rowOff>0</xdr:rowOff>
    </xdr:from>
    <xdr:to>
      <xdr:col>10</xdr:col>
      <xdr:colOff>19051</xdr:colOff>
      <xdr:row>43</xdr:row>
      <xdr:rowOff>62230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95700"/>
          <a:ext cx="6115050" cy="3291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530860</xdr:colOff>
      <xdr:row>21</xdr:row>
      <xdr:rowOff>85725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17260" cy="3324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504825</xdr:colOff>
      <xdr:row>43</xdr:row>
      <xdr:rowOff>57150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95700"/>
          <a:ext cx="5991225" cy="3286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375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353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378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8"/>
      <c r="C15" s="1146"/>
      <c r="D15" s="1146"/>
      <c r="E15" s="1147"/>
      <c r="F15" s="1147"/>
      <c r="G15" s="1147"/>
      <c r="H15" s="1147"/>
      <c r="I15" s="1146"/>
      <c r="J15" s="1146"/>
      <c r="K15" s="1146"/>
      <c r="L15" s="1147"/>
      <c r="M15" s="1147"/>
      <c r="N15" s="1147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5"/>
      <c r="C16" s="975"/>
      <c r="D16" s="976"/>
      <c r="E16" s="976"/>
      <c r="F16" s="976"/>
      <c r="G16" s="976"/>
      <c r="H16" s="976"/>
      <c r="I16" s="976"/>
      <c r="J16" s="976"/>
      <c r="K16" s="977"/>
      <c r="L16" s="977"/>
      <c r="M16" s="977"/>
      <c r="N16" s="977"/>
      <c r="O16" s="977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352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activeCell="M20" sqref="M20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7.570312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18" t="s">
        <v>365</v>
      </c>
      <c r="C5" s="1218"/>
      <c r="D5" s="1218"/>
      <c r="E5" s="1218"/>
      <c r="F5" s="1218"/>
      <c r="G5" s="1218"/>
      <c r="I5" s="685" t="s">
        <v>337</v>
      </c>
    </row>
    <row r="6" spans="2:11" ht="15.75" customHeight="1" thickBot="1">
      <c r="B6" s="1219" t="s">
        <v>172</v>
      </c>
      <c r="C6" s="1221" t="s">
        <v>366</v>
      </c>
      <c r="D6" s="1222"/>
      <c r="E6" s="1223"/>
      <c r="F6" s="1224" t="s">
        <v>367</v>
      </c>
      <c r="G6" s="1219" t="s">
        <v>368</v>
      </c>
    </row>
    <row r="7" spans="2:11" ht="31.5" customHeight="1" thickBot="1">
      <c r="B7" s="1220"/>
      <c r="C7" s="919" t="s">
        <v>317</v>
      </c>
      <c r="D7" s="919" t="s">
        <v>326</v>
      </c>
      <c r="E7" s="919" t="s">
        <v>327</v>
      </c>
      <c r="F7" s="1225"/>
      <c r="G7" s="1220"/>
    </row>
    <row r="8" spans="2:11" ht="17.25" customHeight="1" thickBot="1">
      <c r="B8" s="920" t="s">
        <v>173</v>
      </c>
      <c r="C8" s="789">
        <v>876.52099999999996</v>
      </c>
      <c r="D8" s="789">
        <v>251.506</v>
      </c>
      <c r="E8" s="987">
        <f>(D8/C8)*100</f>
        <v>28.693665069062806</v>
      </c>
      <c r="F8" s="789">
        <v>852.88400000000001</v>
      </c>
      <c r="G8" s="987">
        <f>((C8-F8)/F8)*100</f>
        <v>2.7714202634824834</v>
      </c>
      <c r="I8" s="720" t="s">
        <v>174</v>
      </c>
    </row>
    <row r="9" spans="2:11" ht="18" customHeight="1" thickBot="1">
      <c r="B9" s="921" t="s">
        <v>175</v>
      </c>
      <c r="C9" s="790">
        <v>3860</v>
      </c>
      <c r="D9" s="790">
        <v>576</v>
      </c>
      <c r="E9" s="988">
        <f t="shared" ref="E9:E13" si="0">(D9/C9)*100</f>
        <v>14.922279792746112</v>
      </c>
      <c r="F9" s="790">
        <v>4376</v>
      </c>
      <c r="G9" s="988">
        <f t="shared" ref="G9:G13" si="1">((C9-F9)/F9)*100</f>
        <v>-11.791590493601463</v>
      </c>
      <c r="I9" s="684">
        <f>C9-F9</f>
        <v>-516</v>
      </c>
    </row>
    <row r="10" spans="2:11" ht="15" customHeight="1" thickBot="1">
      <c r="B10" s="922" t="s">
        <v>309</v>
      </c>
      <c r="C10" s="791">
        <v>1877</v>
      </c>
      <c r="D10" s="792">
        <v>0</v>
      </c>
      <c r="E10" s="988">
        <f t="shared" si="0"/>
        <v>0</v>
      </c>
      <c r="F10" s="793">
        <v>2373</v>
      </c>
      <c r="G10" s="988">
        <f t="shared" si="1"/>
        <v>-20.901812052254531</v>
      </c>
    </row>
    <row r="11" spans="2:11" ht="17.25" customHeight="1" thickBot="1">
      <c r="B11" s="923" t="s">
        <v>176</v>
      </c>
      <c r="C11" s="794">
        <v>19667.098999999998</v>
      </c>
      <c r="D11" s="795">
        <v>1175.4739999999999</v>
      </c>
      <c r="E11" s="989">
        <f t="shared" si="0"/>
        <v>5.9768550511694682</v>
      </c>
      <c r="F11" s="795">
        <v>22571.664000000001</v>
      </c>
      <c r="G11" s="989">
        <f t="shared" si="1"/>
        <v>-12.868191729240708</v>
      </c>
      <c r="K11" s="917"/>
    </row>
    <row r="12" spans="2:11" ht="15" customHeight="1" thickBot="1">
      <c r="B12" s="920" t="s">
        <v>177</v>
      </c>
      <c r="C12" s="789">
        <v>7851.4790000000003</v>
      </c>
      <c r="D12" s="789">
        <v>1535.893</v>
      </c>
      <c r="E12" s="988">
        <f t="shared" si="0"/>
        <v>19.561830325216434</v>
      </c>
      <c r="F12" s="789">
        <v>6856.268</v>
      </c>
      <c r="G12" s="988">
        <f t="shared" si="1"/>
        <v>14.515345666184581</v>
      </c>
    </row>
    <row r="13" spans="2:11" ht="15" customHeight="1" thickBot="1">
      <c r="B13" s="920" t="s">
        <v>178</v>
      </c>
      <c r="C13" s="789">
        <f t="shared" ref="C13:D13" si="2">C11+C12</f>
        <v>27518.577999999998</v>
      </c>
      <c r="D13" s="789">
        <f t="shared" si="2"/>
        <v>2711.3670000000002</v>
      </c>
      <c r="E13" s="990">
        <f t="shared" si="0"/>
        <v>9.8528601296186178</v>
      </c>
      <c r="F13" s="789">
        <f t="shared" ref="F13" si="3">F11+F12</f>
        <v>29427.932000000001</v>
      </c>
      <c r="G13" s="990">
        <f t="shared" si="1"/>
        <v>-6.4882370939283227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18" t="s">
        <v>369</v>
      </c>
      <c r="C18" s="1218"/>
      <c r="D18" s="1218"/>
      <c r="E18" s="1218"/>
      <c r="F18" s="1218"/>
      <c r="G18" s="1218"/>
      <c r="L18" s="122"/>
      <c r="M18" s="122"/>
    </row>
    <row r="19" spans="1:13" ht="24.75" customHeight="1" thickBot="1">
      <c r="B19" s="1214" t="s">
        <v>179</v>
      </c>
      <c r="C19" s="1227" t="s">
        <v>366</v>
      </c>
      <c r="D19" s="1228"/>
      <c r="E19" s="1229"/>
      <c r="F19" s="1230" t="s">
        <v>367</v>
      </c>
      <c r="G19" s="1214" t="s">
        <v>368</v>
      </c>
      <c r="K19" s="122"/>
      <c r="L19" s="122"/>
      <c r="M19" s="122"/>
    </row>
    <row r="20" spans="1:13" ht="21" customHeight="1" thickBot="1">
      <c r="B20" s="1226"/>
      <c r="C20" s="974" t="s">
        <v>317</v>
      </c>
      <c r="D20" s="974" t="s">
        <v>326</v>
      </c>
      <c r="E20" s="974" t="s">
        <v>327</v>
      </c>
      <c r="F20" s="1231"/>
      <c r="G20" s="1215"/>
      <c r="K20" s="122"/>
      <c r="L20" s="122"/>
      <c r="M20" s="991"/>
    </row>
    <row r="21" spans="1:13" ht="15.75" thickBot="1">
      <c r="B21" s="589" t="s">
        <v>173</v>
      </c>
      <c r="C21" s="789">
        <v>2791.5309999999999</v>
      </c>
      <c r="D21" s="796">
        <v>0</v>
      </c>
      <c r="E21" s="987">
        <f>(D21/C21)*100</f>
        <v>0</v>
      </c>
      <c r="F21" s="789">
        <v>4754.8180000000002</v>
      </c>
      <c r="G21" s="987">
        <f>((C21-F21)/F21)*100</f>
        <v>-41.290476312658022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12168</v>
      </c>
      <c r="D22" s="796">
        <v>0</v>
      </c>
      <c r="E22" s="988">
        <f t="shared" ref="E22:E26" si="4">(D22/C22)*100</f>
        <v>0</v>
      </c>
      <c r="F22" s="789">
        <v>18537</v>
      </c>
      <c r="G22" s="988">
        <f t="shared" ref="G22:G26" si="5">((C22-F22)/F22)*100</f>
        <v>-34.358310406214599</v>
      </c>
      <c r="I22" s="684">
        <f>C22-F22</f>
        <v>-6369</v>
      </c>
      <c r="L22" s="122"/>
      <c r="M22" s="122"/>
    </row>
    <row r="23" spans="1:13" ht="15.75" thickBot="1">
      <c r="B23" s="590" t="s">
        <v>309</v>
      </c>
      <c r="C23" s="793">
        <v>3078</v>
      </c>
      <c r="D23" s="797">
        <v>0</v>
      </c>
      <c r="E23" s="988">
        <f t="shared" si="4"/>
        <v>0</v>
      </c>
      <c r="F23" s="793">
        <v>431.49900000000002</v>
      </c>
      <c r="G23" s="988">
        <f t="shared" si="5"/>
        <v>613.32726147685173</v>
      </c>
    </row>
    <row r="24" spans="1:13" ht="15.75" thickBot="1">
      <c r="B24" s="589" t="s">
        <v>176</v>
      </c>
      <c r="C24" s="789">
        <v>1515.627</v>
      </c>
      <c r="D24" s="798">
        <v>3.2040000000000002</v>
      </c>
      <c r="E24" s="989">
        <f t="shared" si="4"/>
        <v>0.21139765918659409</v>
      </c>
      <c r="F24" s="789">
        <v>1861.7380000000001</v>
      </c>
      <c r="G24" s="989">
        <f t="shared" si="5"/>
        <v>-18.590746925722097</v>
      </c>
    </row>
    <row r="25" spans="1:13" ht="15.75" thickBot="1">
      <c r="B25" s="589" t="s">
        <v>177</v>
      </c>
      <c r="C25" s="789">
        <v>346.45800000000003</v>
      </c>
      <c r="D25" s="798">
        <v>0.16500000000000001</v>
      </c>
      <c r="E25" s="988">
        <f t="shared" si="4"/>
        <v>4.7624820324541496E-2</v>
      </c>
      <c r="F25" s="789">
        <v>547.06799999999998</v>
      </c>
      <c r="G25" s="988">
        <f t="shared" si="5"/>
        <v>-36.670030051108817</v>
      </c>
    </row>
    <row r="26" spans="1:13" ht="15.75" thickBot="1">
      <c r="B26" s="589" t="s">
        <v>178</v>
      </c>
      <c r="C26" s="789">
        <f t="shared" ref="C26:D26" si="6">C24+C25</f>
        <v>1862.085</v>
      </c>
      <c r="D26" s="799">
        <f t="shared" si="6"/>
        <v>3.3690000000000002</v>
      </c>
      <c r="E26" s="990">
        <f t="shared" si="4"/>
        <v>0.18092621980199616</v>
      </c>
      <c r="F26" s="789">
        <f>F24+F25</f>
        <v>2408.806</v>
      </c>
      <c r="G26" s="990">
        <f t="shared" si="5"/>
        <v>-22.69676345874263</v>
      </c>
    </row>
    <row r="27" spans="1:13" ht="16.5" customHeight="1">
      <c r="B27" s="1216"/>
      <c r="C27" s="1216"/>
      <c r="D27" s="1216"/>
      <c r="E27" s="1216"/>
      <c r="F27" s="1216"/>
      <c r="G27" s="1216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1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17"/>
      <c r="E32" s="1217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1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17"/>
      <c r="D43" s="1217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I23" sqref="I23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2" t="s">
        <v>370</v>
      </c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2"/>
      <c r="X2" s="1232"/>
      <c r="Y2" s="1232"/>
    </row>
    <row r="3" spans="2:25" ht="15.75" customHeight="1">
      <c r="B3" s="1233" t="s">
        <v>371</v>
      </c>
      <c r="C3" s="1233"/>
      <c r="D3" s="1233"/>
      <c r="E3" s="1233"/>
      <c r="F3" s="1233"/>
      <c r="G3" s="1233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4" t="s">
        <v>182</v>
      </c>
      <c r="D5" s="1234"/>
      <c r="E5" s="613"/>
      <c r="F5" s="613"/>
      <c r="G5" s="612" t="s">
        <v>183</v>
      </c>
      <c r="H5" s="614" t="s">
        <v>184</v>
      </c>
      <c r="I5" s="1045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6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204</v>
      </c>
      <c r="C7" s="624">
        <v>550.67200000000003</v>
      </c>
      <c r="D7" s="624">
        <v>402</v>
      </c>
      <c r="E7" s="956">
        <v>2.4143809189757981</v>
      </c>
      <c r="G7" s="627" t="s">
        <v>196</v>
      </c>
      <c r="H7" s="628">
        <v>163.51900000000001</v>
      </c>
      <c r="I7" s="628">
        <v>597</v>
      </c>
      <c r="J7" s="924">
        <v>3.7226016482265627</v>
      </c>
      <c r="L7" s="800" t="s">
        <v>194</v>
      </c>
      <c r="M7" s="624">
        <v>21639.555</v>
      </c>
      <c r="N7" s="624">
        <v>5813.585</v>
      </c>
      <c r="O7" s="785">
        <v>3.7222393755316214</v>
      </c>
      <c r="Q7" s="625" t="s">
        <v>197</v>
      </c>
      <c r="R7" s="626">
        <v>5274.2510000000002</v>
      </c>
      <c r="S7" s="626">
        <v>783.54200000000003</v>
      </c>
      <c r="T7" s="688">
        <v>6.7312932810238637</v>
      </c>
    </row>
    <row r="8" spans="2:25" ht="15.75">
      <c r="B8" s="627" t="s">
        <v>194</v>
      </c>
      <c r="C8" s="628">
        <v>495.19400000000002</v>
      </c>
      <c r="D8" s="628">
        <v>1051</v>
      </c>
      <c r="E8" s="924">
        <v>2.9884972842486426</v>
      </c>
      <c r="G8" s="627" t="s">
        <v>214</v>
      </c>
      <c r="H8" s="628">
        <v>161.506</v>
      </c>
      <c r="I8" s="628">
        <v>691</v>
      </c>
      <c r="J8" s="924">
        <v>3.0929773828446674</v>
      </c>
      <c r="L8" s="627" t="s">
        <v>197</v>
      </c>
      <c r="M8" s="628">
        <v>10654.718999999999</v>
      </c>
      <c r="N8" s="628">
        <v>2939.7750000000001</v>
      </c>
      <c r="O8" s="686">
        <v>3.6243314539378009</v>
      </c>
      <c r="Q8" s="627" t="s">
        <v>195</v>
      </c>
      <c r="R8" s="628">
        <v>5227.5339999999997</v>
      </c>
      <c r="S8" s="628">
        <v>1436.528</v>
      </c>
      <c r="T8" s="688">
        <v>3.6390059922256994</v>
      </c>
    </row>
    <row r="9" spans="2:25" ht="16.5" thickBot="1">
      <c r="B9" s="627" t="s">
        <v>206</v>
      </c>
      <c r="C9" s="628">
        <v>495.13799999999998</v>
      </c>
      <c r="D9" s="628">
        <v>332</v>
      </c>
      <c r="E9" s="924">
        <v>2.3156225885654158</v>
      </c>
      <c r="G9" s="627" t="s">
        <v>194</v>
      </c>
      <c r="H9" s="628">
        <v>118.179</v>
      </c>
      <c r="I9" s="628">
        <v>562</v>
      </c>
      <c r="J9" s="924">
        <v>3.4372345994997384</v>
      </c>
      <c r="L9" s="627" t="s">
        <v>196</v>
      </c>
      <c r="M9" s="628">
        <v>6750.259</v>
      </c>
      <c r="N9" s="628">
        <v>1706.692</v>
      </c>
      <c r="O9" s="686">
        <v>3.9551711732403971</v>
      </c>
      <c r="Q9" s="627" t="s">
        <v>201</v>
      </c>
      <c r="R9" s="628">
        <v>4316.1049999999996</v>
      </c>
      <c r="S9" s="628">
        <v>800.27300000000002</v>
      </c>
      <c r="T9" s="688">
        <v>5.3932907895180762</v>
      </c>
    </row>
    <row r="10" spans="2:25" ht="16.5" thickBot="1">
      <c r="B10" s="627" t="s">
        <v>202</v>
      </c>
      <c r="C10" s="628">
        <v>298.45999999999998</v>
      </c>
      <c r="D10" s="628">
        <v>445</v>
      </c>
      <c r="E10" s="924">
        <v>2.5966365352659189</v>
      </c>
      <c r="G10" s="1049" t="s">
        <v>328</v>
      </c>
      <c r="H10" s="631">
        <v>447.16399999999999</v>
      </c>
      <c r="I10" s="631">
        <v>1877</v>
      </c>
      <c r="J10" s="1050">
        <v>3.3856567430873135</v>
      </c>
      <c r="L10" s="627" t="s">
        <v>311</v>
      </c>
      <c r="M10" s="628">
        <v>5244.4309999999996</v>
      </c>
      <c r="N10" s="628">
        <v>1710.789</v>
      </c>
      <c r="O10" s="686">
        <v>3.0655042790197973</v>
      </c>
      <c r="Q10" s="627" t="s">
        <v>198</v>
      </c>
      <c r="R10" s="628">
        <v>1913.152</v>
      </c>
      <c r="S10" s="628">
        <v>443.02699999999999</v>
      </c>
      <c r="T10" s="688">
        <v>4.3183643434824512</v>
      </c>
    </row>
    <row r="11" spans="2:25" ht="15.75">
      <c r="B11" s="627" t="s">
        <v>196</v>
      </c>
      <c r="C11" s="628">
        <v>163.51900000000001</v>
      </c>
      <c r="D11" s="628">
        <v>597</v>
      </c>
      <c r="E11" s="924">
        <v>3.7226016482265627</v>
      </c>
      <c r="L11" s="627" t="s">
        <v>203</v>
      </c>
      <c r="M11" s="628">
        <v>4294.107</v>
      </c>
      <c r="N11" s="628">
        <v>900.37</v>
      </c>
      <c r="O11" s="686">
        <v>4.769269300398725</v>
      </c>
      <c r="Q11" s="627" t="s">
        <v>196</v>
      </c>
      <c r="R11" s="628">
        <v>1832.55</v>
      </c>
      <c r="S11" s="628">
        <v>511.78300000000002</v>
      </c>
      <c r="T11" s="688">
        <v>3.5807168272490486</v>
      </c>
    </row>
    <row r="12" spans="2:25" ht="16.5" thickBot="1">
      <c r="B12" s="1047" t="s">
        <v>214</v>
      </c>
      <c r="C12" s="1048">
        <v>161.506</v>
      </c>
      <c r="D12" s="1048">
        <v>691</v>
      </c>
      <c r="E12" s="1058">
        <v>3.0929773828446674</v>
      </c>
      <c r="I12" s="699"/>
      <c r="L12" s="627" t="s">
        <v>201</v>
      </c>
      <c r="M12" s="628">
        <v>4114.0870000000004</v>
      </c>
      <c r="N12" s="628">
        <v>657.60599999999999</v>
      </c>
      <c r="O12" s="686">
        <v>6.2561579425978477</v>
      </c>
      <c r="Q12" s="627" t="s">
        <v>311</v>
      </c>
      <c r="R12" s="628">
        <v>1508.153</v>
      </c>
      <c r="S12" s="628">
        <v>543.22400000000005</v>
      </c>
      <c r="T12" s="688">
        <v>2.7763003843718241</v>
      </c>
    </row>
    <row r="13" spans="2:25" ht="16.5" thickBot="1">
      <c r="B13" s="1049" t="s">
        <v>328</v>
      </c>
      <c r="C13" s="631">
        <v>2320.982</v>
      </c>
      <c r="D13" s="631">
        <v>3860</v>
      </c>
      <c r="E13" s="1050">
        <v>2.6479479670196153</v>
      </c>
      <c r="L13" s="627" t="s">
        <v>199</v>
      </c>
      <c r="M13" s="628">
        <v>2998.9549999999999</v>
      </c>
      <c r="N13" s="628">
        <v>747.17700000000002</v>
      </c>
      <c r="O13" s="686">
        <v>4.013714287243852</v>
      </c>
      <c r="Q13" s="627" t="s">
        <v>203</v>
      </c>
      <c r="R13" s="628">
        <v>1365.1959999999999</v>
      </c>
      <c r="S13" s="628">
        <v>397.36599999999999</v>
      </c>
      <c r="T13" s="688">
        <v>3.4356135149962501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2737.6219999999998</v>
      </c>
      <c r="N14" s="628">
        <v>765.29300000000001</v>
      </c>
      <c r="O14" s="686">
        <v>3.577220750745139</v>
      </c>
      <c r="Q14" s="627" t="s">
        <v>215</v>
      </c>
      <c r="R14" s="628">
        <v>1020.427</v>
      </c>
      <c r="S14" s="628">
        <v>249.11799999999999</v>
      </c>
      <c r="T14" s="688">
        <v>4.0961592498334127</v>
      </c>
    </row>
    <row r="15" spans="2:25" ht="15.75">
      <c r="B15" s="122"/>
      <c r="C15" s="122"/>
      <c r="D15" s="122"/>
      <c r="E15" s="122"/>
      <c r="F15" s="894"/>
      <c r="G15" s="700"/>
      <c r="L15" s="627" t="s">
        <v>211</v>
      </c>
      <c r="M15" s="628">
        <v>2652.4850000000001</v>
      </c>
      <c r="N15" s="628">
        <v>743.24800000000005</v>
      </c>
      <c r="O15" s="686">
        <v>3.5687751598389772</v>
      </c>
      <c r="Q15" s="627" t="s">
        <v>204</v>
      </c>
      <c r="R15" s="628">
        <v>793.96900000000005</v>
      </c>
      <c r="S15" s="628">
        <v>214.255</v>
      </c>
      <c r="T15" s="688">
        <v>3.7057198198408443</v>
      </c>
    </row>
    <row r="16" spans="2:25" ht="15.75">
      <c r="F16" s="700"/>
      <c r="L16" s="627" t="s">
        <v>195</v>
      </c>
      <c r="M16" s="628">
        <v>2048.6239999999998</v>
      </c>
      <c r="N16" s="628">
        <v>449.03500000000003</v>
      </c>
      <c r="O16" s="686">
        <v>4.5622813366441362</v>
      </c>
      <c r="Q16" s="627" t="s">
        <v>194</v>
      </c>
      <c r="R16" s="628">
        <v>627.01700000000005</v>
      </c>
      <c r="S16" s="628">
        <v>194.33600000000001</v>
      </c>
      <c r="T16" s="688">
        <v>3.2264582990284869</v>
      </c>
    </row>
    <row r="17" spans="2:20" ht="15.75">
      <c r="B17" s="122"/>
      <c r="C17" s="122"/>
      <c r="D17" s="122"/>
      <c r="E17" s="122"/>
      <c r="L17" s="627" t="s">
        <v>210</v>
      </c>
      <c r="M17" s="628">
        <v>1877.8869999999999</v>
      </c>
      <c r="N17" s="628">
        <v>324.81400000000002</v>
      </c>
      <c r="O17" s="686">
        <v>5.7814225987796091</v>
      </c>
      <c r="Q17" s="627" t="s">
        <v>211</v>
      </c>
      <c r="R17" s="628">
        <v>610.55600000000004</v>
      </c>
      <c r="S17" s="628">
        <v>202.471</v>
      </c>
      <c r="T17" s="688">
        <v>3.0155232107314136</v>
      </c>
    </row>
    <row r="18" spans="2:20" ht="15.75">
      <c r="B18" s="122"/>
      <c r="C18" s="122"/>
      <c r="D18" s="122"/>
      <c r="E18" s="122"/>
      <c r="L18" s="627" t="s">
        <v>209</v>
      </c>
      <c r="M18" s="628">
        <v>1591.9290000000001</v>
      </c>
      <c r="N18" s="628">
        <v>386.62099999999998</v>
      </c>
      <c r="O18" s="686">
        <v>4.1175440547719866</v>
      </c>
      <c r="Q18" s="627" t="s">
        <v>199</v>
      </c>
      <c r="R18" s="628">
        <v>589.22699999999998</v>
      </c>
      <c r="S18" s="628">
        <v>285.45499999999998</v>
      </c>
      <c r="T18" s="688">
        <v>2.0641677322169869</v>
      </c>
    </row>
    <row r="19" spans="2:20" ht="15.75">
      <c r="B19" s="122"/>
      <c r="C19" s="122"/>
      <c r="D19" s="122"/>
      <c r="E19" s="122"/>
      <c r="L19" s="627" t="s">
        <v>208</v>
      </c>
      <c r="M19" s="628">
        <v>1373.82</v>
      </c>
      <c r="N19" s="628">
        <v>451.00599999999997</v>
      </c>
      <c r="O19" s="686">
        <v>3.046123554897274</v>
      </c>
      <c r="Q19" s="627" t="s">
        <v>205</v>
      </c>
      <c r="R19" s="628">
        <v>544.98599999999999</v>
      </c>
      <c r="S19" s="628">
        <v>311.07299999999998</v>
      </c>
      <c r="T19" s="688">
        <v>1.7519553288134939</v>
      </c>
    </row>
    <row r="20" spans="2:20" ht="15.75">
      <c r="B20" s="122"/>
      <c r="C20" s="122"/>
      <c r="D20" s="122"/>
      <c r="E20" s="122"/>
      <c r="L20" s="627" t="s">
        <v>198</v>
      </c>
      <c r="M20" s="628">
        <v>1193.5039999999999</v>
      </c>
      <c r="N20" s="628">
        <v>268.23200000000003</v>
      </c>
      <c r="O20" s="686">
        <v>4.4495213099108231</v>
      </c>
      <c r="Q20" s="627" t="s">
        <v>214</v>
      </c>
      <c r="R20" s="628">
        <v>473.89800000000002</v>
      </c>
      <c r="S20" s="628">
        <v>164.15600000000001</v>
      </c>
      <c r="T20" s="688">
        <v>2.8868758985355396</v>
      </c>
    </row>
    <row r="21" spans="2:20" ht="15.75">
      <c r="B21" s="122"/>
      <c r="C21" s="122"/>
      <c r="D21" s="122"/>
      <c r="E21" s="122"/>
      <c r="L21" s="627" t="s">
        <v>212</v>
      </c>
      <c r="M21" s="628">
        <v>1027.2860000000001</v>
      </c>
      <c r="N21" s="628">
        <v>285.71499999999997</v>
      </c>
      <c r="O21" s="686">
        <v>3.5954920112699722</v>
      </c>
      <c r="Q21" s="627" t="s">
        <v>216</v>
      </c>
      <c r="R21" s="628">
        <v>429.15300000000002</v>
      </c>
      <c r="S21" s="628">
        <v>166.483</v>
      </c>
      <c r="T21" s="688">
        <v>2.5777586900764642</v>
      </c>
    </row>
    <row r="22" spans="2:20" ht="15.75">
      <c r="B22" s="122"/>
      <c r="C22" s="122"/>
      <c r="D22" s="122"/>
      <c r="E22" s="122"/>
      <c r="F22" s="122"/>
      <c r="G22" s="122"/>
      <c r="H22" s="122"/>
      <c r="I22" s="1051"/>
      <c r="L22" s="627" t="s">
        <v>202</v>
      </c>
      <c r="M22" s="628">
        <v>1010.917</v>
      </c>
      <c r="N22" s="628">
        <v>373.63099999999997</v>
      </c>
      <c r="O22" s="686">
        <v>2.7056561152581025</v>
      </c>
      <c r="Q22" s="627" t="s">
        <v>207</v>
      </c>
      <c r="R22" s="628">
        <v>409.69499999999999</v>
      </c>
      <c r="S22" s="628">
        <v>138.374</v>
      </c>
      <c r="T22" s="688">
        <v>2.9607802043736542</v>
      </c>
    </row>
    <row r="23" spans="2:20" ht="15.75">
      <c r="B23" s="122"/>
      <c r="C23" s="122"/>
      <c r="D23" s="122"/>
      <c r="E23" s="122"/>
      <c r="F23" s="122"/>
      <c r="G23" s="122"/>
      <c r="H23" s="122"/>
      <c r="I23" s="1051"/>
      <c r="L23" s="627" t="s">
        <v>345</v>
      </c>
      <c r="M23" s="628">
        <v>890.54399999999998</v>
      </c>
      <c r="N23" s="628">
        <v>274.92099999999999</v>
      </c>
      <c r="O23" s="686">
        <v>3.2392723727907291</v>
      </c>
      <c r="Q23" s="627" t="s">
        <v>208</v>
      </c>
      <c r="R23" s="628">
        <v>326.66500000000002</v>
      </c>
      <c r="S23" s="628">
        <v>84.963999999999999</v>
      </c>
      <c r="T23" s="688">
        <v>3.8447460100748554</v>
      </c>
    </row>
    <row r="24" spans="2:20" ht="15.75">
      <c r="F24" s="122"/>
      <c r="G24" s="122"/>
      <c r="H24" s="122"/>
      <c r="I24" s="1051"/>
      <c r="L24" s="627" t="s">
        <v>200</v>
      </c>
      <c r="M24" s="628">
        <v>689.25</v>
      </c>
      <c r="N24" s="628">
        <v>276.24400000000003</v>
      </c>
      <c r="O24" s="686">
        <v>2.495076816148043</v>
      </c>
      <c r="Q24" s="627" t="s">
        <v>349</v>
      </c>
      <c r="R24" s="628">
        <v>308.75400000000002</v>
      </c>
      <c r="S24" s="628">
        <v>83.043999999999997</v>
      </c>
      <c r="T24" s="688">
        <v>3.7179567458214926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051"/>
      <c r="J25" s="122"/>
      <c r="L25" s="627" t="s">
        <v>207</v>
      </c>
      <c r="M25" s="628">
        <v>387.18</v>
      </c>
      <c r="N25" s="628">
        <v>89.337000000000003</v>
      </c>
      <c r="O25" s="686">
        <v>4.3339265925652306</v>
      </c>
      <c r="Q25" s="627" t="s">
        <v>372</v>
      </c>
      <c r="R25" s="628">
        <v>252.471</v>
      </c>
      <c r="S25" s="628">
        <v>73.765000000000001</v>
      </c>
      <c r="T25" s="688">
        <v>3.4226394631600354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051"/>
      <c r="J26" s="122"/>
      <c r="K26" s="122"/>
      <c r="L26" s="627" t="s">
        <v>356</v>
      </c>
      <c r="M26" s="628">
        <v>363.72</v>
      </c>
      <c r="N26" s="628">
        <v>124.45099999999999</v>
      </c>
      <c r="O26" s="686">
        <v>2.9225960418156549</v>
      </c>
      <c r="Q26" s="1049" t="s">
        <v>328</v>
      </c>
      <c r="R26" s="631">
        <v>30027.486000000001</v>
      </c>
      <c r="S26" s="631">
        <v>7851.4790000000003</v>
      </c>
      <c r="T26" s="784">
        <v>3.8244368990861468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051"/>
      <c r="J27" s="122"/>
      <c r="K27" s="122"/>
      <c r="L27" s="1049" t="s">
        <v>328</v>
      </c>
      <c r="M27" s="631">
        <v>75128.796000000002</v>
      </c>
      <c r="N27" s="631">
        <v>19667.098999999998</v>
      </c>
      <c r="O27" s="784">
        <v>3.8200242953981167</v>
      </c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59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59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59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059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059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059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059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59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59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059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059"/>
      <c r="J38" s="122"/>
      <c r="K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059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059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059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059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059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059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059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059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059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059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059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059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059"/>
      <c r="J51" s="122"/>
      <c r="K51" s="122"/>
      <c r="L51" s="122"/>
    </row>
    <row r="52" spans="2:20">
      <c r="B52" s="122"/>
      <c r="C52" s="122"/>
      <c r="D52" s="122"/>
      <c r="E52" s="122"/>
      <c r="F52" s="122"/>
      <c r="G52" s="122"/>
      <c r="H52" s="122"/>
      <c r="I52" s="1059"/>
      <c r="J52" s="122"/>
      <c r="K52" s="122"/>
      <c r="L52" s="122"/>
    </row>
    <row r="53" spans="2:20">
      <c r="B53" s="122"/>
      <c r="C53" s="122"/>
      <c r="D53" s="122"/>
      <c r="E53" s="122"/>
      <c r="F53" s="122"/>
      <c r="G53" s="122"/>
      <c r="H53" s="122"/>
      <c r="I53" s="1059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059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059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059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059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059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059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059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059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059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059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059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059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059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059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059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059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059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059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059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3.2851562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2" t="s">
        <v>373</v>
      </c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2"/>
      <c r="X2" s="1232"/>
      <c r="Y2" s="1232"/>
      <c r="Z2" s="1232"/>
      <c r="AA2" s="1232"/>
      <c r="AB2" s="1232"/>
    </row>
    <row r="3" spans="2:28" ht="18" customHeight="1">
      <c r="B3" s="1235" t="s">
        <v>371</v>
      </c>
      <c r="C3" s="1235"/>
      <c r="D3" s="1235"/>
      <c r="E3" s="1235"/>
      <c r="F3" s="1235"/>
      <c r="G3" s="1235"/>
      <c r="H3" s="1235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213</v>
      </c>
      <c r="C8" s="624">
        <v>1743.4469999999999</v>
      </c>
      <c r="D8" s="624">
        <v>4662</v>
      </c>
      <c r="E8" s="785">
        <v>2.3392804431014955</v>
      </c>
      <c r="F8" s="897"/>
      <c r="G8" s="896" t="s">
        <v>213</v>
      </c>
      <c r="H8" s="624">
        <v>696.26499999999999</v>
      </c>
      <c r="I8" s="992">
        <v>2604</v>
      </c>
      <c r="J8" s="993">
        <v>3.7720766697005157</v>
      </c>
      <c r="K8" s="700"/>
      <c r="L8" s="800" t="s">
        <v>197</v>
      </c>
      <c r="M8" s="624">
        <v>1040.636</v>
      </c>
      <c r="N8" s="624">
        <v>265.17599999999999</v>
      </c>
      <c r="O8" s="785">
        <v>3.9243219597550305</v>
      </c>
      <c r="P8" s="700"/>
      <c r="Q8" s="800" t="s">
        <v>311</v>
      </c>
      <c r="R8" s="624">
        <v>373.49700000000001</v>
      </c>
      <c r="S8" s="624">
        <v>68.733999999999995</v>
      </c>
      <c r="T8" s="785">
        <v>5.4339482643233339</v>
      </c>
    </row>
    <row r="9" spans="2:28" ht="15.75">
      <c r="B9" s="627" t="s">
        <v>209</v>
      </c>
      <c r="C9" s="628">
        <v>1607.944</v>
      </c>
      <c r="D9" s="628">
        <v>2283</v>
      </c>
      <c r="E9" s="686">
        <v>2.3430570673754367</v>
      </c>
      <c r="F9" s="898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0"/>
      <c r="L9" s="627" t="s">
        <v>216</v>
      </c>
      <c r="M9" s="628">
        <v>707.28300000000002</v>
      </c>
      <c r="N9" s="628">
        <v>278.28800000000001</v>
      </c>
      <c r="O9" s="686">
        <v>2.5415504800781923</v>
      </c>
      <c r="P9" s="700"/>
      <c r="Q9" s="627" t="s">
        <v>199</v>
      </c>
      <c r="R9" s="628">
        <v>332.45</v>
      </c>
      <c r="S9" s="628">
        <v>102.884</v>
      </c>
      <c r="T9" s="686">
        <v>3.2313090470821506</v>
      </c>
    </row>
    <row r="10" spans="2:28" ht="16.5" thickBot="1">
      <c r="B10" s="629" t="s">
        <v>208</v>
      </c>
      <c r="C10" s="628">
        <v>760.42399999999998</v>
      </c>
      <c r="D10" s="628">
        <v>468</v>
      </c>
      <c r="E10" s="686">
        <v>3.3783709337764227</v>
      </c>
      <c r="F10" s="897"/>
      <c r="G10" s="1060" t="s">
        <v>209</v>
      </c>
      <c r="H10" s="1048">
        <v>20.103999999999999</v>
      </c>
      <c r="I10" s="1061">
        <v>152</v>
      </c>
      <c r="J10" s="1062">
        <v>2.5933952528379773</v>
      </c>
      <c r="K10" s="700"/>
      <c r="L10" s="627" t="s">
        <v>199</v>
      </c>
      <c r="M10" s="628">
        <v>595.52</v>
      </c>
      <c r="N10" s="628">
        <v>180.66399999999999</v>
      </c>
      <c r="O10" s="686">
        <v>3.2962848160120446</v>
      </c>
      <c r="P10" s="700"/>
      <c r="Q10" s="627" t="s">
        <v>208</v>
      </c>
      <c r="R10" s="628">
        <v>225.64599999999999</v>
      </c>
      <c r="S10" s="628">
        <v>76.606999999999999</v>
      </c>
      <c r="T10" s="686">
        <v>2.9455010638714478</v>
      </c>
    </row>
    <row r="11" spans="2:28" ht="16.5" thickBot="1">
      <c r="B11" s="629" t="s">
        <v>217</v>
      </c>
      <c r="C11" s="628">
        <v>663.84100000000001</v>
      </c>
      <c r="D11" s="630">
        <v>1433</v>
      </c>
      <c r="E11" s="687">
        <v>1.8538694831380347</v>
      </c>
      <c r="F11" s="898"/>
      <c r="G11" s="957" t="s">
        <v>328</v>
      </c>
      <c r="H11" s="631">
        <v>764.11199999999997</v>
      </c>
      <c r="I11" s="631">
        <v>3078</v>
      </c>
      <c r="J11" s="784">
        <v>3.5551998808903447</v>
      </c>
      <c r="K11" s="700"/>
      <c r="L11" s="627" t="s">
        <v>194</v>
      </c>
      <c r="M11" s="628">
        <v>536.04300000000001</v>
      </c>
      <c r="N11" s="628">
        <v>216.756</v>
      </c>
      <c r="O11" s="686">
        <v>2.4730249681669711</v>
      </c>
      <c r="P11" s="700"/>
      <c r="Q11" s="627" t="s">
        <v>197</v>
      </c>
      <c r="R11" s="628">
        <v>213.49100000000001</v>
      </c>
      <c r="S11" s="628">
        <v>60.811999999999998</v>
      </c>
      <c r="T11" s="686">
        <v>3.5106722357429456</v>
      </c>
    </row>
    <row r="12" spans="2:28" ht="15.75">
      <c r="B12" s="629" t="s">
        <v>311</v>
      </c>
      <c r="C12" s="628">
        <v>425.48200000000003</v>
      </c>
      <c r="D12" s="630">
        <v>739</v>
      </c>
      <c r="E12" s="687">
        <v>3.9108239273502701</v>
      </c>
      <c r="F12" s="898"/>
      <c r="G12" s="122"/>
      <c r="H12" s="122"/>
      <c r="I12" s="122"/>
      <c r="J12" s="122"/>
      <c r="K12" s="700"/>
      <c r="L12" s="627" t="s">
        <v>203</v>
      </c>
      <c r="M12" s="628">
        <v>480.76100000000002</v>
      </c>
      <c r="N12" s="628">
        <v>159.41</v>
      </c>
      <c r="O12" s="686">
        <v>3.0158772975346593</v>
      </c>
      <c r="P12" s="700"/>
      <c r="Q12" s="627" t="s">
        <v>203</v>
      </c>
      <c r="R12" s="628">
        <v>95.162000000000006</v>
      </c>
      <c r="S12" s="628">
        <v>19.818999999999999</v>
      </c>
      <c r="T12" s="686">
        <v>4.80155406428175</v>
      </c>
    </row>
    <row r="13" spans="2:28" ht="16.5" thickBot="1">
      <c r="B13" s="629" t="s">
        <v>214</v>
      </c>
      <c r="C13" s="628">
        <v>369.89499999999998</v>
      </c>
      <c r="D13" s="630">
        <v>534</v>
      </c>
      <c r="E13" s="687">
        <v>2.004318636242949</v>
      </c>
      <c r="F13" s="898"/>
      <c r="G13" s="122"/>
      <c r="H13" s="122"/>
      <c r="I13" s="122"/>
      <c r="J13" s="122"/>
      <c r="K13" s="700"/>
      <c r="L13" s="627" t="s">
        <v>311</v>
      </c>
      <c r="M13" s="628">
        <v>419.46100000000001</v>
      </c>
      <c r="N13" s="628">
        <v>48.798000000000002</v>
      </c>
      <c r="O13" s="686">
        <v>8.5958645846141231</v>
      </c>
      <c r="P13" s="700"/>
      <c r="Q13" s="627" t="s">
        <v>212</v>
      </c>
      <c r="R13" s="628">
        <v>26.736999999999998</v>
      </c>
      <c r="S13" s="628">
        <v>10.726000000000001</v>
      </c>
      <c r="T13" s="686">
        <v>2.4927279507738205</v>
      </c>
    </row>
    <row r="14" spans="2:28" ht="16.5" thickBot="1">
      <c r="B14" s="629" t="s">
        <v>199</v>
      </c>
      <c r="C14" s="628">
        <v>327.08100000000002</v>
      </c>
      <c r="D14" s="630">
        <v>342</v>
      </c>
      <c r="E14" s="687">
        <v>1.5139624982063755</v>
      </c>
      <c r="F14" s="898"/>
      <c r="G14" s="122"/>
      <c r="H14" s="122"/>
      <c r="I14" s="122"/>
      <c r="J14" s="122"/>
      <c r="K14" s="700"/>
      <c r="L14" s="627" t="s">
        <v>217</v>
      </c>
      <c r="M14" s="628">
        <v>310.24200000000002</v>
      </c>
      <c r="N14" s="628">
        <v>130.25899999999999</v>
      </c>
      <c r="O14" s="686">
        <v>2.3817317805295608</v>
      </c>
      <c r="P14" s="700"/>
      <c r="Q14" s="1049" t="s">
        <v>328</v>
      </c>
      <c r="R14" s="631">
        <v>1299.566</v>
      </c>
      <c r="S14" s="631">
        <v>346.45800000000003</v>
      </c>
      <c r="T14" s="784">
        <v>3.7510058939323092</v>
      </c>
    </row>
    <row r="15" spans="2:28" ht="15.75">
      <c r="B15" s="629" t="s">
        <v>194</v>
      </c>
      <c r="C15" s="628">
        <v>264.37400000000002</v>
      </c>
      <c r="D15" s="628">
        <v>1042</v>
      </c>
      <c r="E15" s="686">
        <v>2.961742267232784</v>
      </c>
      <c r="F15" s="898"/>
      <c r="G15" s="122"/>
      <c r="H15" s="122"/>
      <c r="I15" s="122"/>
      <c r="J15" s="122"/>
      <c r="K15" s="700"/>
      <c r="L15" s="627" t="s">
        <v>215</v>
      </c>
      <c r="M15" s="628">
        <v>207.476</v>
      </c>
      <c r="N15" s="628">
        <v>54.054000000000002</v>
      </c>
      <c r="O15" s="686">
        <v>3.8383098383098382</v>
      </c>
      <c r="P15" s="700"/>
      <c r="Q15" s="122"/>
      <c r="R15" s="122"/>
      <c r="S15" s="122"/>
      <c r="T15" s="122"/>
    </row>
    <row r="16" spans="2:28" ht="15.75">
      <c r="B16" s="629" t="s">
        <v>207</v>
      </c>
      <c r="C16" s="628">
        <v>208.60300000000001</v>
      </c>
      <c r="D16" s="630">
        <v>234</v>
      </c>
      <c r="E16" s="687">
        <v>2.8104521448588056</v>
      </c>
      <c r="F16" s="898"/>
      <c r="K16" s="700"/>
      <c r="L16" s="627" t="s">
        <v>212</v>
      </c>
      <c r="M16" s="628">
        <v>185.15700000000001</v>
      </c>
      <c r="N16" s="628">
        <v>49.02</v>
      </c>
      <c r="O16" s="686">
        <v>3.7771725826193392</v>
      </c>
      <c r="P16" s="700"/>
      <c r="Q16" s="122"/>
      <c r="R16" s="122"/>
      <c r="S16" s="122"/>
      <c r="T16" s="122"/>
    </row>
    <row r="17" spans="2:21" ht="16.5" thickBot="1">
      <c r="B17" s="629" t="s">
        <v>197</v>
      </c>
      <c r="C17" s="628">
        <v>140.429</v>
      </c>
      <c r="D17" s="628">
        <v>109</v>
      </c>
      <c r="E17" s="686">
        <v>2.70889274691358</v>
      </c>
      <c r="F17" s="897"/>
      <c r="K17" s="700"/>
      <c r="L17" s="627" t="s">
        <v>208</v>
      </c>
      <c r="M17" s="628">
        <v>145.07599999999999</v>
      </c>
      <c r="N17" s="628">
        <v>30.847000000000001</v>
      </c>
      <c r="O17" s="686">
        <v>4.7030829578240994</v>
      </c>
      <c r="P17" s="700"/>
      <c r="Q17" s="122"/>
      <c r="R17" s="122"/>
      <c r="S17" s="122"/>
      <c r="T17" s="122"/>
      <c r="U17" s="122"/>
    </row>
    <row r="18" spans="2:21" ht="16.5" thickBot="1">
      <c r="B18" s="1049" t="s">
        <v>328</v>
      </c>
      <c r="C18" s="631">
        <v>6671.393</v>
      </c>
      <c r="D18" s="631">
        <v>12168</v>
      </c>
      <c r="E18" s="784">
        <v>2.3898688569104194</v>
      </c>
      <c r="F18" s="899"/>
      <c r="H18" s="122"/>
      <c r="I18" s="122"/>
      <c r="J18" s="122"/>
      <c r="K18" s="122"/>
      <c r="L18" s="1049" t="s">
        <v>328</v>
      </c>
      <c r="M18" s="631">
        <v>4927.5829999999996</v>
      </c>
      <c r="N18" s="631">
        <v>1515.627</v>
      </c>
      <c r="O18" s="784">
        <v>3.251184493282318</v>
      </c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U19" s="122"/>
    </row>
    <row r="20" spans="2:21" ht="15" customHeight="1"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63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63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063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063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063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063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063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063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063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063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063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063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063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063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063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29" zoomScale="80" zoomScaleNormal="80" workbookViewId="0">
      <selection activeCell="Q561" sqref="Q561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1" t="s">
        <v>261</v>
      </c>
      <c r="C5" s="1301"/>
      <c r="D5" s="1301"/>
      <c r="E5" s="1301"/>
      <c r="F5" s="1301"/>
      <c r="G5" s="1301"/>
      <c r="H5" s="1301"/>
      <c r="I5" s="1301"/>
      <c r="J5" s="1301"/>
      <c r="K5" s="1301"/>
      <c r="L5" s="1301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2" t="s">
        <v>263</v>
      </c>
      <c r="C7" s="1297" t="s">
        <v>22</v>
      </c>
      <c r="D7" s="1297" t="s">
        <v>264</v>
      </c>
      <c r="E7" s="1305" t="s">
        <v>265</v>
      </c>
      <c r="F7" s="1306"/>
      <c r="G7" s="1307"/>
      <c r="H7" s="1308" t="s">
        <v>266</v>
      </c>
      <c r="I7" s="1310" t="s">
        <v>267</v>
      </c>
      <c r="J7" s="1311"/>
      <c r="K7" s="1311"/>
      <c r="L7" s="1302"/>
    </row>
    <row r="8" spans="2:13">
      <c r="B8" s="1303"/>
      <c r="C8" s="1304"/>
      <c r="D8" s="1304"/>
      <c r="E8" s="1295" t="s">
        <v>268</v>
      </c>
      <c r="F8" s="1297" t="s">
        <v>269</v>
      </c>
      <c r="G8" s="1297" t="s">
        <v>270</v>
      </c>
      <c r="H8" s="1309"/>
      <c r="I8" s="1295" t="s">
        <v>271</v>
      </c>
      <c r="J8" s="1295" t="s">
        <v>24</v>
      </c>
      <c r="K8" s="1297" t="s">
        <v>272</v>
      </c>
      <c r="L8" s="1295" t="s">
        <v>273</v>
      </c>
    </row>
    <row r="9" spans="2:13">
      <c r="B9" s="1303"/>
      <c r="C9" s="1304"/>
      <c r="D9" s="1304"/>
      <c r="E9" s="1296"/>
      <c r="F9" s="1304"/>
      <c r="G9" s="1304"/>
      <c r="H9" s="1309"/>
      <c r="I9" s="1296"/>
      <c r="J9" s="1296"/>
      <c r="K9" s="1298"/>
      <c r="L9" s="1296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290"/>
      <c r="O105" s="1290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90"/>
      <c r="O121" s="1290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90"/>
      <c r="O145" s="1290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90"/>
      <c r="O171" s="1290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0" t="s">
        <v>299</v>
      </c>
      <c r="D177" s="1260"/>
      <c r="E177" s="1260"/>
      <c r="F177" s="1260"/>
      <c r="G177" s="1260"/>
      <c r="H177" s="1260"/>
      <c r="I177" s="1260"/>
      <c r="J177" s="1260"/>
      <c r="K177" s="1260"/>
      <c r="L177" s="1291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92" t="s">
        <v>263</v>
      </c>
      <c r="C194" s="1264" t="s">
        <v>22</v>
      </c>
      <c r="D194" s="1264" t="s">
        <v>264</v>
      </c>
      <c r="E194" s="1266" t="s">
        <v>265</v>
      </c>
      <c r="F194" s="1267"/>
      <c r="G194" s="1268"/>
      <c r="H194" s="1269" t="s">
        <v>266</v>
      </c>
      <c r="I194" s="1271" t="s">
        <v>267</v>
      </c>
      <c r="J194" s="1272"/>
      <c r="K194" s="1272"/>
      <c r="L194" s="1294"/>
    </row>
    <row r="195" spans="2:12" ht="12.75" customHeight="1">
      <c r="B195" s="1293"/>
      <c r="C195" s="1265"/>
      <c r="D195" s="1265"/>
      <c r="E195" s="1279" t="s">
        <v>268</v>
      </c>
      <c r="F195" s="1264" t="s">
        <v>269</v>
      </c>
      <c r="G195" s="1264" t="s">
        <v>270</v>
      </c>
      <c r="H195" s="1270"/>
      <c r="I195" s="1279" t="s">
        <v>271</v>
      </c>
      <c r="J195" s="1279" t="s">
        <v>24</v>
      </c>
      <c r="K195" s="1264" t="s">
        <v>272</v>
      </c>
      <c r="L195" s="1299" t="s">
        <v>273</v>
      </c>
    </row>
    <row r="196" spans="2:12" ht="12.75" customHeight="1">
      <c r="B196" s="1293"/>
      <c r="C196" s="1265"/>
      <c r="D196" s="1265"/>
      <c r="E196" s="1286"/>
      <c r="F196" s="1265"/>
      <c r="G196" s="1265"/>
      <c r="H196" s="1270"/>
      <c r="I196" s="1280"/>
      <c r="J196" s="1280"/>
      <c r="K196" s="1281"/>
      <c r="L196" s="1300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0" t="s">
        <v>300</v>
      </c>
      <c r="D199" s="1260"/>
      <c r="E199" s="1260"/>
      <c r="F199" s="1260"/>
      <c r="G199" s="1260"/>
      <c r="H199" s="1260"/>
      <c r="I199" s="1260"/>
      <c r="J199" s="1260"/>
      <c r="K199" s="1260"/>
      <c r="L199" s="1291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3" t="s">
        <v>263</v>
      </c>
      <c r="C234" s="1264" t="s">
        <v>22</v>
      </c>
      <c r="D234" s="1264" t="s">
        <v>264</v>
      </c>
      <c r="E234" s="1266" t="s">
        <v>265</v>
      </c>
      <c r="F234" s="1267"/>
      <c r="G234" s="1268"/>
      <c r="H234" s="1269" t="s">
        <v>266</v>
      </c>
      <c r="I234" s="1266" t="s">
        <v>267</v>
      </c>
      <c r="J234" s="1267"/>
      <c r="K234" s="1267"/>
      <c r="L234" s="1267"/>
    </row>
    <row r="235" spans="2:12">
      <c r="B235" s="1289"/>
      <c r="C235" s="1265"/>
      <c r="D235" s="1265"/>
      <c r="E235" s="1279" t="s">
        <v>268</v>
      </c>
      <c r="F235" s="1264" t="s">
        <v>269</v>
      </c>
      <c r="G235" s="1264" t="s">
        <v>270</v>
      </c>
      <c r="H235" s="1270"/>
      <c r="I235" s="1279" t="s">
        <v>271</v>
      </c>
      <c r="J235" s="1279" t="s">
        <v>24</v>
      </c>
      <c r="K235" s="1264" t="s">
        <v>272</v>
      </c>
      <c r="L235" s="1271" t="s">
        <v>273</v>
      </c>
    </row>
    <row r="236" spans="2:12">
      <c r="B236" s="1289"/>
      <c r="C236" s="1265"/>
      <c r="D236" s="1265"/>
      <c r="E236" s="1286"/>
      <c r="F236" s="1265"/>
      <c r="G236" s="1265"/>
      <c r="H236" s="1270"/>
      <c r="I236" s="1286"/>
      <c r="J236" s="1286"/>
      <c r="K236" s="1265"/>
      <c r="L236" s="1285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3" t="s">
        <v>274</v>
      </c>
      <c r="D239" s="1283"/>
      <c r="E239" s="1283"/>
      <c r="F239" s="1283"/>
      <c r="G239" s="1283"/>
      <c r="H239" s="1283"/>
      <c r="I239" s="1283"/>
      <c r="J239" s="1283"/>
      <c r="K239" s="1283"/>
      <c r="L239" s="1283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0" t="s">
        <v>299</v>
      </c>
      <c r="D256" s="1260"/>
      <c r="E256" s="1260"/>
      <c r="F256" s="1260"/>
      <c r="G256" s="1260"/>
      <c r="H256" s="1260"/>
      <c r="I256" s="1260"/>
      <c r="J256" s="1260"/>
      <c r="K256" s="1260"/>
      <c r="L256" s="1260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87" t="s">
        <v>263</v>
      </c>
      <c r="C273" s="1264" t="s">
        <v>22</v>
      </c>
      <c r="D273" s="1264" t="s">
        <v>264</v>
      </c>
      <c r="E273" s="1266" t="s">
        <v>265</v>
      </c>
      <c r="F273" s="1267"/>
      <c r="G273" s="1268"/>
      <c r="H273" s="1269" t="s">
        <v>266</v>
      </c>
      <c r="I273" s="1271" t="s">
        <v>267</v>
      </c>
      <c r="J273" s="1272"/>
      <c r="K273" s="1272"/>
      <c r="L273" s="1272"/>
    </row>
    <row r="274" spans="2:12" ht="11.25" customHeight="1">
      <c r="B274" s="1288"/>
      <c r="C274" s="1265"/>
      <c r="D274" s="1265"/>
      <c r="E274" s="1279" t="s">
        <v>268</v>
      </c>
      <c r="F274" s="1264" t="s">
        <v>269</v>
      </c>
      <c r="G274" s="1264" t="s">
        <v>270</v>
      </c>
      <c r="H274" s="1270"/>
      <c r="I274" s="1279" t="s">
        <v>271</v>
      </c>
      <c r="J274" s="1279" t="s">
        <v>24</v>
      </c>
      <c r="K274" s="1264" t="s">
        <v>272</v>
      </c>
      <c r="L274" s="1271" t="s">
        <v>273</v>
      </c>
    </row>
    <row r="275" spans="2:12" ht="11.25" customHeight="1">
      <c r="B275" s="1288"/>
      <c r="C275" s="1265"/>
      <c r="D275" s="1265"/>
      <c r="E275" s="1286"/>
      <c r="F275" s="1265"/>
      <c r="G275" s="1265"/>
      <c r="H275" s="1270"/>
      <c r="I275" s="1280"/>
      <c r="J275" s="1280"/>
      <c r="K275" s="1281"/>
      <c r="L275" s="1285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0" t="s">
        <v>300</v>
      </c>
      <c r="D278" s="1260"/>
      <c r="E278" s="1260"/>
      <c r="F278" s="1260"/>
      <c r="G278" s="1260"/>
      <c r="H278" s="1260"/>
      <c r="I278" s="1260"/>
      <c r="J278" s="1260"/>
      <c r="K278" s="1260"/>
      <c r="L278" s="1260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79" t="s">
        <v>263</v>
      </c>
      <c r="C313" s="1264" t="s">
        <v>22</v>
      </c>
      <c r="D313" s="1264" t="s">
        <v>264</v>
      </c>
      <c r="E313" s="1266" t="s">
        <v>265</v>
      </c>
      <c r="F313" s="1267"/>
      <c r="G313" s="1268"/>
      <c r="H313" s="1264" t="s">
        <v>266</v>
      </c>
      <c r="I313" s="1266" t="s">
        <v>267</v>
      </c>
      <c r="J313" s="1267"/>
      <c r="K313" s="1267"/>
      <c r="L313" s="1268"/>
    </row>
    <row r="314" spans="2:12" ht="11.25" customHeight="1">
      <c r="B314" s="1286"/>
      <c r="C314" s="1265"/>
      <c r="D314" s="1265"/>
      <c r="E314" s="1274" t="s">
        <v>304</v>
      </c>
      <c r="F314" s="1277" t="s">
        <v>305</v>
      </c>
      <c r="G314" s="1277" t="s">
        <v>306</v>
      </c>
      <c r="H314" s="1265"/>
      <c r="I314" s="1279" t="s">
        <v>271</v>
      </c>
      <c r="J314" s="1279" t="s">
        <v>24</v>
      </c>
      <c r="K314" s="1264" t="s">
        <v>272</v>
      </c>
      <c r="L314" s="1279" t="s">
        <v>273</v>
      </c>
    </row>
    <row r="315" spans="2:12" ht="11.25" customHeight="1">
      <c r="B315" s="1280"/>
      <c r="C315" s="1281"/>
      <c r="D315" s="1281"/>
      <c r="E315" s="1276"/>
      <c r="F315" s="1278"/>
      <c r="G315" s="1278"/>
      <c r="H315" s="1281"/>
      <c r="I315" s="1280"/>
      <c r="J315" s="1280"/>
      <c r="K315" s="1281"/>
      <c r="L315" s="1280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3" t="s">
        <v>274</v>
      </c>
      <c r="D318" s="1283"/>
      <c r="E318" s="1283"/>
      <c r="F318" s="1283"/>
      <c r="G318" s="1283"/>
      <c r="H318" s="1283"/>
      <c r="I318" s="1283"/>
      <c r="J318" s="1283"/>
      <c r="K318" s="1283"/>
      <c r="L318" s="1284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0" t="s">
        <v>299</v>
      </c>
      <c r="D335" s="1260"/>
      <c r="E335" s="1260"/>
      <c r="F335" s="1260"/>
      <c r="G335" s="1260"/>
      <c r="H335" s="1260"/>
      <c r="I335" s="1260"/>
      <c r="J335" s="1260"/>
      <c r="K335" s="1260"/>
      <c r="L335" s="1261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2" t="s">
        <v>263</v>
      </c>
      <c r="C352" s="1264" t="s">
        <v>22</v>
      </c>
      <c r="D352" s="1264" t="s">
        <v>264</v>
      </c>
      <c r="E352" s="1266" t="s">
        <v>265</v>
      </c>
      <c r="F352" s="1267"/>
      <c r="G352" s="1268"/>
      <c r="H352" s="1269" t="s">
        <v>266</v>
      </c>
      <c r="I352" s="1271" t="s">
        <v>267</v>
      </c>
      <c r="J352" s="1272"/>
      <c r="K352" s="1272"/>
      <c r="L352" s="1273"/>
    </row>
    <row r="353" spans="2:12" ht="11.25" customHeight="1">
      <c r="B353" s="1263"/>
      <c r="C353" s="1265"/>
      <c r="D353" s="1265"/>
      <c r="E353" s="1274" t="s">
        <v>304</v>
      </c>
      <c r="F353" s="1277" t="s">
        <v>305</v>
      </c>
      <c r="G353" s="1277" t="s">
        <v>306</v>
      </c>
      <c r="H353" s="1270"/>
      <c r="I353" s="1279" t="s">
        <v>271</v>
      </c>
      <c r="J353" s="1279" t="s">
        <v>24</v>
      </c>
      <c r="K353" s="1264" t="s">
        <v>272</v>
      </c>
      <c r="L353" s="1279" t="s">
        <v>273</v>
      </c>
    </row>
    <row r="354" spans="2:12" ht="11.25" customHeight="1">
      <c r="B354" s="1263"/>
      <c r="C354" s="1265"/>
      <c r="D354" s="1265"/>
      <c r="E354" s="1275"/>
      <c r="F354" s="1282"/>
      <c r="G354" s="1282"/>
      <c r="H354" s="1270"/>
      <c r="I354" s="1280"/>
      <c r="J354" s="1280"/>
      <c r="K354" s="1281"/>
      <c r="L354" s="1280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0" t="s">
        <v>300</v>
      </c>
      <c r="D357" s="1260"/>
      <c r="E357" s="1260"/>
      <c r="F357" s="1260"/>
      <c r="G357" s="1260"/>
      <c r="H357" s="1260"/>
      <c r="I357" s="1260"/>
      <c r="J357" s="1260"/>
      <c r="K357" s="1260"/>
      <c r="L357" s="1261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6" t="s">
        <v>263</v>
      </c>
      <c r="C393" s="1242" t="s">
        <v>22</v>
      </c>
      <c r="D393" s="1242" t="s">
        <v>264</v>
      </c>
      <c r="E393" s="1244" t="s">
        <v>265</v>
      </c>
      <c r="F393" s="1245"/>
      <c r="G393" s="1246"/>
      <c r="H393" s="1247" t="s">
        <v>266</v>
      </c>
      <c r="I393" s="1244" t="s">
        <v>267</v>
      </c>
      <c r="J393" s="1245"/>
      <c r="K393" s="1245"/>
      <c r="L393" s="1246"/>
    </row>
    <row r="394" spans="2:12" ht="11.25" customHeight="1">
      <c r="B394" s="1259"/>
      <c r="C394" s="1243"/>
      <c r="D394" s="1243"/>
      <c r="E394" s="1252" t="s">
        <v>304</v>
      </c>
      <c r="F394" s="1254" t="s">
        <v>305</v>
      </c>
      <c r="G394" s="1254" t="s">
        <v>306</v>
      </c>
      <c r="H394" s="1248"/>
      <c r="I394" s="1256" t="s">
        <v>271</v>
      </c>
      <c r="J394" s="1256" t="s">
        <v>24</v>
      </c>
      <c r="K394" s="1242" t="s">
        <v>272</v>
      </c>
      <c r="L394" s="1256" t="s">
        <v>273</v>
      </c>
    </row>
    <row r="395" spans="2:12" ht="11.25" customHeight="1">
      <c r="B395" s="1259"/>
      <c r="C395" s="1243"/>
      <c r="D395" s="1243"/>
      <c r="E395" s="1253"/>
      <c r="F395" s="1255"/>
      <c r="G395" s="1255"/>
      <c r="H395" s="1248"/>
      <c r="I395" s="1259"/>
      <c r="J395" s="1259"/>
      <c r="K395" s="1243"/>
      <c r="L395" s="1257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38" t="s">
        <v>274</v>
      </c>
      <c r="D398" s="1238"/>
      <c r="E398" s="1238"/>
      <c r="F398" s="1238"/>
      <c r="G398" s="1238"/>
      <c r="H398" s="1238"/>
      <c r="I398" s="1238"/>
      <c r="J398" s="1238"/>
      <c r="K398" s="1238"/>
      <c r="L398" s="1239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36" t="s">
        <v>299</v>
      </c>
      <c r="D415" s="1236"/>
      <c r="E415" s="1236"/>
      <c r="F415" s="1236"/>
      <c r="G415" s="1236"/>
      <c r="H415" s="1236"/>
      <c r="I415" s="1236"/>
      <c r="J415" s="1236"/>
      <c r="K415" s="1236"/>
      <c r="L415" s="1237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0" t="s">
        <v>263</v>
      </c>
      <c r="C432" s="1242" t="s">
        <v>22</v>
      </c>
      <c r="D432" s="1242" t="s">
        <v>264</v>
      </c>
      <c r="E432" s="1244" t="s">
        <v>265</v>
      </c>
      <c r="F432" s="1245"/>
      <c r="G432" s="1246"/>
      <c r="H432" s="1247" t="s">
        <v>266</v>
      </c>
      <c r="I432" s="1249" t="s">
        <v>267</v>
      </c>
      <c r="J432" s="1250"/>
      <c r="K432" s="1250"/>
      <c r="L432" s="1251"/>
    </row>
    <row r="433" spans="2:12" ht="11.25" customHeight="1">
      <c r="B433" s="1241"/>
      <c r="C433" s="1243"/>
      <c r="D433" s="1243"/>
      <c r="E433" s="1252" t="s">
        <v>304</v>
      </c>
      <c r="F433" s="1254" t="s">
        <v>305</v>
      </c>
      <c r="G433" s="1254" t="s">
        <v>306</v>
      </c>
      <c r="H433" s="1248"/>
      <c r="I433" s="1256" t="s">
        <v>271</v>
      </c>
      <c r="J433" s="1256" t="s">
        <v>24</v>
      </c>
      <c r="K433" s="1242" t="s">
        <v>272</v>
      </c>
      <c r="L433" s="1256" t="s">
        <v>273</v>
      </c>
    </row>
    <row r="434" spans="2:12" ht="11.25" customHeight="1">
      <c r="B434" s="1241"/>
      <c r="C434" s="1243"/>
      <c r="D434" s="1243"/>
      <c r="E434" s="1253"/>
      <c r="F434" s="1255"/>
      <c r="G434" s="1255"/>
      <c r="H434" s="1248"/>
      <c r="I434" s="1257"/>
      <c r="J434" s="1257"/>
      <c r="K434" s="1258"/>
      <c r="L434" s="1257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36" t="s">
        <v>300</v>
      </c>
      <c r="D437" s="1236"/>
      <c r="E437" s="1236"/>
      <c r="F437" s="1236"/>
      <c r="G437" s="1236"/>
      <c r="H437" s="1236"/>
      <c r="I437" s="1236"/>
      <c r="J437" s="1236"/>
      <c r="K437" s="1236"/>
      <c r="L437" s="1237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6" t="s">
        <v>263</v>
      </c>
      <c r="C475" s="1242" t="s">
        <v>22</v>
      </c>
      <c r="D475" s="1242" t="s">
        <v>264</v>
      </c>
      <c r="E475" s="1244" t="s">
        <v>265</v>
      </c>
      <c r="F475" s="1245"/>
      <c r="G475" s="1246"/>
      <c r="H475" s="1247" t="s">
        <v>266</v>
      </c>
      <c r="I475" s="1244" t="s">
        <v>267</v>
      </c>
      <c r="J475" s="1245"/>
      <c r="K475" s="1245"/>
      <c r="L475" s="1246"/>
    </row>
    <row r="476" spans="2:12" ht="11.25" customHeight="1">
      <c r="B476" s="1259"/>
      <c r="C476" s="1243"/>
      <c r="D476" s="1243"/>
      <c r="E476" s="1252" t="s">
        <v>304</v>
      </c>
      <c r="F476" s="1254" t="s">
        <v>305</v>
      </c>
      <c r="G476" s="1254" t="s">
        <v>306</v>
      </c>
      <c r="H476" s="1248"/>
      <c r="I476" s="1256" t="s">
        <v>271</v>
      </c>
      <c r="J476" s="1256" t="s">
        <v>24</v>
      </c>
      <c r="K476" s="1242" t="s">
        <v>272</v>
      </c>
      <c r="L476" s="1256" t="s">
        <v>273</v>
      </c>
    </row>
    <row r="477" spans="2:12" ht="11.25" customHeight="1">
      <c r="B477" s="1259"/>
      <c r="C477" s="1243"/>
      <c r="D477" s="1243"/>
      <c r="E477" s="1253"/>
      <c r="F477" s="1255"/>
      <c r="G477" s="1255"/>
      <c r="H477" s="1248"/>
      <c r="I477" s="1259"/>
      <c r="J477" s="1259"/>
      <c r="K477" s="1243"/>
      <c r="L477" s="1257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38" t="s">
        <v>274</v>
      </c>
      <c r="D480" s="1238"/>
      <c r="E480" s="1238"/>
      <c r="F480" s="1238"/>
      <c r="G480" s="1238"/>
      <c r="H480" s="1238"/>
      <c r="I480" s="1238"/>
      <c r="J480" s="1238"/>
      <c r="K480" s="1238"/>
      <c r="L480" s="1239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5">
        <v>176881</v>
      </c>
      <c r="D491" s="997">
        <v>4941</v>
      </c>
      <c r="E491" s="998">
        <v>1899</v>
      </c>
      <c r="F491" s="998">
        <v>2767</v>
      </c>
      <c r="G491" s="998">
        <v>275</v>
      </c>
      <c r="H491" s="996">
        <v>171940</v>
      </c>
      <c r="I491" s="998">
        <v>28983</v>
      </c>
      <c r="J491" s="998">
        <v>60425</v>
      </c>
      <c r="K491" s="998">
        <v>82532</v>
      </c>
      <c r="L491" s="735"/>
    </row>
    <row r="492" spans="2:12" ht="15">
      <c r="B492" s="884" t="s">
        <v>285</v>
      </c>
      <c r="C492" s="995">
        <v>157650</v>
      </c>
      <c r="D492" s="998">
        <v>4336</v>
      </c>
      <c r="E492" s="998">
        <v>1814</v>
      </c>
      <c r="F492" s="998">
        <v>2017</v>
      </c>
      <c r="G492" s="998">
        <v>505</v>
      </c>
      <c r="H492" s="998">
        <v>153314</v>
      </c>
      <c r="I492" s="998">
        <v>26176</v>
      </c>
      <c r="J492" s="998">
        <v>53316</v>
      </c>
      <c r="K492" s="998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36" t="s">
        <v>299</v>
      </c>
      <c r="D497" s="1236"/>
      <c r="E497" s="1236"/>
      <c r="F497" s="1236"/>
      <c r="G497" s="1236"/>
      <c r="H497" s="1236"/>
      <c r="I497" s="1236"/>
      <c r="J497" s="1236"/>
      <c r="K497" s="1236"/>
      <c r="L497" s="1237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9">
        <v>51567073</v>
      </c>
      <c r="D508" s="1001">
        <v>269087</v>
      </c>
      <c r="E508" s="1001">
        <v>66984</v>
      </c>
      <c r="F508" s="1001">
        <v>160926</v>
      </c>
      <c r="G508" s="1001">
        <v>41177</v>
      </c>
      <c r="H508" s="1000">
        <v>51297986</v>
      </c>
      <c r="I508" s="1001">
        <v>7715024</v>
      </c>
      <c r="J508" s="1001">
        <v>16353050</v>
      </c>
      <c r="K508" s="1001">
        <v>27229912</v>
      </c>
      <c r="L508" s="735"/>
    </row>
    <row r="509" spans="2:12" ht="12.75">
      <c r="B509" s="754" t="s">
        <v>285</v>
      </c>
      <c r="C509" s="999">
        <v>46086574</v>
      </c>
      <c r="D509" s="1001">
        <v>232053</v>
      </c>
      <c r="E509" s="1001">
        <v>58546</v>
      </c>
      <c r="F509" s="1001">
        <v>113020</v>
      </c>
      <c r="G509" s="1001">
        <v>60487</v>
      </c>
      <c r="H509" s="1001">
        <v>45854521</v>
      </c>
      <c r="I509" s="1001">
        <v>6971766</v>
      </c>
      <c r="J509" s="1001">
        <v>14390917</v>
      </c>
      <c r="K509" s="1001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5"/>
      <c r="C513" s="740"/>
      <c r="D513" s="740"/>
      <c r="E513" s="740"/>
      <c r="F513" s="740"/>
      <c r="G513" s="740"/>
      <c r="H513" s="740"/>
      <c r="I513" s="740"/>
      <c r="J513" s="740"/>
      <c r="K513" s="740"/>
      <c r="L513" s="966"/>
    </row>
    <row r="514" spans="2:12" ht="12.75" customHeight="1">
      <c r="B514" s="1240" t="s">
        <v>263</v>
      </c>
      <c r="C514" s="1242" t="s">
        <v>22</v>
      </c>
      <c r="D514" s="1242" t="s">
        <v>264</v>
      </c>
      <c r="E514" s="1244" t="s">
        <v>265</v>
      </c>
      <c r="F514" s="1245"/>
      <c r="G514" s="1246"/>
      <c r="H514" s="1247" t="s">
        <v>266</v>
      </c>
      <c r="I514" s="1249" t="s">
        <v>267</v>
      </c>
      <c r="J514" s="1250"/>
      <c r="K514" s="1250"/>
      <c r="L514" s="1251"/>
    </row>
    <row r="515" spans="2:12" ht="11.25" customHeight="1">
      <c r="B515" s="1241"/>
      <c r="C515" s="1243"/>
      <c r="D515" s="1243"/>
      <c r="E515" s="1252" t="s">
        <v>304</v>
      </c>
      <c r="F515" s="1254" t="s">
        <v>305</v>
      </c>
      <c r="G515" s="1254" t="s">
        <v>306</v>
      </c>
      <c r="H515" s="1248"/>
      <c r="I515" s="1256" t="s">
        <v>271</v>
      </c>
      <c r="J515" s="1256" t="s">
        <v>24</v>
      </c>
      <c r="K515" s="1242" t="s">
        <v>272</v>
      </c>
      <c r="L515" s="1256" t="s">
        <v>273</v>
      </c>
    </row>
    <row r="516" spans="2:12" ht="11.25" customHeight="1">
      <c r="B516" s="1241"/>
      <c r="C516" s="1243"/>
      <c r="D516" s="1243"/>
      <c r="E516" s="1253"/>
      <c r="F516" s="1255"/>
      <c r="G516" s="1255"/>
      <c r="H516" s="1248"/>
      <c r="I516" s="1257"/>
      <c r="J516" s="1257"/>
      <c r="K516" s="1258"/>
      <c r="L516" s="1257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36" t="s">
        <v>300</v>
      </c>
      <c r="D519" s="1236"/>
      <c r="E519" s="1236"/>
      <c r="F519" s="1236"/>
      <c r="G519" s="1236"/>
      <c r="H519" s="1236"/>
      <c r="I519" s="1236"/>
      <c r="J519" s="1236"/>
      <c r="K519" s="1236"/>
      <c r="L519" s="1237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2">
        <v>103129786</v>
      </c>
      <c r="D530" s="1004">
        <v>466381</v>
      </c>
      <c r="E530" s="1004">
        <v>115783</v>
      </c>
      <c r="F530" s="1004">
        <v>279344</v>
      </c>
      <c r="G530" s="1004">
        <v>71254</v>
      </c>
      <c r="H530" s="1003">
        <v>102663405</v>
      </c>
      <c r="I530" s="1004">
        <v>15418876</v>
      </c>
      <c r="J530" s="1004">
        <v>33786806</v>
      </c>
      <c r="K530" s="1004">
        <v>53457723</v>
      </c>
      <c r="L530" s="735"/>
    </row>
    <row r="531" spans="2:12" ht="12.75">
      <c r="B531" s="754" t="s">
        <v>285</v>
      </c>
      <c r="C531" s="1002">
        <v>92254109</v>
      </c>
      <c r="D531" s="1004">
        <v>409307</v>
      </c>
      <c r="E531" s="1004">
        <v>101133</v>
      </c>
      <c r="F531" s="1004">
        <v>196225</v>
      </c>
      <c r="G531" s="1005">
        <v>111949</v>
      </c>
      <c r="H531" s="1006">
        <v>91844802</v>
      </c>
      <c r="I531" s="1004">
        <v>13938872</v>
      </c>
      <c r="J531" s="1004">
        <v>29955939</v>
      </c>
      <c r="K531" s="1004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374</v>
      </c>
    </row>
    <row r="555" spans="2:12" ht="18">
      <c r="B555" s="881"/>
      <c r="C555" s="881"/>
      <c r="D555" s="881"/>
      <c r="E555" s="881"/>
      <c r="F555" s="882" t="s">
        <v>262</v>
      </c>
      <c r="G555" s="881"/>
      <c r="H555" s="881"/>
      <c r="I555" s="881"/>
      <c r="J555" s="881"/>
      <c r="K555" s="881"/>
      <c r="L555" s="881"/>
    </row>
    <row r="556" spans="2:12" ht="12.75">
      <c r="B556" s="1256" t="s">
        <v>263</v>
      </c>
      <c r="C556" s="1242" t="s">
        <v>22</v>
      </c>
      <c r="D556" s="1242" t="s">
        <v>264</v>
      </c>
      <c r="E556" s="1244" t="s">
        <v>265</v>
      </c>
      <c r="F556" s="1245"/>
      <c r="G556" s="1246"/>
      <c r="H556" s="1247" t="s">
        <v>266</v>
      </c>
      <c r="I556" s="1244" t="s">
        <v>267</v>
      </c>
      <c r="J556" s="1245"/>
      <c r="K556" s="1245"/>
      <c r="L556" s="1246"/>
    </row>
    <row r="557" spans="2:12">
      <c r="B557" s="1259"/>
      <c r="C557" s="1243"/>
      <c r="D557" s="1243"/>
      <c r="E557" s="1252" t="s">
        <v>304</v>
      </c>
      <c r="F557" s="1254" t="s">
        <v>305</v>
      </c>
      <c r="G557" s="1254" t="s">
        <v>306</v>
      </c>
      <c r="H557" s="1248"/>
      <c r="I557" s="1256" t="s">
        <v>271</v>
      </c>
      <c r="J557" s="1256" t="s">
        <v>24</v>
      </c>
      <c r="K557" s="1242" t="s">
        <v>272</v>
      </c>
      <c r="L557" s="1256" t="s">
        <v>273</v>
      </c>
    </row>
    <row r="558" spans="2:12">
      <c r="B558" s="1259"/>
      <c r="C558" s="1243"/>
      <c r="D558" s="1243"/>
      <c r="E558" s="1253"/>
      <c r="F558" s="1255"/>
      <c r="G558" s="1255"/>
      <c r="H558" s="1248"/>
      <c r="I558" s="1259"/>
      <c r="J558" s="1259"/>
      <c r="K558" s="1243"/>
      <c r="L558" s="1257"/>
    </row>
    <row r="559" spans="2:12" ht="12.75">
      <c r="B559" s="730">
        <v>0</v>
      </c>
      <c r="C559" s="729">
        <v>1</v>
      </c>
      <c r="D559" s="729">
        <v>2</v>
      </c>
      <c r="E559" s="730">
        <v>3</v>
      </c>
      <c r="F559" s="730">
        <v>4</v>
      </c>
      <c r="G559" s="729">
        <v>5</v>
      </c>
      <c r="H559" s="729">
        <v>6</v>
      </c>
      <c r="I559" s="729">
        <v>7</v>
      </c>
      <c r="J559" s="729">
        <v>8</v>
      </c>
      <c r="K559" s="731">
        <v>9</v>
      </c>
      <c r="L559" s="729">
        <v>10</v>
      </c>
    </row>
    <row r="560" spans="2:12" ht="12.75">
      <c r="B560" s="752"/>
      <c r="C560" s="732"/>
      <c r="D560" s="732"/>
      <c r="E560" s="732"/>
      <c r="F560" s="732"/>
      <c r="G560" s="732"/>
      <c r="H560" s="732"/>
      <c r="I560" s="732"/>
      <c r="J560" s="732"/>
      <c r="K560" s="732"/>
      <c r="L560" s="757"/>
    </row>
    <row r="561" spans="2:12" ht="14.25">
      <c r="B561" s="753"/>
      <c r="C561" s="1238" t="s">
        <v>274</v>
      </c>
      <c r="D561" s="1238"/>
      <c r="E561" s="1238"/>
      <c r="F561" s="1238"/>
      <c r="G561" s="1238"/>
      <c r="H561" s="1238"/>
      <c r="I561" s="1238"/>
      <c r="J561" s="1238"/>
      <c r="K561" s="1238"/>
      <c r="L561" s="1239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32"/>
      <c r="L562" s="757"/>
    </row>
    <row r="563" spans="2:12" ht="15">
      <c r="B563" s="883" t="s">
        <v>275</v>
      </c>
      <c r="C563" s="1002">
        <f>SUM(D563+H563)</f>
        <v>160405</v>
      </c>
      <c r="D563" s="1002">
        <v>4252</v>
      </c>
      <c r="E563" s="1002">
        <v>1993</v>
      </c>
      <c r="F563" s="1002">
        <v>1899</v>
      </c>
      <c r="G563" s="1002">
        <v>360</v>
      </c>
      <c r="H563" s="1002">
        <v>156153</v>
      </c>
      <c r="I563" s="1002">
        <v>25576</v>
      </c>
      <c r="J563" s="1002">
        <v>49577</v>
      </c>
      <c r="K563" s="1002">
        <v>81000</v>
      </c>
      <c r="L563" s="522">
        <v>0</v>
      </c>
    </row>
    <row r="564" spans="2:12" ht="15">
      <c r="B564" s="883" t="s">
        <v>276</v>
      </c>
      <c r="C564" s="1002">
        <f t="shared" ref="C564" si="41">SUM(D564+H564)</f>
        <v>118397</v>
      </c>
      <c r="D564" s="1002">
        <v>3761</v>
      </c>
      <c r="E564" s="1002">
        <v>1965</v>
      </c>
      <c r="F564" s="1002">
        <v>1503</v>
      </c>
      <c r="G564" s="1002">
        <v>293</v>
      </c>
      <c r="H564" s="1002">
        <v>114636</v>
      </c>
      <c r="I564" s="1002">
        <v>20407</v>
      </c>
      <c r="J564" s="1002">
        <v>32761</v>
      </c>
      <c r="K564" s="1002">
        <v>61468</v>
      </c>
      <c r="L564" s="522">
        <v>0</v>
      </c>
    </row>
    <row r="565" spans="2:12" ht="15">
      <c r="B565" s="883" t="s">
        <v>277</v>
      </c>
      <c r="C565" s="1002"/>
      <c r="D565" s="1004"/>
      <c r="E565" s="1004"/>
      <c r="F565" s="1004"/>
      <c r="G565" s="1005"/>
      <c r="H565" s="1002"/>
      <c r="I565" s="1004"/>
      <c r="J565" s="1004"/>
      <c r="K565" s="1004"/>
      <c r="L565" s="1005"/>
    </row>
    <row r="566" spans="2:12" ht="15">
      <c r="B566" s="883" t="s">
        <v>278</v>
      </c>
      <c r="C566" s="1002"/>
      <c r="D566" s="1002"/>
      <c r="E566" s="1003"/>
      <c r="F566" s="1003"/>
      <c r="G566" s="1002"/>
      <c r="H566" s="1002"/>
      <c r="I566" s="1002"/>
      <c r="J566" s="1002"/>
      <c r="K566" s="1002"/>
      <c r="L566" s="1002"/>
    </row>
    <row r="567" spans="2:12" ht="15">
      <c r="B567" s="883" t="s">
        <v>279</v>
      </c>
      <c r="C567" s="1002"/>
      <c r="D567" s="758"/>
      <c r="E567" s="701"/>
      <c r="F567" s="703"/>
      <c r="G567" s="703"/>
      <c r="H567" s="758"/>
      <c r="I567" s="701"/>
      <c r="J567" s="701"/>
      <c r="K567" s="703"/>
      <c r="L567" s="1002"/>
    </row>
    <row r="568" spans="2:12" ht="15">
      <c r="B568" s="883" t="s">
        <v>280</v>
      </c>
      <c r="C568" s="1002"/>
      <c r="D568" s="1002"/>
      <c r="E568" s="1003"/>
      <c r="F568" s="1003"/>
      <c r="G568" s="1002"/>
      <c r="H568" s="1002"/>
      <c r="I568" s="1002"/>
      <c r="J568" s="1002"/>
      <c r="K568" s="1002"/>
      <c r="L568" s="1002"/>
    </row>
    <row r="569" spans="2:12" ht="15">
      <c r="B569" s="883" t="s">
        <v>281</v>
      </c>
      <c r="C569" s="1002"/>
      <c r="D569" s="759"/>
      <c r="E569" s="1004"/>
      <c r="F569" s="1005"/>
      <c r="G569" s="1005"/>
      <c r="H569" s="1002"/>
      <c r="I569" s="1004"/>
      <c r="J569" s="1004"/>
      <c r="K569" s="1004"/>
      <c r="L569" s="1005"/>
    </row>
    <row r="570" spans="2:12" ht="15">
      <c r="B570" s="883" t="s">
        <v>282</v>
      </c>
      <c r="C570" s="1002"/>
      <c r="D570" s="759"/>
      <c r="E570" s="1004"/>
      <c r="F570" s="1004"/>
      <c r="G570" s="1005"/>
      <c r="H570" s="1002"/>
      <c r="I570" s="1004"/>
      <c r="J570" s="1004"/>
      <c r="K570" s="1004"/>
      <c r="L570" s="1005"/>
    </row>
    <row r="571" spans="2:12" ht="15">
      <c r="B571" s="883" t="s">
        <v>283</v>
      </c>
      <c r="C571" s="1002"/>
      <c r="D571" s="1002"/>
      <c r="E571" s="1003"/>
      <c r="F571" s="1003"/>
      <c r="G571" s="1002"/>
      <c r="H571" s="1002"/>
      <c r="I571" s="1002"/>
      <c r="J571" s="1002"/>
      <c r="K571" s="1002"/>
      <c r="L571" s="1002"/>
    </row>
    <row r="572" spans="2:12" ht="15">
      <c r="B572" s="884" t="s">
        <v>284</v>
      </c>
      <c r="C572" s="1002"/>
      <c r="D572" s="997"/>
      <c r="E572" s="1004"/>
      <c r="F572" s="1004"/>
      <c r="G572" s="1004"/>
      <c r="H572" s="1003"/>
      <c r="I572" s="1004"/>
      <c r="J572" s="1004"/>
      <c r="K572" s="1004"/>
      <c r="L572" s="1005"/>
    </row>
    <row r="573" spans="2:12" ht="15">
      <c r="B573" s="884" t="s">
        <v>285</v>
      </c>
      <c r="C573" s="1002"/>
      <c r="D573" s="1004"/>
      <c r="E573" s="1004"/>
      <c r="F573" s="1004"/>
      <c r="G573" s="1004"/>
      <c r="H573" s="1004"/>
      <c r="I573" s="1004"/>
      <c r="J573" s="1004"/>
      <c r="K573" s="1004"/>
      <c r="L573" s="1005"/>
    </row>
    <row r="574" spans="2:12" ht="15">
      <c r="B574" s="884" t="s">
        <v>286</v>
      </c>
      <c r="C574" s="1002"/>
      <c r="D574" s="1004"/>
      <c r="E574" s="1004"/>
      <c r="F574" s="1004"/>
      <c r="G574" s="1004"/>
      <c r="H574" s="1004"/>
      <c r="I574" s="1004"/>
      <c r="J574" s="1004"/>
      <c r="K574" s="1004"/>
      <c r="L574" s="1005"/>
    </row>
    <row r="575" spans="2:12" ht="15">
      <c r="B575" s="756"/>
      <c r="C575" s="1003"/>
      <c r="D575" s="1003"/>
      <c r="E575" s="1003"/>
      <c r="F575" s="1003"/>
      <c r="G575" s="1003"/>
      <c r="H575" s="1003"/>
      <c r="I575" s="1003"/>
      <c r="J575" s="1003"/>
      <c r="K575" s="1003"/>
      <c r="L575" s="1002"/>
    </row>
    <row r="576" spans="2:12" ht="12.75">
      <c r="B576" s="755">
        <v>2018</v>
      </c>
      <c r="C576" s="737">
        <f t="shared" ref="C576" si="42">SUM(C563:C574)</f>
        <v>278802</v>
      </c>
      <c r="D576" s="737">
        <f>SUM(D563:D574)</f>
        <v>8013</v>
      </c>
      <c r="E576" s="737">
        <f t="shared" ref="E576:F576" si="43">SUM(E563:E574)</f>
        <v>3958</v>
      </c>
      <c r="F576" s="737">
        <f t="shared" si="43"/>
        <v>3402</v>
      </c>
      <c r="G576" s="737">
        <f>SUM(G563:G574)</f>
        <v>653</v>
      </c>
      <c r="H576" s="737">
        <f t="shared" ref="H576:K576" si="44">SUM(H563:H574)</f>
        <v>270789</v>
      </c>
      <c r="I576" s="737">
        <f t="shared" si="44"/>
        <v>45983</v>
      </c>
      <c r="J576" s="737">
        <f t="shared" si="44"/>
        <v>82338</v>
      </c>
      <c r="K576" s="737">
        <f t="shared" si="44"/>
        <v>142468</v>
      </c>
      <c r="L576" s="737"/>
    </row>
    <row r="577" spans="2:12" ht="12.75">
      <c r="B577" s="753"/>
      <c r="C577" s="738"/>
      <c r="D577" s="738"/>
      <c r="E577" s="738"/>
      <c r="F577" s="738"/>
      <c r="G577" s="738"/>
      <c r="H577" s="738"/>
      <c r="I577" s="738"/>
      <c r="J577" s="738"/>
      <c r="K577" s="738"/>
      <c r="L577" s="750"/>
    </row>
    <row r="578" spans="2:12" ht="12.75">
      <c r="B578" s="753"/>
      <c r="C578" s="1236" t="s">
        <v>299</v>
      </c>
      <c r="D578" s="1236"/>
      <c r="E578" s="1236"/>
      <c r="F578" s="1236"/>
      <c r="G578" s="1236"/>
      <c r="H578" s="1236"/>
      <c r="I578" s="1236"/>
      <c r="J578" s="1236"/>
      <c r="K578" s="1236"/>
      <c r="L578" s="1237"/>
    </row>
    <row r="579" spans="2:12" ht="12.75">
      <c r="B579" s="752"/>
      <c r="C579" s="738"/>
      <c r="D579" s="738"/>
      <c r="E579" s="738"/>
      <c r="F579" s="738"/>
      <c r="G579" s="738"/>
      <c r="H579" s="738"/>
      <c r="I579" s="738"/>
      <c r="J579" s="738"/>
      <c r="K579" s="738"/>
      <c r="L579" s="750"/>
    </row>
    <row r="580" spans="2:12" ht="12.75">
      <c r="B580" s="754" t="s">
        <v>275</v>
      </c>
      <c r="C580" s="1002">
        <v>49128195</v>
      </c>
      <c r="D580" s="1002">
        <v>226689</v>
      </c>
      <c r="E580" s="1002">
        <v>68974</v>
      </c>
      <c r="F580" s="1002">
        <v>109268</v>
      </c>
      <c r="G580" s="1002">
        <v>48447</v>
      </c>
      <c r="H580" s="1002">
        <v>48901506</v>
      </c>
      <c r="I580" s="1002">
        <v>7017848</v>
      </c>
      <c r="J580" s="1002">
        <v>13675018</v>
      </c>
      <c r="K580" s="1002">
        <v>28208640</v>
      </c>
      <c r="L580" s="522">
        <v>0</v>
      </c>
    </row>
    <row r="581" spans="2:12" ht="12.75">
      <c r="B581" s="754" t="s">
        <v>276</v>
      </c>
      <c r="C581" s="1002">
        <v>36008767</v>
      </c>
      <c r="D581" s="1002">
        <v>193480</v>
      </c>
      <c r="E581" s="1002">
        <v>70783</v>
      </c>
      <c r="F581" s="1002">
        <v>85595</v>
      </c>
      <c r="G581" s="1002">
        <v>37102</v>
      </c>
      <c r="H581" s="1002">
        <v>35815287</v>
      </c>
      <c r="I581" s="1002">
        <v>5626521</v>
      </c>
      <c r="J581" s="1002">
        <v>9142502</v>
      </c>
      <c r="K581" s="1002">
        <v>21046264</v>
      </c>
      <c r="L581" s="522">
        <v>0</v>
      </c>
    </row>
    <row r="582" spans="2:12" ht="12.75">
      <c r="B582" s="754" t="s">
        <v>277</v>
      </c>
      <c r="C582" s="1002"/>
      <c r="D582" s="1004"/>
      <c r="E582" s="1004"/>
      <c r="F582" s="1004"/>
      <c r="G582" s="1005"/>
      <c r="H582" s="1002"/>
      <c r="I582" s="1004"/>
      <c r="J582" s="1004"/>
      <c r="K582" s="1004"/>
      <c r="L582" s="1005"/>
    </row>
    <row r="583" spans="2:12" ht="12.75">
      <c r="B583" s="754" t="s">
        <v>278</v>
      </c>
      <c r="C583" s="1002"/>
      <c r="D583" s="1002"/>
      <c r="E583" s="1003"/>
      <c r="F583" s="1003"/>
      <c r="G583" s="1002"/>
      <c r="H583" s="1002"/>
      <c r="I583" s="1002"/>
      <c r="J583" s="1002"/>
      <c r="K583" s="1002"/>
      <c r="L583" s="1002"/>
    </row>
    <row r="584" spans="2:12" ht="12.75">
      <c r="B584" s="754" t="s">
        <v>279</v>
      </c>
      <c r="C584" s="1002"/>
      <c r="D584" s="701"/>
      <c r="E584" s="701"/>
      <c r="F584" s="701"/>
      <c r="G584" s="701"/>
      <c r="H584" s="701"/>
      <c r="I584" s="701"/>
      <c r="J584" s="701"/>
      <c r="K584" s="703"/>
      <c r="L584" s="1002"/>
    </row>
    <row r="585" spans="2:12" ht="12.75">
      <c r="B585" s="754" t="s">
        <v>280</v>
      </c>
      <c r="C585" s="1002"/>
      <c r="D585" s="1002"/>
      <c r="E585" s="1003"/>
      <c r="F585" s="1003"/>
      <c r="G585" s="1002"/>
      <c r="H585" s="1002"/>
      <c r="I585" s="1002"/>
      <c r="J585" s="1002"/>
      <c r="K585" s="1002"/>
      <c r="L585" s="1002"/>
    </row>
    <row r="586" spans="2:12" ht="12.75">
      <c r="B586" s="754" t="s">
        <v>281</v>
      </c>
      <c r="C586" s="1002"/>
      <c r="D586" s="1004"/>
      <c r="E586" s="1004"/>
      <c r="F586" s="1004"/>
      <c r="G586" s="1005"/>
      <c r="H586" s="1002"/>
      <c r="I586" s="1004"/>
      <c r="J586" s="1004"/>
      <c r="K586" s="1004"/>
      <c r="L586" s="1005"/>
    </row>
    <row r="587" spans="2:12" ht="12.75">
      <c r="B587" s="754" t="s">
        <v>282</v>
      </c>
      <c r="C587" s="1002"/>
      <c r="D587" s="1004"/>
      <c r="E587" s="1004"/>
      <c r="F587" s="1004"/>
      <c r="G587" s="1005"/>
      <c r="H587" s="1002"/>
      <c r="I587" s="1004"/>
      <c r="J587" s="1004"/>
      <c r="K587" s="1004"/>
      <c r="L587" s="1005"/>
    </row>
    <row r="588" spans="2:12" ht="12.75">
      <c r="B588" s="754" t="s">
        <v>283</v>
      </c>
      <c r="C588" s="1002"/>
      <c r="D588" s="1004"/>
      <c r="E588" s="1004"/>
      <c r="F588" s="1004"/>
      <c r="G588" s="1005"/>
      <c r="H588" s="1002"/>
      <c r="I588" s="1004"/>
      <c r="J588" s="1004"/>
      <c r="K588" s="1004"/>
      <c r="L588" s="1005"/>
    </row>
    <row r="589" spans="2:12" ht="12.75">
      <c r="B589" s="754" t="s">
        <v>284</v>
      </c>
      <c r="C589" s="1002"/>
      <c r="D589" s="1004"/>
      <c r="E589" s="1004"/>
      <c r="F589" s="1004"/>
      <c r="G589" s="1004"/>
      <c r="H589" s="1003"/>
      <c r="I589" s="1004"/>
      <c r="J589" s="1004"/>
      <c r="K589" s="1004"/>
      <c r="L589" s="1005"/>
    </row>
    <row r="590" spans="2:12" ht="12.75">
      <c r="B590" s="754" t="s">
        <v>285</v>
      </c>
      <c r="C590" s="1002"/>
      <c r="D590" s="1004"/>
      <c r="E590" s="1004"/>
      <c r="F590" s="1004"/>
      <c r="G590" s="1004"/>
      <c r="H590" s="1004"/>
      <c r="I590" s="1004"/>
      <c r="J590" s="1004"/>
      <c r="K590" s="1004"/>
      <c r="L590" s="1005"/>
    </row>
    <row r="591" spans="2:12" ht="12.75">
      <c r="B591" s="754" t="s">
        <v>286</v>
      </c>
      <c r="C591" s="1002"/>
      <c r="D591" s="1004"/>
      <c r="E591" s="1004"/>
      <c r="F591" s="1004"/>
      <c r="G591" s="1004"/>
      <c r="H591" s="1004"/>
      <c r="I591" s="1004"/>
      <c r="J591" s="1004"/>
      <c r="K591" s="1004"/>
      <c r="L591" s="1005"/>
    </row>
    <row r="592" spans="2:12" ht="12.75">
      <c r="B592" s="753"/>
      <c r="C592" s="1003"/>
      <c r="D592" s="1003"/>
      <c r="E592" s="1003"/>
      <c r="F592" s="1003"/>
      <c r="G592" s="1003"/>
      <c r="H592" s="1003"/>
      <c r="I592" s="1003"/>
      <c r="J592" s="1003"/>
      <c r="K592" s="1003"/>
      <c r="L592" s="1002"/>
    </row>
    <row r="593" spans="2:12" ht="12.75">
      <c r="B593" s="755">
        <v>2018</v>
      </c>
      <c r="C593" s="737">
        <f t="shared" ref="C593:K593" si="45">SUM(C580:C591)</f>
        <v>85136962</v>
      </c>
      <c r="D593" s="737">
        <f t="shared" si="45"/>
        <v>420169</v>
      </c>
      <c r="E593" s="737">
        <f t="shared" si="45"/>
        <v>139757</v>
      </c>
      <c r="F593" s="737">
        <f t="shared" si="45"/>
        <v>194863</v>
      </c>
      <c r="G593" s="737">
        <f t="shared" si="45"/>
        <v>85549</v>
      </c>
      <c r="H593" s="737">
        <f t="shared" si="45"/>
        <v>84716793</v>
      </c>
      <c r="I593" s="737">
        <f t="shared" si="45"/>
        <v>12644369</v>
      </c>
      <c r="J593" s="737">
        <f t="shared" si="45"/>
        <v>22817520</v>
      </c>
      <c r="K593" s="737">
        <f t="shared" si="45"/>
        <v>49254904</v>
      </c>
      <c r="L593" s="737"/>
    </row>
    <row r="594" spans="2:12" ht="12.75">
      <c r="B594" s="965"/>
      <c r="C594" s="740"/>
      <c r="D594" s="740"/>
      <c r="E594" s="740"/>
      <c r="F594" s="740"/>
      <c r="G594" s="740"/>
      <c r="H594" s="740"/>
      <c r="I594" s="740"/>
      <c r="J594" s="740"/>
      <c r="K594" s="740"/>
      <c r="L594" s="966"/>
    </row>
    <row r="595" spans="2:12" ht="12.75">
      <c r="B595" s="1240" t="s">
        <v>263</v>
      </c>
      <c r="C595" s="1242" t="s">
        <v>22</v>
      </c>
      <c r="D595" s="1242" t="s">
        <v>264</v>
      </c>
      <c r="E595" s="1244" t="s">
        <v>265</v>
      </c>
      <c r="F595" s="1245"/>
      <c r="G595" s="1246"/>
      <c r="H595" s="1247" t="s">
        <v>266</v>
      </c>
      <c r="I595" s="1249" t="s">
        <v>267</v>
      </c>
      <c r="J595" s="1250"/>
      <c r="K595" s="1250"/>
      <c r="L595" s="1251"/>
    </row>
    <row r="596" spans="2:12">
      <c r="B596" s="1241"/>
      <c r="C596" s="1243"/>
      <c r="D596" s="1243"/>
      <c r="E596" s="1252" t="s">
        <v>304</v>
      </c>
      <c r="F596" s="1254" t="s">
        <v>305</v>
      </c>
      <c r="G596" s="1254" t="s">
        <v>306</v>
      </c>
      <c r="H596" s="1248"/>
      <c r="I596" s="1256" t="s">
        <v>271</v>
      </c>
      <c r="J596" s="1256" t="s">
        <v>24</v>
      </c>
      <c r="K596" s="1242" t="s">
        <v>272</v>
      </c>
      <c r="L596" s="1256" t="s">
        <v>273</v>
      </c>
    </row>
    <row r="597" spans="2:12">
      <c r="B597" s="1241"/>
      <c r="C597" s="1243"/>
      <c r="D597" s="1243"/>
      <c r="E597" s="1253"/>
      <c r="F597" s="1255"/>
      <c r="G597" s="1255"/>
      <c r="H597" s="1248"/>
      <c r="I597" s="1257"/>
      <c r="J597" s="1257"/>
      <c r="K597" s="1258"/>
      <c r="L597" s="1257"/>
    </row>
    <row r="598" spans="2:12" ht="12.75">
      <c r="B598" s="730">
        <v>0</v>
      </c>
      <c r="C598" s="741">
        <v>1</v>
      </c>
      <c r="D598" s="741">
        <v>2</v>
      </c>
      <c r="E598" s="742">
        <v>3</v>
      </c>
      <c r="F598" s="742">
        <v>4</v>
      </c>
      <c r="G598" s="741">
        <v>5</v>
      </c>
      <c r="H598" s="741">
        <v>6</v>
      </c>
      <c r="I598" s="741">
        <v>7</v>
      </c>
      <c r="J598" s="741">
        <v>8</v>
      </c>
      <c r="K598" s="741">
        <v>9</v>
      </c>
      <c r="L598" s="741">
        <v>10</v>
      </c>
    </row>
    <row r="599" spans="2:12" ht="12.75">
      <c r="B599" s="752"/>
      <c r="C599" s="738"/>
      <c r="D599" s="738"/>
      <c r="E599" s="738"/>
      <c r="F599" s="738"/>
      <c r="G599" s="738"/>
      <c r="H599" s="738"/>
      <c r="I599" s="738"/>
      <c r="J599" s="738"/>
      <c r="K599" s="738"/>
      <c r="L599" s="750"/>
    </row>
    <row r="600" spans="2:12" ht="12.75">
      <c r="B600" s="753"/>
      <c r="C600" s="1236" t="s">
        <v>300</v>
      </c>
      <c r="D600" s="1236"/>
      <c r="E600" s="1236"/>
      <c r="F600" s="1236"/>
      <c r="G600" s="1236"/>
      <c r="H600" s="1236"/>
      <c r="I600" s="1236"/>
      <c r="J600" s="1236"/>
      <c r="K600" s="1236"/>
      <c r="L600" s="1237"/>
    </row>
    <row r="601" spans="2:12" ht="12.75">
      <c r="B601" s="753"/>
      <c r="C601" s="743"/>
      <c r="D601" s="743"/>
      <c r="E601" s="743"/>
      <c r="F601" s="743"/>
      <c r="G601" s="743"/>
      <c r="H601" s="743"/>
      <c r="I601" s="743"/>
      <c r="J601" s="743"/>
      <c r="K601" s="743"/>
      <c r="L601" s="751"/>
    </row>
    <row r="602" spans="2:12" ht="12.75">
      <c r="B602" s="754" t="s">
        <v>275</v>
      </c>
      <c r="C602" s="1002">
        <v>97042744</v>
      </c>
      <c r="D602" s="1002">
        <v>397525</v>
      </c>
      <c r="E602" s="1002">
        <v>123027</v>
      </c>
      <c r="F602" s="1002">
        <v>190820</v>
      </c>
      <c r="G602" s="1002">
        <v>83678</v>
      </c>
      <c r="H602" s="1002">
        <v>96645219</v>
      </c>
      <c r="I602" s="1002">
        <v>13890672</v>
      </c>
      <c r="J602" s="1002">
        <v>28529726</v>
      </c>
      <c r="K602" s="1002">
        <v>54224821</v>
      </c>
      <c r="L602" s="522">
        <v>0</v>
      </c>
    </row>
    <row r="603" spans="2:12" ht="12.75">
      <c r="B603" s="754" t="s">
        <v>276</v>
      </c>
      <c r="C603" s="1002">
        <v>71080437</v>
      </c>
      <c r="D603" s="1002">
        <v>338786</v>
      </c>
      <c r="E603" s="1002">
        <v>123131</v>
      </c>
      <c r="F603" s="1002">
        <v>150015</v>
      </c>
      <c r="G603" s="1002">
        <v>65640</v>
      </c>
      <c r="H603" s="1002">
        <v>70741651</v>
      </c>
      <c r="I603" s="1002">
        <v>11152641</v>
      </c>
      <c r="J603" s="1002">
        <v>19000308</v>
      </c>
      <c r="K603" s="1002">
        <v>40588702</v>
      </c>
      <c r="L603" s="522">
        <v>0</v>
      </c>
    </row>
    <row r="604" spans="2:12" ht="12.75">
      <c r="B604" s="754" t="s">
        <v>277</v>
      </c>
      <c r="C604" s="1002"/>
      <c r="D604" s="1004"/>
      <c r="E604" s="1004"/>
      <c r="F604" s="1004"/>
      <c r="G604" s="1005"/>
      <c r="H604" s="1002"/>
      <c r="I604" s="1004"/>
      <c r="J604" s="1004"/>
      <c r="K604" s="1004"/>
      <c r="L604" s="1005"/>
    </row>
    <row r="605" spans="2:12" ht="12.75">
      <c r="B605" s="754" t="s">
        <v>278</v>
      </c>
      <c r="C605" s="1002"/>
      <c r="D605" s="1002"/>
      <c r="E605" s="1003"/>
      <c r="F605" s="1003"/>
      <c r="G605" s="1003"/>
      <c r="H605" s="1002"/>
      <c r="I605" s="1003"/>
      <c r="J605" s="1003"/>
      <c r="K605" s="1003"/>
      <c r="L605" s="1003"/>
    </row>
    <row r="606" spans="2:12" ht="12.75">
      <c r="B606" s="754" t="s">
        <v>279</v>
      </c>
      <c r="C606" s="1002"/>
      <c r="D606" s="701"/>
      <c r="E606" s="701"/>
      <c r="F606" s="701"/>
      <c r="G606" s="701"/>
      <c r="H606" s="701"/>
      <c r="I606" s="701"/>
      <c r="J606" s="701"/>
      <c r="K606" s="701"/>
      <c r="L606" s="703"/>
    </row>
    <row r="607" spans="2:12" ht="12.75">
      <c r="B607" s="754" t="s">
        <v>280</v>
      </c>
      <c r="C607" s="1002"/>
      <c r="D607" s="1002"/>
      <c r="E607" s="1003"/>
      <c r="F607" s="1003"/>
      <c r="G607" s="1003"/>
      <c r="H607" s="1002"/>
      <c r="I607" s="1003"/>
      <c r="J607" s="1003"/>
      <c r="K607" s="1003"/>
      <c r="L607" s="1003"/>
    </row>
    <row r="608" spans="2:12" ht="12.75">
      <c r="B608" s="754" t="s">
        <v>281</v>
      </c>
      <c r="C608" s="1002"/>
      <c r="D608" s="1004"/>
      <c r="E608" s="1004"/>
      <c r="F608" s="1004"/>
      <c r="G608" s="1005"/>
      <c r="H608" s="1002"/>
      <c r="I608" s="1004"/>
      <c r="J608" s="1004"/>
      <c r="K608" s="1004"/>
      <c r="L608" s="1005"/>
    </row>
    <row r="609" spans="2:12" ht="12.75">
      <c r="B609" s="754" t="s">
        <v>282</v>
      </c>
      <c r="C609" s="1002"/>
      <c r="D609" s="1004"/>
      <c r="E609" s="1004"/>
      <c r="F609" s="1004"/>
      <c r="G609" s="1005"/>
      <c r="H609" s="1002"/>
      <c r="I609" s="1004"/>
      <c r="J609" s="1004"/>
      <c r="K609" s="1004"/>
      <c r="L609" s="1005"/>
    </row>
    <row r="610" spans="2:12" ht="12.75">
      <c r="B610" s="754" t="s">
        <v>283</v>
      </c>
      <c r="C610" s="1002"/>
      <c r="D610" s="1002"/>
      <c r="E610" s="1003"/>
      <c r="F610" s="1003"/>
      <c r="G610" s="1003"/>
      <c r="H610" s="1002"/>
      <c r="I610" s="1003"/>
      <c r="J610" s="1003"/>
      <c r="K610" s="1003"/>
      <c r="L610" s="1003"/>
    </row>
    <row r="611" spans="2:12" ht="12.75">
      <c r="B611" s="754" t="s">
        <v>284</v>
      </c>
      <c r="C611" s="1002"/>
      <c r="D611" s="1004"/>
      <c r="E611" s="1004"/>
      <c r="F611" s="1004"/>
      <c r="G611" s="1004"/>
      <c r="H611" s="1003"/>
      <c r="I611" s="1004"/>
      <c r="J611" s="1004"/>
      <c r="K611" s="1004"/>
      <c r="L611" s="1005"/>
    </row>
    <row r="612" spans="2:12" ht="12.75">
      <c r="B612" s="754" t="s">
        <v>285</v>
      </c>
      <c r="C612" s="1002"/>
      <c r="D612" s="1004"/>
      <c r="E612" s="1004"/>
      <c r="F612" s="1004"/>
      <c r="G612" s="1005"/>
      <c r="H612" s="1006"/>
      <c r="I612" s="1004"/>
      <c r="J612" s="1004"/>
      <c r="K612" s="1004"/>
      <c r="L612" s="1005"/>
    </row>
    <row r="613" spans="2:12" ht="12.75">
      <c r="B613" s="754" t="s">
        <v>286</v>
      </c>
      <c r="C613" s="1002"/>
      <c r="D613" s="1004"/>
      <c r="E613" s="1004"/>
      <c r="F613" s="1004"/>
      <c r="G613" s="1005"/>
      <c r="H613" s="1006"/>
      <c r="I613" s="1004"/>
      <c r="J613" s="1004"/>
      <c r="K613" s="1004"/>
      <c r="L613" s="1005"/>
    </row>
    <row r="614" spans="2:12" ht="12.75">
      <c r="B614" s="754"/>
      <c r="C614" s="745"/>
      <c r="D614" s="746"/>
      <c r="E614" s="747"/>
      <c r="F614" s="747"/>
      <c r="G614" s="747"/>
      <c r="H614" s="746"/>
      <c r="I614" s="747"/>
      <c r="J614" s="747"/>
      <c r="K614" s="747"/>
      <c r="L614" s="747"/>
    </row>
    <row r="615" spans="2:12" ht="12.75">
      <c r="B615" s="755">
        <v>2018</v>
      </c>
      <c r="C615" s="748">
        <f t="shared" ref="C615:K615" si="46">SUM(C602:C613)</f>
        <v>168123181</v>
      </c>
      <c r="D615" s="748">
        <f t="shared" si="46"/>
        <v>736311</v>
      </c>
      <c r="E615" s="748">
        <f t="shared" si="46"/>
        <v>246158</v>
      </c>
      <c r="F615" s="748">
        <f t="shared" si="46"/>
        <v>340835</v>
      </c>
      <c r="G615" s="748">
        <f t="shared" si="46"/>
        <v>149318</v>
      </c>
      <c r="H615" s="748">
        <f t="shared" si="46"/>
        <v>167386870</v>
      </c>
      <c r="I615" s="748">
        <f t="shared" si="46"/>
        <v>25043313</v>
      </c>
      <c r="J615" s="748">
        <f t="shared" si="46"/>
        <v>47530034</v>
      </c>
      <c r="K615" s="748">
        <f t="shared" si="46"/>
        <v>94813523</v>
      </c>
      <c r="L615" s="748"/>
    </row>
    <row r="618" spans="2:12" ht="20.25" thickBot="1">
      <c r="B618" s="579"/>
      <c r="C618" s="579"/>
      <c r="D618" s="579"/>
      <c r="E618" s="579"/>
      <c r="F618" s="580" t="s">
        <v>301</v>
      </c>
      <c r="G618" s="579"/>
      <c r="H618" s="579"/>
      <c r="I618" s="579"/>
      <c r="J618" s="579"/>
      <c r="K618" s="579"/>
      <c r="L618" s="579"/>
    </row>
    <row r="619" spans="2:12" ht="15.75">
      <c r="B619" s="559" t="s">
        <v>275</v>
      </c>
      <c r="C619" s="584">
        <f>C602/C563</f>
        <v>604.98577974502041</v>
      </c>
      <c r="D619" s="584">
        <f t="shared" ref="D619:K619" si="47">D602/D563</f>
        <v>93.491298212605827</v>
      </c>
      <c r="E619" s="584">
        <f t="shared" si="47"/>
        <v>61.729553437029601</v>
      </c>
      <c r="F619" s="584">
        <f t="shared" si="47"/>
        <v>100.48446550816219</v>
      </c>
      <c r="G619" s="584">
        <f t="shared" si="47"/>
        <v>232.4388888888889</v>
      </c>
      <c r="H619" s="584">
        <f t="shared" si="47"/>
        <v>618.91362317726851</v>
      </c>
      <c r="I619" s="584">
        <f t="shared" si="47"/>
        <v>543.11354394745069</v>
      </c>
      <c r="J619" s="584">
        <f t="shared" si="47"/>
        <v>575.46293644230184</v>
      </c>
      <c r="K619" s="584">
        <f t="shared" si="47"/>
        <v>669.44223456790121</v>
      </c>
      <c r="L619" s="561"/>
    </row>
    <row r="620" spans="2:12" ht="15.75">
      <c r="B620" s="555" t="s">
        <v>276</v>
      </c>
      <c r="C620" s="585">
        <f t="shared" ref="C620:G620" si="48">C603/C564</f>
        <v>600.35674045795076</v>
      </c>
      <c r="D620" s="585">
        <f t="shared" si="48"/>
        <v>90.078702472746613</v>
      </c>
      <c r="E620" s="585">
        <f t="shared" si="48"/>
        <v>62.662086513994907</v>
      </c>
      <c r="F620" s="585">
        <f t="shared" si="48"/>
        <v>99.810379241516969</v>
      </c>
      <c r="G620" s="585">
        <f t="shared" si="48"/>
        <v>224.0273037542662</v>
      </c>
      <c r="H620" s="585">
        <f>H603/H564</f>
        <v>617.09804075508566</v>
      </c>
      <c r="I620" s="585">
        <f t="shared" ref="I620:K620" si="49">I603/I564</f>
        <v>546.51056010192576</v>
      </c>
      <c r="J620" s="585">
        <f t="shared" si="49"/>
        <v>579.96727816611212</v>
      </c>
      <c r="K620" s="585">
        <f t="shared" si="49"/>
        <v>660.32247673586255</v>
      </c>
      <c r="L620" s="563"/>
    </row>
    <row r="621" spans="2:12" ht="15.75">
      <c r="B621" s="555" t="s">
        <v>277</v>
      </c>
      <c r="C621" s="585" t="e">
        <f t="shared" ref="C621:K621" si="50">C604/C565</f>
        <v>#DIV/0!</v>
      </c>
      <c r="D621" s="585" t="e">
        <f t="shared" si="50"/>
        <v>#DIV/0!</v>
      </c>
      <c r="E621" s="585" t="e">
        <f t="shared" si="50"/>
        <v>#DIV/0!</v>
      </c>
      <c r="F621" s="585" t="e">
        <f t="shared" si="50"/>
        <v>#DIV/0!</v>
      </c>
      <c r="G621" s="585" t="e">
        <f t="shared" si="50"/>
        <v>#DIV/0!</v>
      </c>
      <c r="H621" s="585" t="e">
        <f t="shared" si="50"/>
        <v>#DIV/0!</v>
      </c>
      <c r="I621" s="585" t="e">
        <f t="shared" si="50"/>
        <v>#DIV/0!</v>
      </c>
      <c r="J621" s="585" t="e">
        <f t="shared" si="50"/>
        <v>#DIV/0!</v>
      </c>
      <c r="K621" s="585" t="e">
        <f t="shared" si="50"/>
        <v>#DIV/0!</v>
      </c>
      <c r="L621" s="563"/>
    </row>
    <row r="622" spans="2:12" ht="15.75">
      <c r="B622" s="555" t="s">
        <v>278</v>
      </c>
      <c r="C622" s="585" t="e">
        <f t="shared" ref="C622:K622" si="51">C605/C566</f>
        <v>#DIV/0!</v>
      </c>
      <c r="D622" s="585" t="e">
        <f t="shared" si="51"/>
        <v>#DIV/0!</v>
      </c>
      <c r="E622" s="585" t="e">
        <f t="shared" si="51"/>
        <v>#DIV/0!</v>
      </c>
      <c r="F622" s="585" t="e">
        <f t="shared" si="51"/>
        <v>#DIV/0!</v>
      </c>
      <c r="G622" s="585" t="e">
        <f t="shared" si="51"/>
        <v>#DIV/0!</v>
      </c>
      <c r="H622" s="585" t="e">
        <f t="shared" si="51"/>
        <v>#DIV/0!</v>
      </c>
      <c r="I622" s="585" t="e">
        <f t="shared" si="51"/>
        <v>#DIV/0!</v>
      </c>
      <c r="J622" s="585" t="e">
        <f t="shared" si="51"/>
        <v>#DIV/0!</v>
      </c>
      <c r="K622" s="585" t="e">
        <f t="shared" si="51"/>
        <v>#DIV/0!</v>
      </c>
      <c r="L622" s="563"/>
    </row>
    <row r="623" spans="2:12" ht="15.75">
      <c r="B623" s="555" t="s">
        <v>279</v>
      </c>
      <c r="C623" s="585" t="e">
        <f t="shared" ref="C623:K623" si="52">C606/C567</f>
        <v>#DIV/0!</v>
      </c>
      <c r="D623" s="585" t="e">
        <f t="shared" si="52"/>
        <v>#DIV/0!</v>
      </c>
      <c r="E623" s="585" t="e">
        <f t="shared" si="52"/>
        <v>#DIV/0!</v>
      </c>
      <c r="F623" s="585" t="e">
        <f t="shared" si="52"/>
        <v>#DIV/0!</v>
      </c>
      <c r="G623" s="585" t="e">
        <f t="shared" si="52"/>
        <v>#DIV/0!</v>
      </c>
      <c r="H623" s="585" t="e">
        <f t="shared" si="52"/>
        <v>#DIV/0!</v>
      </c>
      <c r="I623" s="585" t="e">
        <f t="shared" si="52"/>
        <v>#DIV/0!</v>
      </c>
      <c r="J623" s="585" t="e">
        <f t="shared" si="52"/>
        <v>#DIV/0!</v>
      </c>
      <c r="K623" s="585" t="e">
        <f t="shared" si="52"/>
        <v>#DIV/0!</v>
      </c>
      <c r="L623" s="563"/>
    </row>
    <row r="624" spans="2:12" ht="15.75">
      <c r="B624" s="555" t="s">
        <v>280</v>
      </c>
      <c r="C624" s="585" t="e">
        <f t="shared" ref="C624:K624" si="53">C607/C568</f>
        <v>#DIV/0!</v>
      </c>
      <c r="D624" s="585" t="e">
        <f t="shared" si="53"/>
        <v>#DIV/0!</v>
      </c>
      <c r="E624" s="585" t="e">
        <f t="shared" si="53"/>
        <v>#DIV/0!</v>
      </c>
      <c r="F624" s="585" t="e">
        <f t="shared" si="53"/>
        <v>#DIV/0!</v>
      </c>
      <c r="G624" s="585" t="e">
        <f t="shared" si="53"/>
        <v>#DIV/0!</v>
      </c>
      <c r="H624" s="585" t="e">
        <f t="shared" si="53"/>
        <v>#DIV/0!</v>
      </c>
      <c r="I624" s="585" t="e">
        <f t="shared" si="53"/>
        <v>#DIV/0!</v>
      </c>
      <c r="J624" s="585" t="e">
        <f t="shared" si="53"/>
        <v>#DIV/0!</v>
      </c>
      <c r="K624" s="585" t="e">
        <f t="shared" si="53"/>
        <v>#DIV/0!</v>
      </c>
      <c r="L624" s="563"/>
    </row>
    <row r="625" spans="2:12" ht="15.75">
      <c r="B625" s="555" t="s">
        <v>281</v>
      </c>
      <c r="C625" s="585" t="e">
        <f t="shared" ref="C625:K625" si="54">C608/C569</f>
        <v>#DIV/0!</v>
      </c>
      <c r="D625" s="585" t="e">
        <f t="shared" si="54"/>
        <v>#DIV/0!</v>
      </c>
      <c r="E625" s="585" t="e">
        <f t="shared" si="54"/>
        <v>#DIV/0!</v>
      </c>
      <c r="F625" s="585" t="e">
        <f t="shared" si="54"/>
        <v>#DIV/0!</v>
      </c>
      <c r="G625" s="585" t="e">
        <f t="shared" si="54"/>
        <v>#DIV/0!</v>
      </c>
      <c r="H625" s="585" t="e">
        <f t="shared" si="54"/>
        <v>#DIV/0!</v>
      </c>
      <c r="I625" s="585" t="e">
        <f t="shared" si="54"/>
        <v>#DIV/0!</v>
      </c>
      <c r="J625" s="585" t="e">
        <f t="shared" si="54"/>
        <v>#DIV/0!</v>
      </c>
      <c r="K625" s="585" t="e">
        <f t="shared" si="54"/>
        <v>#DIV/0!</v>
      </c>
      <c r="L625" s="563"/>
    </row>
    <row r="626" spans="2:12" ht="15.75">
      <c r="B626" s="555" t="s">
        <v>282</v>
      </c>
      <c r="C626" s="585" t="e">
        <f t="shared" ref="C626:K626" si="55">C609/C570</f>
        <v>#DIV/0!</v>
      </c>
      <c r="D626" s="585" t="e">
        <f t="shared" si="55"/>
        <v>#DIV/0!</v>
      </c>
      <c r="E626" s="585" t="e">
        <f t="shared" si="55"/>
        <v>#DIV/0!</v>
      </c>
      <c r="F626" s="585" t="e">
        <f t="shared" si="55"/>
        <v>#DIV/0!</v>
      </c>
      <c r="G626" s="585" t="e">
        <f t="shared" si="55"/>
        <v>#DIV/0!</v>
      </c>
      <c r="H626" s="585" t="e">
        <f t="shared" si="55"/>
        <v>#DIV/0!</v>
      </c>
      <c r="I626" s="585" t="e">
        <f t="shared" si="55"/>
        <v>#DIV/0!</v>
      </c>
      <c r="J626" s="585" t="e">
        <f t="shared" si="55"/>
        <v>#DIV/0!</v>
      </c>
      <c r="K626" s="585" t="e">
        <f t="shared" si="55"/>
        <v>#DIV/0!</v>
      </c>
      <c r="L626" s="563"/>
    </row>
    <row r="627" spans="2:12" ht="15.75">
      <c r="B627" s="555" t="s">
        <v>283</v>
      </c>
      <c r="C627" s="585" t="e">
        <f t="shared" ref="C627:K627" si="56">C610/C571</f>
        <v>#DIV/0!</v>
      </c>
      <c r="D627" s="585" t="e">
        <f t="shared" si="56"/>
        <v>#DIV/0!</v>
      </c>
      <c r="E627" s="585" t="e">
        <f t="shared" si="56"/>
        <v>#DIV/0!</v>
      </c>
      <c r="F627" s="585" t="e">
        <f t="shared" si="56"/>
        <v>#DIV/0!</v>
      </c>
      <c r="G627" s="585" t="e">
        <f t="shared" si="56"/>
        <v>#DIV/0!</v>
      </c>
      <c r="H627" s="585" t="e">
        <f t="shared" si="56"/>
        <v>#DIV/0!</v>
      </c>
      <c r="I627" s="585" t="e">
        <f t="shared" si="56"/>
        <v>#DIV/0!</v>
      </c>
      <c r="J627" s="585" t="e">
        <f t="shared" si="56"/>
        <v>#DIV/0!</v>
      </c>
      <c r="K627" s="585" t="e">
        <f t="shared" si="56"/>
        <v>#DIV/0!</v>
      </c>
      <c r="L627" s="563"/>
    </row>
    <row r="628" spans="2:12" ht="15.75">
      <c r="B628" s="555" t="s">
        <v>284</v>
      </c>
      <c r="C628" s="585" t="e">
        <f t="shared" ref="C628:K628" si="57">C611/C572</f>
        <v>#DIV/0!</v>
      </c>
      <c r="D628" s="585" t="e">
        <f t="shared" si="57"/>
        <v>#DIV/0!</v>
      </c>
      <c r="E628" s="585" t="e">
        <f t="shared" si="57"/>
        <v>#DIV/0!</v>
      </c>
      <c r="F628" s="585" t="e">
        <f t="shared" si="57"/>
        <v>#DIV/0!</v>
      </c>
      <c r="G628" s="585" t="e">
        <f t="shared" si="57"/>
        <v>#DIV/0!</v>
      </c>
      <c r="H628" s="585" t="e">
        <f t="shared" si="57"/>
        <v>#DIV/0!</v>
      </c>
      <c r="I628" s="585" t="e">
        <f t="shared" si="57"/>
        <v>#DIV/0!</v>
      </c>
      <c r="J628" s="585" t="e">
        <f t="shared" si="57"/>
        <v>#DIV/0!</v>
      </c>
      <c r="K628" s="585" t="e">
        <f t="shared" si="57"/>
        <v>#DIV/0!</v>
      </c>
      <c r="L628" s="563"/>
    </row>
    <row r="629" spans="2:12" ht="15.75">
      <c r="B629" s="555" t="s">
        <v>285</v>
      </c>
      <c r="C629" s="585" t="e">
        <f t="shared" ref="C629:K630" si="58">C612/C573</f>
        <v>#DIV/0!</v>
      </c>
      <c r="D629" s="585" t="e">
        <f t="shared" si="58"/>
        <v>#DIV/0!</v>
      </c>
      <c r="E629" s="585" t="e">
        <f t="shared" si="58"/>
        <v>#DIV/0!</v>
      </c>
      <c r="F629" s="585" t="e">
        <f t="shared" si="58"/>
        <v>#DIV/0!</v>
      </c>
      <c r="G629" s="585" t="e">
        <f t="shared" si="58"/>
        <v>#DIV/0!</v>
      </c>
      <c r="H629" s="585" t="e">
        <f t="shared" si="58"/>
        <v>#DIV/0!</v>
      </c>
      <c r="I629" s="585" t="e">
        <f t="shared" si="58"/>
        <v>#DIV/0!</v>
      </c>
      <c r="J629" s="585" t="e">
        <f t="shared" si="58"/>
        <v>#DIV/0!</v>
      </c>
      <c r="K629" s="585" t="e">
        <f t="shared" si="58"/>
        <v>#DIV/0!</v>
      </c>
      <c r="L629" s="563"/>
    </row>
    <row r="630" spans="2:12" ht="16.5" thickBot="1">
      <c r="B630" s="564" t="s">
        <v>286</v>
      </c>
      <c r="C630" s="586" t="e">
        <f t="shared" si="58"/>
        <v>#DIV/0!</v>
      </c>
      <c r="D630" s="586" t="e">
        <f>D613/D574</f>
        <v>#DIV/0!</v>
      </c>
      <c r="E630" s="586" t="e">
        <f t="shared" ref="E630:K630" si="59">E613/E574</f>
        <v>#DIV/0!</v>
      </c>
      <c r="F630" s="586" t="e">
        <f t="shared" si="59"/>
        <v>#DIV/0!</v>
      </c>
      <c r="G630" s="586" t="e">
        <f t="shared" si="59"/>
        <v>#DIV/0!</v>
      </c>
      <c r="H630" s="586" t="e">
        <f t="shared" si="59"/>
        <v>#DIV/0!</v>
      </c>
      <c r="I630" s="586" t="e">
        <f t="shared" si="59"/>
        <v>#DIV/0!</v>
      </c>
      <c r="J630" s="586" t="e">
        <f t="shared" si="59"/>
        <v>#DIV/0!</v>
      </c>
      <c r="K630" s="586" t="e">
        <f t="shared" si="59"/>
        <v>#DIV/0!</v>
      </c>
      <c r="L630" s="566"/>
    </row>
  </sheetData>
  <mergeCells count="178"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13" workbookViewId="0">
      <selection activeCell="S35" sqref="S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2" t="s">
        <v>358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</row>
    <row r="2" spans="1:14" ht="13.5" thickBot="1">
      <c r="B2" s="1021"/>
      <c r="C2" s="1021"/>
      <c r="D2" s="1021"/>
      <c r="E2" s="1021"/>
      <c r="F2" s="1021"/>
      <c r="G2" s="1022" t="s">
        <v>359</v>
      </c>
      <c r="H2" s="1021"/>
      <c r="I2" s="1021"/>
      <c r="J2" s="1021"/>
      <c r="K2" s="1021"/>
      <c r="L2" s="1021"/>
      <c r="M2" s="1021"/>
      <c r="N2" s="1021"/>
    </row>
    <row r="3" spans="1:14" ht="14.25" thickBot="1">
      <c r="A3" s="1023" t="s">
        <v>360</v>
      </c>
      <c r="B3" s="1024" t="s">
        <v>223</v>
      </c>
      <c r="C3" s="1024" t="s">
        <v>224</v>
      </c>
      <c r="D3" s="1024" t="s">
        <v>225</v>
      </c>
      <c r="E3" s="1024" t="s">
        <v>226</v>
      </c>
      <c r="F3" s="1024" t="s">
        <v>227</v>
      </c>
      <c r="G3" s="1024" t="s">
        <v>228</v>
      </c>
      <c r="H3" s="1024" t="s">
        <v>229</v>
      </c>
      <c r="I3" s="1024" t="s">
        <v>230</v>
      </c>
      <c r="J3" s="1024" t="s">
        <v>231</v>
      </c>
      <c r="K3" s="1024" t="s">
        <v>232</v>
      </c>
      <c r="L3" s="1024" t="s">
        <v>233</v>
      </c>
      <c r="M3" s="1024" t="s">
        <v>234</v>
      </c>
      <c r="N3" s="1024" t="s">
        <v>241</v>
      </c>
    </row>
    <row r="4" spans="1:14" ht="13.5">
      <c r="A4" s="1025">
        <v>2004</v>
      </c>
      <c r="B4" s="1026">
        <v>299.39999999999998</v>
      </c>
      <c r="C4" s="1026">
        <v>296.39999999999998</v>
      </c>
      <c r="D4" s="1026">
        <v>293.7</v>
      </c>
      <c r="E4" s="1026">
        <v>293.5</v>
      </c>
      <c r="F4" s="1026">
        <v>293.5</v>
      </c>
      <c r="G4" s="1026">
        <v>291.60000000000002</v>
      </c>
      <c r="H4" s="1026">
        <v>290.2</v>
      </c>
      <c r="I4" s="1026">
        <v>286.3</v>
      </c>
      <c r="J4" s="1026">
        <v>285.39999999999998</v>
      </c>
      <c r="K4" s="1026">
        <v>285.10000000000002</v>
      </c>
      <c r="L4" s="1026">
        <v>291.2</v>
      </c>
      <c r="M4" s="1026">
        <v>297.8</v>
      </c>
      <c r="N4" s="1027">
        <v>291.3</v>
      </c>
    </row>
    <row r="5" spans="1:14" ht="13.5">
      <c r="A5" s="1028">
        <v>2005</v>
      </c>
      <c r="B5" s="1029">
        <v>304.10000000000002</v>
      </c>
      <c r="C5" s="1029">
        <v>308.10000000000002</v>
      </c>
      <c r="D5" s="1029">
        <v>308.2</v>
      </c>
      <c r="E5" s="1029">
        <v>310.89999999999998</v>
      </c>
      <c r="F5" s="1029">
        <v>309.89999999999998</v>
      </c>
      <c r="G5" s="1029">
        <v>309.10000000000002</v>
      </c>
      <c r="H5" s="1029">
        <v>307</v>
      </c>
      <c r="I5" s="1029">
        <v>300.60000000000002</v>
      </c>
      <c r="J5" s="1029">
        <v>303.3</v>
      </c>
      <c r="K5" s="1029">
        <v>304.3</v>
      </c>
      <c r="L5" s="1029">
        <v>311.8</v>
      </c>
      <c r="M5" s="1029">
        <v>315.5</v>
      </c>
      <c r="N5" s="1030">
        <v>307.60000000000002</v>
      </c>
    </row>
    <row r="6" spans="1:14" ht="13.5">
      <c r="A6" s="1028">
        <v>2006</v>
      </c>
      <c r="B6" s="1029">
        <v>317.10000000000002</v>
      </c>
      <c r="C6" s="1029">
        <v>319.89999999999998</v>
      </c>
      <c r="D6" s="1029">
        <v>324</v>
      </c>
      <c r="E6" s="1029">
        <v>319.5</v>
      </c>
      <c r="F6" s="1029">
        <v>325.8</v>
      </c>
      <c r="G6" s="1029">
        <v>323.8</v>
      </c>
      <c r="H6" s="1029">
        <v>312.8</v>
      </c>
      <c r="I6" s="1029">
        <v>313</v>
      </c>
      <c r="J6" s="1029">
        <v>315.2</v>
      </c>
      <c r="K6" s="1029">
        <v>311.2</v>
      </c>
      <c r="L6" s="1029">
        <v>316.2</v>
      </c>
      <c r="M6" s="1029">
        <v>321.8</v>
      </c>
      <c r="N6" s="1030">
        <v>318.7</v>
      </c>
    </row>
    <row r="7" spans="1:14" ht="13.5">
      <c r="A7" s="1028">
        <v>2007</v>
      </c>
      <c r="B7" s="1029">
        <v>325.7</v>
      </c>
      <c r="C7" s="1029">
        <v>327.9</v>
      </c>
      <c r="D7" s="1029">
        <v>329.1</v>
      </c>
      <c r="E7" s="1029">
        <v>329.9</v>
      </c>
      <c r="F7" s="1029">
        <v>328.7</v>
      </c>
      <c r="G7" s="1029">
        <v>330</v>
      </c>
      <c r="H7" s="1029">
        <v>327.9</v>
      </c>
      <c r="I7" s="1029">
        <v>324</v>
      </c>
      <c r="J7" s="1029">
        <v>329.3</v>
      </c>
      <c r="K7" s="1029">
        <v>312.8</v>
      </c>
      <c r="L7" s="1029">
        <v>317.5</v>
      </c>
      <c r="M7" s="1029">
        <v>319</v>
      </c>
      <c r="N7" s="1030">
        <v>325.39999999999998</v>
      </c>
    </row>
    <row r="8" spans="1:14" ht="13.5">
      <c r="A8" s="1028">
        <v>2008</v>
      </c>
      <c r="B8" s="1029">
        <v>326.5</v>
      </c>
      <c r="C8" s="1029">
        <v>327</v>
      </c>
      <c r="D8" s="1029">
        <v>324.5</v>
      </c>
      <c r="E8" s="1029">
        <v>322.60000000000002</v>
      </c>
      <c r="F8" s="1029">
        <v>325.7</v>
      </c>
      <c r="G8" s="1029">
        <v>323.8</v>
      </c>
      <c r="H8" s="1029">
        <v>317</v>
      </c>
      <c r="I8" s="1029">
        <v>314.39999999999998</v>
      </c>
      <c r="J8" s="1029">
        <v>314.60000000000002</v>
      </c>
      <c r="K8" s="1029">
        <v>310.5</v>
      </c>
      <c r="L8" s="1029">
        <v>315.10000000000002</v>
      </c>
      <c r="M8" s="1029">
        <v>321.7</v>
      </c>
      <c r="N8" s="1030">
        <v>320.39999999999998</v>
      </c>
    </row>
    <row r="9" spans="1:14" ht="13.5">
      <c r="A9" s="1028">
        <v>2009</v>
      </c>
      <c r="B9" s="1029">
        <v>322.2</v>
      </c>
      <c r="C9" s="1029">
        <v>324.3</v>
      </c>
      <c r="D9" s="1029">
        <v>325.89999999999998</v>
      </c>
      <c r="E9" s="1029">
        <v>324.2</v>
      </c>
      <c r="F9" s="1029">
        <v>325.3</v>
      </c>
      <c r="G9" s="1029">
        <v>324.5</v>
      </c>
      <c r="H9" s="1029">
        <v>323.3</v>
      </c>
      <c r="I9" s="1029">
        <v>316.2</v>
      </c>
      <c r="J9" s="1029">
        <v>320.10000000000002</v>
      </c>
      <c r="K9" s="1029">
        <v>320</v>
      </c>
      <c r="L9" s="1029">
        <v>324.5</v>
      </c>
      <c r="M9" s="1029">
        <v>330</v>
      </c>
      <c r="N9" s="1031">
        <v>323.60000000000002</v>
      </c>
    </row>
    <row r="10" spans="1:14" ht="13.5">
      <c r="A10" s="1028">
        <v>2010</v>
      </c>
      <c r="B10" s="1029">
        <v>333.4</v>
      </c>
      <c r="C10" s="1029">
        <v>341.3</v>
      </c>
      <c r="D10" s="1029">
        <v>335.1</v>
      </c>
      <c r="E10" s="1029">
        <v>343.1</v>
      </c>
      <c r="F10" s="1029">
        <v>346.2</v>
      </c>
      <c r="G10" s="1029">
        <v>345.9</v>
      </c>
      <c r="H10" s="1029">
        <v>340.4</v>
      </c>
      <c r="I10" s="1029">
        <v>336.9</v>
      </c>
      <c r="J10" s="1029">
        <v>334.2</v>
      </c>
      <c r="K10" s="1029">
        <v>325.7</v>
      </c>
      <c r="L10" s="1029">
        <v>326.39999999999998</v>
      </c>
      <c r="M10" s="1029">
        <v>326.3</v>
      </c>
      <c r="N10" s="1031">
        <v>335.8</v>
      </c>
    </row>
    <row r="11" spans="1:14" ht="13.5">
      <c r="A11" s="1028">
        <v>2011</v>
      </c>
      <c r="B11" s="1029">
        <v>325.60000000000002</v>
      </c>
      <c r="C11" s="1029">
        <v>323.5</v>
      </c>
      <c r="D11" s="1029">
        <v>322.8</v>
      </c>
      <c r="E11" s="1029">
        <v>323</v>
      </c>
      <c r="F11" s="1029">
        <v>326.89999999999998</v>
      </c>
      <c r="G11" s="1029">
        <v>323.39999999999998</v>
      </c>
      <c r="H11" s="1029">
        <v>321.10000000000002</v>
      </c>
      <c r="I11" s="1029">
        <v>317.7</v>
      </c>
      <c r="J11" s="1029">
        <v>313</v>
      </c>
      <c r="K11" s="1029">
        <v>312.89999999999998</v>
      </c>
      <c r="L11" s="1029">
        <v>315.60000000000002</v>
      </c>
      <c r="M11" s="1029">
        <v>322.10000000000002</v>
      </c>
      <c r="N11" s="1031">
        <v>320.7</v>
      </c>
    </row>
    <row r="12" spans="1:14" ht="13.5">
      <c r="A12" s="1032">
        <v>2012</v>
      </c>
      <c r="B12" s="1033">
        <v>324.89999999999998</v>
      </c>
      <c r="C12" s="1033">
        <v>327.2</v>
      </c>
      <c r="D12" s="1033">
        <v>329</v>
      </c>
      <c r="E12" s="1033">
        <v>329.8</v>
      </c>
      <c r="F12" s="1033">
        <v>334.6</v>
      </c>
      <c r="G12" s="1033">
        <v>336.3</v>
      </c>
      <c r="H12" s="1033">
        <v>330.7</v>
      </c>
      <c r="I12" s="1033">
        <v>326.3</v>
      </c>
      <c r="J12" s="1033">
        <v>325.7</v>
      </c>
      <c r="K12" s="1033">
        <v>322</v>
      </c>
      <c r="L12" s="1033">
        <v>327.2</v>
      </c>
      <c r="M12" s="1033">
        <v>330.6</v>
      </c>
      <c r="N12" s="1034">
        <v>328.9</v>
      </c>
    </row>
    <row r="13" spans="1:14" ht="13.5">
      <c r="A13" s="1032">
        <v>2013</v>
      </c>
      <c r="B13" s="1033">
        <v>334</v>
      </c>
      <c r="C13" s="1033">
        <v>336.5</v>
      </c>
      <c r="D13" s="1033">
        <v>334.9</v>
      </c>
      <c r="E13" s="1033">
        <v>338</v>
      </c>
      <c r="F13" s="1033">
        <v>338.8</v>
      </c>
      <c r="G13" s="1033">
        <v>343</v>
      </c>
      <c r="H13" s="1033">
        <v>338.6</v>
      </c>
      <c r="I13" s="1033">
        <v>334</v>
      </c>
      <c r="J13" s="1033">
        <v>329.8</v>
      </c>
      <c r="K13" s="1033">
        <v>328.9</v>
      </c>
      <c r="L13" s="1033">
        <v>331</v>
      </c>
      <c r="M13" s="1033">
        <v>333.1</v>
      </c>
      <c r="N13" s="1034">
        <v>335.2</v>
      </c>
    </row>
    <row r="14" spans="1:14" ht="13.5">
      <c r="A14" s="1032">
        <v>2014</v>
      </c>
      <c r="B14" s="1033">
        <v>335.3</v>
      </c>
      <c r="C14" s="1033">
        <v>339.5</v>
      </c>
      <c r="D14" s="1033">
        <v>336</v>
      </c>
      <c r="E14" s="1033">
        <v>338.1</v>
      </c>
      <c r="F14" s="1033">
        <v>336</v>
      </c>
      <c r="G14" s="1033">
        <v>336.1</v>
      </c>
      <c r="H14" s="1033">
        <v>331.4</v>
      </c>
      <c r="I14" s="1033">
        <v>332.4</v>
      </c>
      <c r="J14" s="1033">
        <v>327.3</v>
      </c>
      <c r="K14" s="1033">
        <v>326.3</v>
      </c>
      <c r="L14" s="1033">
        <v>328.5</v>
      </c>
      <c r="M14" s="1033">
        <v>340.6</v>
      </c>
      <c r="N14" s="1034">
        <v>333.6</v>
      </c>
    </row>
    <row r="15" spans="1:14" ht="13.5">
      <c r="A15" s="1035">
        <v>2015</v>
      </c>
      <c r="B15" s="1036">
        <v>336</v>
      </c>
      <c r="C15" s="1036">
        <v>338.9</v>
      </c>
      <c r="D15" s="1036">
        <v>339.7</v>
      </c>
      <c r="E15" s="1036">
        <v>340.8</v>
      </c>
      <c r="F15" s="1036">
        <v>346.1</v>
      </c>
      <c r="G15" s="1036">
        <v>343.9</v>
      </c>
      <c r="H15" s="1036">
        <v>339.4</v>
      </c>
      <c r="I15" s="1036">
        <v>334</v>
      </c>
      <c r="J15" s="1036">
        <v>332.9</v>
      </c>
      <c r="K15" s="1036">
        <v>331.2</v>
      </c>
      <c r="L15" s="1036">
        <v>332.8</v>
      </c>
      <c r="M15" s="1036">
        <v>335.4</v>
      </c>
      <c r="N15" s="1037">
        <v>337.6</v>
      </c>
    </row>
    <row r="16" spans="1:14" ht="13.5">
      <c r="A16" s="1035">
        <v>2016</v>
      </c>
      <c r="B16" s="1036">
        <v>335.2</v>
      </c>
      <c r="C16" s="1036">
        <v>337.7</v>
      </c>
      <c r="D16" s="1036">
        <v>338.5</v>
      </c>
      <c r="E16" s="1036">
        <v>340.3</v>
      </c>
      <c r="F16" s="1036">
        <v>345.4</v>
      </c>
      <c r="G16" s="1036">
        <v>342.5</v>
      </c>
      <c r="H16" s="1036">
        <v>339.1</v>
      </c>
      <c r="I16" s="1036">
        <v>336.7</v>
      </c>
      <c r="J16" s="1036">
        <v>336</v>
      </c>
      <c r="K16" s="1036">
        <v>338.1</v>
      </c>
      <c r="L16" s="1036">
        <v>339.8</v>
      </c>
      <c r="M16" s="1036">
        <v>343.5</v>
      </c>
      <c r="N16" s="1037">
        <v>339.5</v>
      </c>
    </row>
    <row r="17" spans="1:14" ht="13.5">
      <c r="A17" s="1035">
        <v>2017</v>
      </c>
      <c r="B17" s="1036">
        <v>343.84877560849145</v>
      </c>
      <c r="C17" s="1036">
        <v>344.01260355448568</v>
      </c>
      <c r="D17" s="1036">
        <v>345.08323788722237</v>
      </c>
      <c r="E17" s="1036">
        <v>349.4260933003689</v>
      </c>
      <c r="F17" s="1036">
        <v>351.85998819252393</v>
      </c>
      <c r="G17" s="1036">
        <v>351.12109667545815</v>
      </c>
      <c r="H17" s="1036">
        <v>346.75726994620067</v>
      </c>
      <c r="I17" s="1036">
        <v>344.85589941972938</v>
      </c>
      <c r="J17" s="1036">
        <v>342.09908231074832</v>
      </c>
      <c r="K17" s="1036">
        <v>340.25607000681453</v>
      </c>
      <c r="L17" s="1036">
        <v>343.96423731809307</v>
      </c>
      <c r="M17" s="1036">
        <v>345.17611667491775</v>
      </c>
      <c r="N17" s="1037">
        <v>345.73613890143946</v>
      </c>
    </row>
    <row r="18" spans="1:14" ht="13.5">
      <c r="A18" s="1035">
        <v>2018</v>
      </c>
      <c r="B18" s="1036">
        <v>328.68883172082138</v>
      </c>
      <c r="C18" s="1036">
        <v>335.33083028686195</v>
      </c>
      <c r="D18" s="1036">
        <v>339.13477331184731</v>
      </c>
      <c r="E18" s="1036">
        <v>352.1288362407397</v>
      </c>
      <c r="F18" s="1036">
        <v>354.40806226015781</v>
      </c>
      <c r="G18" s="1036">
        <v>352.31798629918734</v>
      </c>
      <c r="H18" s="1036">
        <v>349.02563708344542</v>
      </c>
      <c r="I18" s="1036">
        <v>347.00933631012759</v>
      </c>
      <c r="J18" s="1036">
        <v>345.11329021489684</v>
      </c>
      <c r="K18" s="1036">
        <v>347.11988043981063</v>
      </c>
      <c r="L18" s="1036">
        <v>349.40972512323503</v>
      </c>
      <c r="M18" s="1036">
        <v>350.98601398601369</v>
      </c>
      <c r="N18" s="1037">
        <v>345.25543478260863</v>
      </c>
    </row>
    <row r="19" spans="1:14" ht="14.25" thickBot="1">
      <c r="A19" s="1038">
        <v>2019</v>
      </c>
      <c r="B19" s="1039">
        <v>354.37491656654714</v>
      </c>
      <c r="C19" s="1039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40"/>
    </row>
    <row r="20" spans="1:14" ht="13.5" thickBot="1">
      <c r="B20" s="1021"/>
      <c r="C20" s="1021"/>
      <c r="D20" s="1021"/>
      <c r="E20" s="1021"/>
      <c r="F20" s="1021"/>
      <c r="G20" s="1041" t="s">
        <v>361</v>
      </c>
      <c r="H20" s="1021"/>
      <c r="I20" s="1021"/>
      <c r="J20" s="1021"/>
      <c r="K20" s="1021"/>
      <c r="L20" s="1021"/>
      <c r="M20" s="1021"/>
      <c r="N20" s="1042"/>
    </row>
    <row r="21" spans="1:14" ht="14.25" thickBot="1">
      <c r="A21" s="1023" t="s">
        <v>360</v>
      </c>
      <c r="B21" s="1024" t="s">
        <v>223</v>
      </c>
      <c r="C21" s="1024" t="s">
        <v>224</v>
      </c>
      <c r="D21" s="1024" t="s">
        <v>225</v>
      </c>
      <c r="E21" s="1024" t="s">
        <v>226</v>
      </c>
      <c r="F21" s="1024" t="s">
        <v>227</v>
      </c>
      <c r="G21" s="1024" t="s">
        <v>228</v>
      </c>
      <c r="H21" s="1024" t="s">
        <v>229</v>
      </c>
      <c r="I21" s="1024" t="s">
        <v>230</v>
      </c>
      <c r="J21" s="1024" t="s">
        <v>231</v>
      </c>
      <c r="K21" s="1024" t="s">
        <v>232</v>
      </c>
      <c r="L21" s="1024" t="s">
        <v>233</v>
      </c>
      <c r="M21" s="1024" t="s">
        <v>234</v>
      </c>
      <c r="N21" s="1024" t="s">
        <v>241</v>
      </c>
    </row>
    <row r="22" spans="1:14" ht="13.5">
      <c r="A22" s="1025">
        <v>2004</v>
      </c>
      <c r="B22" s="1026">
        <v>272.2</v>
      </c>
      <c r="C22" s="1026">
        <v>271.5</v>
      </c>
      <c r="D22" s="1026">
        <v>272</v>
      </c>
      <c r="E22" s="1026">
        <v>273.10000000000002</v>
      </c>
      <c r="F22" s="1026">
        <v>267.2</v>
      </c>
      <c r="G22" s="1026">
        <v>269.60000000000002</v>
      </c>
      <c r="H22" s="1026">
        <v>261.5</v>
      </c>
      <c r="I22" s="1026">
        <v>261.39999999999998</v>
      </c>
      <c r="J22" s="1026">
        <v>264.8</v>
      </c>
      <c r="K22" s="1026">
        <v>267</v>
      </c>
      <c r="L22" s="1026">
        <v>266.39999999999998</v>
      </c>
      <c r="M22" s="1026">
        <v>271.3</v>
      </c>
      <c r="N22" s="1027">
        <v>267.3</v>
      </c>
    </row>
    <row r="23" spans="1:14" ht="13.5">
      <c r="A23" s="1028">
        <v>2005</v>
      </c>
      <c r="B23" s="1029">
        <v>272.10000000000002</v>
      </c>
      <c r="C23" s="1029">
        <v>274.8</v>
      </c>
      <c r="D23" s="1029">
        <v>271.8</v>
      </c>
      <c r="E23" s="1029">
        <v>273.39999999999998</v>
      </c>
      <c r="F23" s="1029">
        <v>271</v>
      </c>
      <c r="G23" s="1029">
        <v>266.39999999999998</v>
      </c>
      <c r="H23" s="1029">
        <v>264.60000000000002</v>
      </c>
      <c r="I23" s="1029">
        <v>261.10000000000002</v>
      </c>
      <c r="J23" s="1029">
        <v>266.60000000000002</v>
      </c>
      <c r="K23" s="1029">
        <v>272.5</v>
      </c>
      <c r="L23" s="1029">
        <v>270.60000000000002</v>
      </c>
      <c r="M23" s="1029">
        <v>272.39999999999998</v>
      </c>
      <c r="N23" s="1030">
        <v>269.2</v>
      </c>
    </row>
    <row r="24" spans="1:14" ht="13.5">
      <c r="A24" s="1028">
        <v>2006</v>
      </c>
      <c r="B24" s="1029">
        <v>275.10000000000002</v>
      </c>
      <c r="C24" s="1029">
        <v>273.39999999999998</v>
      </c>
      <c r="D24" s="1029">
        <v>273.39999999999998</v>
      </c>
      <c r="E24" s="1029">
        <v>272.89999999999998</v>
      </c>
      <c r="F24" s="1029">
        <v>270.39999999999998</v>
      </c>
      <c r="G24" s="1029">
        <v>264.2</v>
      </c>
      <c r="H24" s="1029">
        <v>260.2</v>
      </c>
      <c r="I24" s="1029">
        <v>258.10000000000002</v>
      </c>
      <c r="J24" s="1029">
        <v>263.5</v>
      </c>
      <c r="K24" s="1029">
        <v>263.89999999999998</v>
      </c>
      <c r="L24" s="1029">
        <v>264.89999999999998</v>
      </c>
      <c r="M24" s="1029">
        <v>266.89999999999998</v>
      </c>
      <c r="N24" s="1030">
        <v>267.5</v>
      </c>
    </row>
    <row r="25" spans="1:14" ht="13.5">
      <c r="A25" s="1028">
        <v>2007</v>
      </c>
      <c r="B25" s="1029">
        <v>274.10000000000002</v>
      </c>
      <c r="C25" s="1029">
        <v>274.89999999999998</v>
      </c>
      <c r="D25" s="1029">
        <v>274</v>
      </c>
      <c r="E25" s="1029">
        <v>272.3</v>
      </c>
      <c r="F25" s="1029">
        <v>271.89999999999998</v>
      </c>
      <c r="G25" s="1029">
        <v>269.2</v>
      </c>
      <c r="H25" s="1029">
        <v>267.89999999999998</v>
      </c>
      <c r="I25" s="1029">
        <v>264.60000000000002</v>
      </c>
      <c r="J25" s="1029">
        <v>266</v>
      </c>
      <c r="K25" s="1029">
        <v>268.8</v>
      </c>
      <c r="L25" s="1029">
        <v>269.10000000000002</v>
      </c>
      <c r="M25" s="1029">
        <v>271.60000000000002</v>
      </c>
      <c r="N25" s="1030">
        <v>270.2</v>
      </c>
    </row>
    <row r="26" spans="1:14" ht="13.5">
      <c r="A26" s="1028">
        <v>2008</v>
      </c>
      <c r="B26" s="1029">
        <v>273.89999999999998</v>
      </c>
      <c r="C26" s="1029">
        <v>274.89999999999998</v>
      </c>
      <c r="D26" s="1029">
        <v>273.8</v>
      </c>
      <c r="E26" s="1029">
        <v>270</v>
      </c>
      <c r="F26" s="1029">
        <v>271.89999999999998</v>
      </c>
      <c r="G26" s="1029">
        <v>270.5</v>
      </c>
      <c r="H26" s="1029">
        <v>268.60000000000002</v>
      </c>
      <c r="I26" s="1029">
        <v>265</v>
      </c>
      <c r="J26" s="1029">
        <v>266.5</v>
      </c>
      <c r="K26" s="1029">
        <v>266.60000000000002</v>
      </c>
      <c r="L26" s="1029">
        <v>269.7</v>
      </c>
      <c r="M26" s="1029">
        <v>274.60000000000002</v>
      </c>
      <c r="N26" s="1030">
        <v>270.3</v>
      </c>
    </row>
    <row r="27" spans="1:14" ht="13.5">
      <c r="A27" s="1028">
        <v>2009</v>
      </c>
      <c r="B27" s="1029">
        <v>276.8</v>
      </c>
      <c r="C27" s="1029">
        <v>274.3</v>
      </c>
      <c r="D27" s="1029">
        <v>276.39999999999998</v>
      </c>
      <c r="E27" s="1029">
        <v>273.60000000000002</v>
      </c>
      <c r="F27" s="1029">
        <v>273.8</v>
      </c>
      <c r="G27" s="1029">
        <v>272.10000000000002</v>
      </c>
      <c r="H27" s="1029">
        <v>268.60000000000002</v>
      </c>
      <c r="I27" s="1029">
        <v>266.8</v>
      </c>
      <c r="J27" s="1029">
        <v>269.5</v>
      </c>
      <c r="K27" s="1029">
        <v>271.39999999999998</v>
      </c>
      <c r="L27" s="1029">
        <v>275.60000000000002</v>
      </c>
      <c r="M27" s="1029">
        <v>277.10000000000002</v>
      </c>
      <c r="N27" s="1031">
        <v>272.8</v>
      </c>
    </row>
    <row r="28" spans="1:14" ht="13.5">
      <c r="A28" s="1028">
        <v>2010</v>
      </c>
      <c r="B28" s="1029">
        <v>278.5</v>
      </c>
      <c r="C28" s="1029">
        <v>282.10000000000002</v>
      </c>
      <c r="D28" s="1029">
        <v>281.7</v>
      </c>
      <c r="E28" s="1029">
        <v>280.5</v>
      </c>
      <c r="F28" s="1029">
        <v>280.89999999999998</v>
      </c>
      <c r="G28" s="1029">
        <v>279</v>
      </c>
      <c r="H28" s="1029">
        <v>275</v>
      </c>
      <c r="I28" s="1029">
        <v>272.89999999999998</v>
      </c>
      <c r="J28" s="1029">
        <v>275.5</v>
      </c>
      <c r="K28" s="1029">
        <v>275.10000000000002</v>
      </c>
      <c r="L28" s="1029">
        <v>275</v>
      </c>
      <c r="M28" s="1029">
        <v>277.5</v>
      </c>
      <c r="N28" s="1031">
        <v>277.8</v>
      </c>
    </row>
    <row r="29" spans="1:14" ht="13.5">
      <c r="A29" s="1028">
        <v>2011</v>
      </c>
      <c r="B29" s="1029">
        <v>280.2</v>
      </c>
      <c r="C29" s="1029">
        <v>279.3</v>
      </c>
      <c r="D29" s="1029">
        <v>279.5</v>
      </c>
      <c r="E29" s="1029">
        <v>281.39999999999998</v>
      </c>
      <c r="F29" s="1029">
        <v>279.7</v>
      </c>
      <c r="G29" s="1029">
        <v>275.89999999999998</v>
      </c>
      <c r="H29" s="1029">
        <v>274.2</v>
      </c>
      <c r="I29" s="1029">
        <v>268.2</v>
      </c>
      <c r="J29" s="1029">
        <v>259.3</v>
      </c>
      <c r="K29" s="1029">
        <v>260.89999999999998</v>
      </c>
      <c r="L29" s="1029">
        <v>262.89999999999998</v>
      </c>
      <c r="M29" s="1029">
        <v>267.2</v>
      </c>
      <c r="N29" s="1031">
        <v>271.2</v>
      </c>
    </row>
    <row r="30" spans="1:14" s="1021" customFormat="1" ht="13.5">
      <c r="A30" s="1032">
        <v>2012</v>
      </c>
      <c r="B30" s="1033">
        <v>270.2</v>
      </c>
      <c r="C30" s="1033">
        <v>267.8</v>
      </c>
      <c r="D30" s="1033">
        <v>269.60000000000002</v>
      </c>
      <c r="E30" s="1033">
        <v>266.2</v>
      </c>
      <c r="F30" s="1033">
        <v>265.3</v>
      </c>
      <c r="G30" s="1033">
        <v>265.10000000000002</v>
      </c>
      <c r="H30" s="1033">
        <v>259.10000000000002</v>
      </c>
      <c r="I30" s="1033">
        <v>258.3</v>
      </c>
      <c r="J30" s="1033">
        <v>258.89999999999998</v>
      </c>
      <c r="K30" s="1033">
        <v>261.60000000000002</v>
      </c>
      <c r="L30" s="1033">
        <v>263.2</v>
      </c>
      <c r="M30" s="1033">
        <v>267</v>
      </c>
      <c r="N30" s="1034">
        <v>264</v>
      </c>
    </row>
    <row r="31" spans="1:14" s="1021" customFormat="1" ht="13.5">
      <c r="A31" s="1032">
        <v>2013</v>
      </c>
      <c r="B31" s="1033">
        <v>269.39999999999998</v>
      </c>
      <c r="C31" s="1033">
        <v>271.89999999999998</v>
      </c>
      <c r="D31" s="1033">
        <v>270.60000000000002</v>
      </c>
      <c r="E31" s="1033">
        <v>270.89999999999998</v>
      </c>
      <c r="F31" s="1033">
        <v>266.89999999999998</v>
      </c>
      <c r="G31" s="1033">
        <v>265.89999999999998</v>
      </c>
      <c r="H31" s="1033">
        <v>262.5</v>
      </c>
      <c r="I31" s="1033">
        <v>259.3</v>
      </c>
      <c r="J31" s="1033">
        <v>261.2</v>
      </c>
      <c r="K31" s="1033">
        <v>263.10000000000002</v>
      </c>
      <c r="L31" s="1033">
        <v>265.5</v>
      </c>
      <c r="M31" s="1033">
        <v>270.2</v>
      </c>
      <c r="N31" s="1034">
        <v>266.10000000000002</v>
      </c>
    </row>
    <row r="32" spans="1:14" s="1021" customFormat="1" ht="13.5">
      <c r="A32" s="1032">
        <v>2014</v>
      </c>
      <c r="B32" s="1033">
        <v>273</v>
      </c>
      <c r="C32" s="1033">
        <v>274.60000000000002</v>
      </c>
      <c r="D32" s="1033">
        <v>271.8</v>
      </c>
      <c r="E32" s="1033">
        <v>270.39999999999998</v>
      </c>
      <c r="F32" s="1033">
        <v>268.39999999999998</v>
      </c>
      <c r="G32" s="1033">
        <v>268.60000000000002</v>
      </c>
      <c r="H32" s="1033">
        <v>264.5</v>
      </c>
      <c r="I32" s="1033">
        <v>259.7</v>
      </c>
      <c r="J32" s="1033">
        <v>261.60000000000002</v>
      </c>
      <c r="K32" s="1033">
        <v>263.39999999999998</v>
      </c>
      <c r="L32" s="1033">
        <v>264.39999999999998</v>
      </c>
      <c r="M32" s="1033">
        <v>264.8</v>
      </c>
      <c r="N32" s="1034">
        <v>267</v>
      </c>
    </row>
    <row r="33" spans="1:14" s="1021" customFormat="1" ht="13.5">
      <c r="A33" s="1035">
        <v>2015</v>
      </c>
      <c r="B33" s="1036">
        <v>270.5</v>
      </c>
      <c r="C33" s="1036">
        <v>271.5</v>
      </c>
      <c r="D33" s="1036">
        <v>272.60000000000002</v>
      </c>
      <c r="E33" s="1036">
        <v>270.89999999999998</v>
      </c>
      <c r="F33" s="1036">
        <v>273.3</v>
      </c>
      <c r="G33" s="1036">
        <v>272</v>
      </c>
      <c r="H33" s="1036">
        <v>267.8</v>
      </c>
      <c r="I33" s="1036">
        <v>262.10000000000002</v>
      </c>
      <c r="J33" s="1036">
        <v>261.39999999999998</v>
      </c>
      <c r="K33" s="1036">
        <v>264.5</v>
      </c>
      <c r="L33" s="1036">
        <v>266.60000000000002</v>
      </c>
      <c r="M33" s="1036">
        <v>268.10000000000002</v>
      </c>
      <c r="N33" s="1037">
        <v>267.89999999999998</v>
      </c>
    </row>
    <row r="34" spans="1:14" ht="13.5">
      <c r="A34" s="1035">
        <v>2016</v>
      </c>
      <c r="B34" s="1036">
        <v>270.10000000000002</v>
      </c>
      <c r="C34" s="1036">
        <v>272.10000000000002</v>
      </c>
      <c r="D34" s="1036">
        <v>268.7</v>
      </c>
      <c r="E34" s="1036">
        <v>267.7</v>
      </c>
      <c r="F34" s="1036">
        <v>266.10000000000002</v>
      </c>
      <c r="G34" s="1036">
        <v>263.60000000000002</v>
      </c>
      <c r="H34" s="1036">
        <v>259.10000000000002</v>
      </c>
      <c r="I34" s="1036">
        <v>256.7</v>
      </c>
      <c r="J34" s="1036">
        <v>259.60000000000002</v>
      </c>
      <c r="K34" s="1036">
        <v>263.8</v>
      </c>
      <c r="L34" s="1036">
        <v>267.10000000000002</v>
      </c>
      <c r="M34" s="1036">
        <v>271.10000000000002</v>
      </c>
      <c r="N34" s="1037">
        <v>265.2</v>
      </c>
    </row>
    <row r="35" spans="1:14" ht="13.5">
      <c r="A35" s="1035">
        <v>2017</v>
      </c>
      <c r="B35" s="1036">
        <v>272.88640213541373</v>
      </c>
      <c r="C35" s="1036">
        <v>276.25085307594861</v>
      </c>
      <c r="D35" s="1036">
        <v>274.85711246631678</v>
      </c>
      <c r="E35" s="1036">
        <v>274.82589285714283</v>
      </c>
      <c r="F35" s="1036">
        <v>275.79789937320038</v>
      </c>
      <c r="G35" s="1036">
        <v>275.68322171001125</v>
      </c>
      <c r="H35" s="1036">
        <v>271.12366069701773</v>
      </c>
      <c r="I35" s="1036">
        <v>265.89233861961111</v>
      </c>
      <c r="J35" s="1036">
        <v>268.51868601734992</v>
      </c>
      <c r="K35" s="1036">
        <v>269.27624185210152</v>
      </c>
      <c r="L35" s="1036">
        <v>272.87214014486779</v>
      </c>
      <c r="M35" s="1036">
        <v>275.60365369340764</v>
      </c>
      <c r="N35" s="1037">
        <v>272.59345923219968</v>
      </c>
    </row>
    <row r="36" spans="1:14" ht="13.5">
      <c r="A36" s="1035">
        <v>2018</v>
      </c>
      <c r="B36" s="1036">
        <v>271.81169536218374</v>
      </c>
      <c r="C36" s="1036">
        <v>271.62933094384721</v>
      </c>
      <c r="D36" s="1036">
        <v>275.82298136645966</v>
      </c>
      <c r="E36" s="1036">
        <v>276.47664184157117</v>
      </c>
      <c r="F36" s="1036">
        <v>276.53879641485253</v>
      </c>
      <c r="G36" s="1036">
        <v>273.5957050315024</v>
      </c>
      <c r="H36" s="1036">
        <v>267.18371383829231</v>
      </c>
      <c r="I36" s="1036">
        <v>262.45748745224398</v>
      </c>
      <c r="J36" s="1036">
        <v>265.66096423017115</v>
      </c>
      <c r="K36" s="1036">
        <v>270.12991512212</v>
      </c>
      <c r="L36" s="1036">
        <v>273.99583766909478</v>
      </c>
      <c r="M36" s="1036">
        <v>277.44326025733028</v>
      </c>
      <c r="N36" s="1037">
        <v>271.5347702055667</v>
      </c>
    </row>
    <row r="37" spans="1:14" ht="14.25" thickBot="1">
      <c r="A37" s="1038">
        <v>2019</v>
      </c>
      <c r="B37" s="1039">
        <v>281.27826336739287</v>
      </c>
      <c r="C37" s="1039"/>
      <c r="D37" s="1039"/>
      <c r="E37" s="1039"/>
      <c r="F37" s="1039"/>
      <c r="G37" s="1039"/>
      <c r="H37" s="1039"/>
      <c r="I37" s="1039"/>
      <c r="J37" s="1039"/>
      <c r="K37" s="1039"/>
      <c r="L37" s="1039"/>
      <c r="M37" s="1039"/>
      <c r="N37" s="1040"/>
    </row>
    <row r="38" spans="1:14" ht="13.5" thickBot="1">
      <c r="B38" s="1021"/>
      <c r="C38" s="1021"/>
      <c r="D38" s="1021"/>
      <c r="E38" s="1021"/>
      <c r="F38" s="1021"/>
      <c r="G38" s="1041" t="s">
        <v>362</v>
      </c>
      <c r="H38" s="1021"/>
      <c r="I38" s="1021"/>
      <c r="J38" s="1021"/>
      <c r="K38" s="1021"/>
      <c r="L38" s="1021"/>
      <c r="M38" s="1021"/>
      <c r="N38" s="1042"/>
    </row>
    <row r="39" spans="1:14" ht="14.25" thickBot="1">
      <c r="A39" s="1023" t="s">
        <v>360</v>
      </c>
      <c r="B39" s="1024" t="s">
        <v>223</v>
      </c>
      <c r="C39" s="1024" t="s">
        <v>224</v>
      </c>
      <c r="D39" s="1024" t="s">
        <v>225</v>
      </c>
      <c r="E39" s="1024" t="s">
        <v>226</v>
      </c>
      <c r="F39" s="1024" t="s">
        <v>227</v>
      </c>
      <c r="G39" s="1024" t="s">
        <v>228</v>
      </c>
      <c r="H39" s="1024" t="s">
        <v>229</v>
      </c>
      <c r="I39" s="1024" t="s">
        <v>230</v>
      </c>
      <c r="J39" s="1024" t="s">
        <v>231</v>
      </c>
      <c r="K39" s="1024" t="s">
        <v>232</v>
      </c>
      <c r="L39" s="1024" t="s">
        <v>233</v>
      </c>
      <c r="M39" s="1024" t="s">
        <v>234</v>
      </c>
      <c r="N39" s="1024" t="s">
        <v>241</v>
      </c>
    </row>
    <row r="40" spans="1:14" ht="13.5">
      <c r="A40" s="1025">
        <v>2004</v>
      </c>
      <c r="B40" s="1026">
        <v>240.7</v>
      </c>
      <c r="C40" s="1026">
        <v>241.7</v>
      </c>
      <c r="D40" s="1026">
        <v>243.7</v>
      </c>
      <c r="E40" s="1026">
        <v>237.7</v>
      </c>
      <c r="F40" s="1026">
        <v>240.8</v>
      </c>
      <c r="G40" s="1026">
        <v>241.5</v>
      </c>
      <c r="H40" s="1026">
        <v>243.3</v>
      </c>
      <c r="I40" s="1026">
        <v>237.1</v>
      </c>
      <c r="J40" s="1026">
        <v>241.6</v>
      </c>
      <c r="K40" s="1026">
        <v>238.8</v>
      </c>
      <c r="L40" s="1026">
        <v>245.7</v>
      </c>
      <c r="M40" s="1026">
        <v>249.9</v>
      </c>
      <c r="N40" s="1027">
        <v>242.4</v>
      </c>
    </row>
    <row r="41" spans="1:14" ht="13.5">
      <c r="A41" s="1028">
        <v>2005</v>
      </c>
      <c r="B41" s="1029">
        <v>253.1</v>
      </c>
      <c r="C41" s="1029">
        <v>256.89999999999998</v>
      </c>
      <c r="D41" s="1029">
        <v>255</v>
      </c>
      <c r="E41" s="1029">
        <v>253.3</v>
      </c>
      <c r="F41" s="1029">
        <v>253</v>
      </c>
      <c r="G41" s="1029">
        <v>252.2</v>
      </c>
      <c r="H41" s="1029">
        <v>251.1</v>
      </c>
      <c r="I41" s="1029">
        <v>247.9</v>
      </c>
      <c r="J41" s="1029">
        <v>246.7</v>
      </c>
      <c r="K41" s="1029">
        <v>249.2</v>
      </c>
      <c r="L41" s="1029">
        <v>250.4</v>
      </c>
      <c r="M41" s="1029">
        <v>256.2</v>
      </c>
      <c r="N41" s="1030">
        <v>251.9</v>
      </c>
    </row>
    <row r="42" spans="1:14" ht="13.5">
      <c r="A42" s="1028">
        <v>2006</v>
      </c>
      <c r="B42" s="1029">
        <v>257.8</v>
      </c>
      <c r="C42" s="1029">
        <v>258.60000000000002</v>
      </c>
      <c r="D42" s="1029">
        <v>259.39999999999998</v>
      </c>
      <c r="E42" s="1029">
        <v>256.39999999999998</v>
      </c>
      <c r="F42" s="1029">
        <v>257.60000000000002</v>
      </c>
      <c r="G42" s="1029">
        <v>256.10000000000002</v>
      </c>
      <c r="H42" s="1029">
        <v>250.4</v>
      </c>
      <c r="I42" s="1029">
        <v>248.4</v>
      </c>
      <c r="J42" s="1029">
        <v>249.2</v>
      </c>
      <c r="K42" s="1029">
        <v>246.2</v>
      </c>
      <c r="L42" s="1029">
        <v>246.3</v>
      </c>
      <c r="M42" s="1029">
        <v>251</v>
      </c>
      <c r="N42" s="1030">
        <v>253.1</v>
      </c>
    </row>
    <row r="43" spans="1:14" ht="13.5">
      <c r="A43" s="1028">
        <v>2007</v>
      </c>
      <c r="B43" s="1029">
        <v>257</v>
      </c>
      <c r="C43" s="1029">
        <v>258.60000000000002</v>
      </c>
      <c r="D43" s="1029">
        <v>258.5</v>
      </c>
      <c r="E43" s="1029">
        <v>260.5</v>
      </c>
      <c r="F43" s="1029">
        <v>258.8</v>
      </c>
      <c r="G43" s="1029">
        <v>257.5</v>
      </c>
      <c r="H43" s="1029">
        <v>254.5</v>
      </c>
      <c r="I43" s="1029">
        <v>250.9</v>
      </c>
      <c r="J43" s="1029">
        <v>249.3</v>
      </c>
      <c r="K43" s="1029">
        <v>246.9</v>
      </c>
      <c r="L43" s="1029">
        <v>251.1</v>
      </c>
      <c r="M43" s="1029">
        <v>253</v>
      </c>
      <c r="N43" s="1030">
        <v>254.3</v>
      </c>
    </row>
    <row r="44" spans="1:14" ht="13.5">
      <c r="A44" s="1028">
        <v>2008</v>
      </c>
      <c r="B44" s="1029">
        <v>260</v>
      </c>
      <c r="C44" s="1029">
        <v>259.7</v>
      </c>
      <c r="D44" s="1029">
        <v>256.5</v>
      </c>
      <c r="E44" s="1029">
        <v>253.2</v>
      </c>
      <c r="F44" s="1029">
        <v>257.89999999999998</v>
      </c>
      <c r="G44" s="1029">
        <v>255.5</v>
      </c>
      <c r="H44" s="1029">
        <v>249</v>
      </c>
      <c r="I44" s="1029">
        <v>247.1</v>
      </c>
      <c r="J44" s="1029">
        <v>246.8</v>
      </c>
      <c r="K44" s="1029">
        <v>243.8</v>
      </c>
      <c r="L44" s="1029">
        <v>247.6</v>
      </c>
      <c r="M44" s="1029">
        <v>252.5</v>
      </c>
      <c r="N44" s="1030">
        <v>252.2</v>
      </c>
    </row>
    <row r="45" spans="1:14" ht="13.5">
      <c r="A45" s="1028">
        <v>2009</v>
      </c>
      <c r="B45" s="1029">
        <v>254.8</v>
      </c>
      <c r="C45" s="1029">
        <v>256.39999999999998</v>
      </c>
      <c r="D45" s="1029">
        <v>258.2</v>
      </c>
      <c r="E45" s="1029">
        <v>257.39999999999998</v>
      </c>
      <c r="F45" s="1029">
        <v>257.39999999999998</v>
      </c>
      <c r="G45" s="1029">
        <v>255.2</v>
      </c>
      <c r="H45" s="1029">
        <v>253.6</v>
      </c>
      <c r="I45" s="1029">
        <v>250.6</v>
      </c>
      <c r="J45" s="1029">
        <v>251.8</v>
      </c>
      <c r="K45" s="1029">
        <v>252.9</v>
      </c>
      <c r="L45" s="1029">
        <v>255.6</v>
      </c>
      <c r="M45" s="1029">
        <v>260.8</v>
      </c>
      <c r="N45" s="1030">
        <v>255.4</v>
      </c>
    </row>
    <row r="46" spans="1:14" ht="13.5">
      <c r="A46" s="1028">
        <v>2010</v>
      </c>
      <c r="B46" s="1029">
        <v>261.8</v>
      </c>
      <c r="C46" s="1029">
        <v>267.39999999999998</v>
      </c>
      <c r="D46" s="1029">
        <v>265.7</v>
      </c>
      <c r="E46" s="1029">
        <v>267.89999999999998</v>
      </c>
      <c r="F46" s="1029">
        <v>268.8</v>
      </c>
      <c r="G46" s="1029">
        <v>266.89999999999998</v>
      </c>
      <c r="H46" s="1029">
        <v>264.39999999999998</v>
      </c>
      <c r="I46" s="1029">
        <v>259.89999999999998</v>
      </c>
      <c r="J46" s="1029">
        <v>258.10000000000002</v>
      </c>
      <c r="K46" s="1029">
        <v>254.5</v>
      </c>
      <c r="L46" s="1029">
        <v>258.10000000000002</v>
      </c>
      <c r="M46" s="1029">
        <v>262.5</v>
      </c>
      <c r="N46" s="1030">
        <v>262.8</v>
      </c>
    </row>
    <row r="47" spans="1:14" ht="13.5">
      <c r="A47" s="1028">
        <v>2011</v>
      </c>
      <c r="B47" s="1029">
        <v>262.7</v>
      </c>
      <c r="C47" s="1029">
        <v>262.60000000000002</v>
      </c>
      <c r="D47" s="1029">
        <v>262.2</v>
      </c>
      <c r="E47" s="1029">
        <v>261.5</v>
      </c>
      <c r="F47" s="1029">
        <v>261.2</v>
      </c>
      <c r="G47" s="1029">
        <v>258</v>
      </c>
      <c r="H47" s="1029">
        <v>256.2</v>
      </c>
      <c r="I47" s="1029">
        <v>251.1</v>
      </c>
      <c r="J47" s="1029">
        <v>250.5</v>
      </c>
      <c r="K47" s="1029">
        <v>251.1</v>
      </c>
      <c r="L47" s="1029">
        <v>253.3</v>
      </c>
      <c r="M47" s="1029">
        <v>259.5</v>
      </c>
      <c r="N47" s="1030">
        <v>257.2</v>
      </c>
    </row>
    <row r="48" spans="1:14" ht="13.5">
      <c r="A48" s="1028">
        <v>2012</v>
      </c>
      <c r="B48" s="1029">
        <v>263.39999999999998</v>
      </c>
      <c r="C48" s="1029">
        <v>263.8</v>
      </c>
      <c r="D48" s="1029">
        <v>264</v>
      </c>
      <c r="E48" s="1029">
        <v>262.5</v>
      </c>
      <c r="F48" s="1029">
        <v>265.3</v>
      </c>
      <c r="G48" s="1029">
        <v>262.2</v>
      </c>
      <c r="H48" s="1029">
        <v>260.3</v>
      </c>
      <c r="I48" s="1029">
        <v>256</v>
      </c>
      <c r="J48" s="1029">
        <v>256.2</v>
      </c>
      <c r="K48" s="1029">
        <v>257.60000000000002</v>
      </c>
      <c r="L48" s="1029">
        <v>260.7</v>
      </c>
      <c r="M48" s="1029">
        <v>263.5</v>
      </c>
      <c r="N48" s="1030">
        <v>261.3</v>
      </c>
    </row>
    <row r="49" spans="1:14" ht="13.5">
      <c r="A49" s="1028">
        <v>2013</v>
      </c>
      <c r="B49" s="1029">
        <v>263.7</v>
      </c>
      <c r="C49" s="1029">
        <v>268.2</v>
      </c>
      <c r="D49" s="1029">
        <v>266.3</v>
      </c>
      <c r="E49" s="1029">
        <v>267.2</v>
      </c>
      <c r="F49" s="1029">
        <v>267</v>
      </c>
      <c r="G49" s="1029">
        <v>269.39999999999998</v>
      </c>
      <c r="H49" s="1029">
        <v>265.3</v>
      </c>
      <c r="I49" s="1029">
        <v>261.7</v>
      </c>
      <c r="J49" s="1029">
        <v>261.2</v>
      </c>
      <c r="K49" s="1029">
        <v>259.89999999999998</v>
      </c>
      <c r="L49" s="1029">
        <v>263.3</v>
      </c>
      <c r="M49" s="1029">
        <v>265.8</v>
      </c>
      <c r="N49" s="1030">
        <v>264.8</v>
      </c>
    </row>
    <row r="50" spans="1:14" ht="13.5">
      <c r="A50" s="1032">
        <v>2014</v>
      </c>
      <c r="B50" s="1029">
        <v>267.7</v>
      </c>
      <c r="C50" s="1029">
        <v>270.8</v>
      </c>
      <c r="D50" s="1029">
        <v>267.3</v>
      </c>
      <c r="E50" s="1029">
        <v>267.2</v>
      </c>
      <c r="F50" s="1029">
        <v>267.7</v>
      </c>
      <c r="G50" s="1029">
        <v>267.39999999999998</v>
      </c>
      <c r="H50" s="1029">
        <v>264.89999999999998</v>
      </c>
      <c r="I50" s="1029">
        <v>263.3</v>
      </c>
      <c r="J50" s="1029">
        <v>260.39999999999998</v>
      </c>
      <c r="K50" s="1029">
        <v>262</v>
      </c>
      <c r="L50" s="1029">
        <v>263.3</v>
      </c>
      <c r="M50" s="1029">
        <v>267.89999999999998</v>
      </c>
      <c r="N50" s="1030">
        <v>265.7</v>
      </c>
    </row>
    <row r="51" spans="1:14" ht="13.5">
      <c r="A51" s="1035">
        <v>2015</v>
      </c>
      <c r="B51" s="1043">
        <v>270.89999999999998</v>
      </c>
      <c r="C51" s="1043">
        <v>271.7</v>
      </c>
      <c r="D51" s="1043">
        <v>270.89999999999998</v>
      </c>
      <c r="E51" s="1043">
        <v>272.5</v>
      </c>
      <c r="F51" s="1043">
        <v>274.8</v>
      </c>
      <c r="G51" s="1043">
        <v>275.7</v>
      </c>
      <c r="H51" s="1043">
        <v>272.39999999999998</v>
      </c>
      <c r="I51" s="1043">
        <v>268.60000000000002</v>
      </c>
      <c r="J51" s="1043">
        <v>266.3</v>
      </c>
      <c r="K51" s="1043">
        <v>266.10000000000002</v>
      </c>
      <c r="L51" s="1043">
        <v>268.7</v>
      </c>
      <c r="M51" s="1043">
        <v>270.39999999999998</v>
      </c>
      <c r="N51" s="1044">
        <v>270.5</v>
      </c>
    </row>
    <row r="52" spans="1:14" ht="13.5">
      <c r="A52" s="1035">
        <v>2016</v>
      </c>
      <c r="B52" s="1043">
        <v>271.7</v>
      </c>
      <c r="C52" s="1043">
        <v>271.89999999999998</v>
      </c>
      <c r="D52" s="1043">
        <v>270.2</v>
      </c>
      <c r="E52" s="1043">
        <v>272.2</v>
      </c>
      <c r="F52" s="1043">
        <v>275.5</v>
      </c>
      <c r="G52" s="1043">
        <v>274.2</v>
      </c>
      <c r="H52" s="1043">
        <v>270.5</v>
      </c>
      <c r="I52" s="1043">
        <v>268.7</v>
      </c>
      <c r="J52" s="1043">
        <v>268</v>
      </c>
      <c r="K52" s="1043">
        <v>270</v>
      </c>
      <c r="L52" s="1043">
        <v>273.2</v>
      </c>
      <c r="M52" s="1043">
        <v>276.5</v>
      </c>
      <c r="N52" s="1044">
        <v>271.8</v>
      </c>
    </row>
    <row r="53" spans="1:14" ht="13.5">
      <c r="A53" s="1035">
        <v>2017</v>
      </c>
      <c r="B53" s="1043">
        <v>276.69926282533487</v>
      </c>
      <c r="C53" s="1043">
        <v>276.47892871209154</v>
      </c>
      <c r="D53" s="1043">
        <v>278.22339935513622</v>
      </c>
      <c r="E53" s="1043">
        <v>279.34229084700496</v>
      </c>
      <c r="F53" s="1043">
        <v>281.69560720701139</v>
      </c>
      <c r="G53" s="1043">
        <v>282.87137778735314</v>
      </c>
      <c r="H53" s="1043">
        <v>277.47576558713354</v>
      </c>
      <c r="I53" s="1043">
        <v>274.10388337620998</v>
      </c>
      <c r="J53" s="1043">
        <v>273.58284883720944</v>
      </c>
      <c r="K53" s="1043">
        <v>274.03936753791561</v>
      </c>
      <c r="L53" s="1043">
        <v>275.29776603686923</v>
      </c>
      <c r="M53" s="1043">
        <v>280.80114332380572</v>
      </c>
      <c r="N53" s="1037">
        <v>277.62487398742144</v>
      </c>
    </row>
    <row r="54" spans="1:14" ht="13.5">
      <c r="A54" s="1035">
        <v>2018</v>
      </c>
      <c r="B54" s="1036">
        <v>279.54637865311327</v>
      </c>
      <c r="C54" s="1036">
        <v>282.17688062735988</v>
      </c>
      <c r="D54" s="1036">
        <v>283.66516998075673</v>
      </c>
      <c r="E54" s="1036">
        <v>284.39577732607717</v>
      </c>
      <c r="F54" s="1036">
        <v>286.91837000390598</v>
      </c>
      <c r="G54" s="1036">
        <v>286.16812790097981</v>
      </c>
      <c r="H54" s="1036">
        <v>281.7233466698047</v>
      </c>
      <c r="I54" s="1036">
        <v>279.00896414342645</v>
      </c>
      <c r="J54" s="1036">
        <v>276.36222177119254</v>
      </c>
      <c r="K54" s="1036">
        <v>278.71065267650755</v>
      </c>
      <c r="L54" s="1036">
        <v>284.00026838432649</v>
      </c>
      <c r="M54" s="1036">
        <v>284.93782985955824</v>
      </c>
      <c r="N54" s="1037">
        <v>282.28926615670917</v>
      </c>
    </row>
    <row r="55" spans="1:14" ht="14.25" thickBot="1">
      <c r="A55" s="1038">
        <v>2019</v>
      </c>
      <c r="B55" s="1039">
        <v>287.03444832750858</v>
      </c>
      <c r="C55" s="1039"/>
      <c r="D55" s="1039"/>
      <c r="E55" s="1039"/>
      <c r="F55" s="1039"/>
      <c r="G55" s="1039"/>
      <c r="H55" s="1039"/>
      <c r="I55" s="1039"/>
      <c r="J55" s="1039"/>
      <c r="K55" s="1039"/>
      <c r="L55" s="1039"/>
      <c r="M55" s="1039"/>
      <c r="N55" s="1040"/>
    </row>
    <row r="56" spans="1:14">
      <c r="I56" s="1021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83" zoomScale="75" workbookViewId="0">
      <selection activeCell="A327" sqref="A327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4" t="s">
        <v>363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</row>
    <row r="3" spans="1:29" ht="12.75" hidden="1" customHeight="1">
      <c r="A3" s="1314"/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1314"/>
      <c r="M3" s="1314"/>
    </row>
    <row r="4" spans="1:29" ht="12.75" hidden="1" customHeight="1">
      <c r="A4" s="1314"/>
      <c r="B4" s="1314"/>
      <c r="C4" s="1314"/>
      <c r="D4" s="1314"/>
      <c r="E4" s="1314"/>
      <c r="F4" s="1314"/>
      <c r="G4" s="1314"/>
      <c r="H4" s="1314"/>
      <c r="I4" s="1314"/>
      <c r="J4" s="1314"/>
      <c r="K4" s="1314"/>
      <c r="L4" s="1314"/>
      <c r="M4" s="1314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3" t="s">
        <v>220</v>
      </c>
      <c r="R7" s="1313"/>
      <c r="S7" s="1313"/>
      <c r="T7" s="160"/>
      <c r="U7" s="157">
        <v>2003</v>
      </c>
      <c r="V7" s="1313" t="s">
        <v>221</v>
      </c>
      <c r="W7" s="1315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3" t="s">
        <v>220</v>
      </c>
      <c r="Q16" s="1313"/>
      <c r="R16" s="1313"/>
      <c r="S16" s="1313"/>
      <c r="T16" s="158"/>
      <c r="U16" s="157">
        <v>2004</v>
      </c>
      <c r="V16" s="1313" t="s">
        <v>221</v>
      </c>
      <c r="W16" s="1313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3" t="s">
        <v>220</v>
      </c>
      <c r="Q25" s="1313"/>
      <c r="R25" s="1313"/>
      <c r="S25" s="1313"/>
      <c r="T25" s="158"/>
      <c r="U25" s="157">
        <v>2005</v>
      </c>
      <c r="V25" s="1313" t="s">
        <v>221</v>
      </c>
      <c r="W25" s="1313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3" t="s">
        <v>220</v>
      </c>
      <c r="Q34" s="1313"/>
      <c r="R34" s="1313"/>
      <c r="S34" s="1313"/>
      <c r="T34" s="158"/>
      <c r="U34" s="157">
        <v>2006</v>
      </c>
      <c r="V34" s="1313" t="s">
        <v>221</v>
      </c>
      <c r="W34" s="1313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3" t="s">
        <v>220</v>
      </c>
      <c r="Q43" s="1313"/>
      <c r="R43" s="1313"/>
      <c r="S43" s="1313"/>
      <c r="T43" s="158"/>
      <c r="U43" s="157">
        <v>2007</v>
      </c>
      <c r="V43" s="1313" t="s">
        <v>221</v>
      </c>
      <c r="W43" s="1313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3" t="s">
        <v>220</v>
      </c>
      <c r="Q52" s="1313"/>
      <c r="R52" s="1313"/>
      <c r="S52" s="1313"/>
      <c r="T52" s="158"/>
      <c r="U52" s="157">
        <v>2008</v>
      </c>
      <c r="V52" s="1313" t="s">
        <v>221</v>
      </c>
      <c r="W52" s="1313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3" t="s">
        <v>220</v>
      </c>
      <c r="Q61" s="1313"/>
      <c r="R61" s="1313"/>
      <c r="S61" s="1313"/>
      <c r="T61" s="158"/>
      <c r="U61" s="157">
        <v>2009</v>
      </c>
      <c r="V61" s="1313" t="s">
        <v>221</v>
      </c>
      <c r="W61" s="1313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3" t="s">
        <v>220</v>
      </c>
      <c r="Q70" s="1313"/>
      <c r="R70" s="1313"/>
      <c r="S70" s="1313"/>
      <c r="T70" s="158"/>
      <c r="U70" s="157">
        <v>2010</v>
      </c>
      <c r="V70" s="1313" t="s">
        <v>221</v>
      </c>
      <c r="W70" s="1313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3" t="s">
        <v>220</v>
      </c>
      <c r="Q79" s="1313"/>
      <c r="R79" s="1313"/>
      <c r="S79" s="1313"/>
      <c r="T79" s="158"/>
      <c r="U79" s="157">
        <v>2011</v>
      </c>
      <c r="V79" s="1313" t="s">
        <v>221</v>
      </c>
      <c r="W79" s="1313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3" t="s">
        <v>220</v>
      </c>
      <c r="Q88" s="1313"/>
      <c r="R88" s="1313"/>
      <c r="S88" s="1313"/>
      <c r="T88" s="158"/>
      <c r="U88" s="157">
        <v>2012</v>
      </c>
      <c r="V88" s="1313" t="s">
        <v>221</v>
      </c>
      <c r="W88" s="1313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3" t="s">
        <v>220</v>
      </c>
      <c r="Q97" s="1313"/>
      <c r="R97" s="1313"/>
      <c r="S97" s="1313"/>
      <c r="T97" s="158"/>
      <c r="U97" s="157">
        <v>2013</v>
      </c>
      <c r="V97" s="1313" t="s">
        <v>221</v>
      </c>
      <c r="W97" s="1313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3" t="s">
        <v>220</v>
      </c>
      <c r="Q106" s="1313"/>
      <c r="R106" s="1313"/>
      <c r="S106" s="1313"/>
      <c r="T106" s="158"/>
      <c r="U106" s="157">
        <v>2014</v>
      </c>
      <c r="V106" s="1313" t="s">
        <v>221</v>
      </c>
      <c r="W106" s="1313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3" t="s">
        <v>220</v>
      </c>
      <c r="Q116" s="1313"/>
      <c r="R116" s="1313"/>
      <c r="S116" s="1313"/>
      <c r="T116" s="158"/>
      <c r="U116" s="157">
        <v>2015</v>
      </c>
      <c r="V116" s="1313" t="s">
        <v>221</v>
      </c>
      <c r="W116" s="1313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3" t="s">
        <v>220</v>
      </c>
      <c r="Q126" s="1313"/>
      <c r="R126" s="1313"/>
      <c r="S126" s="1313"/>
      <c r="T126" s="158"/>
      <c r="U126" s="157">
        <v>2016</v>
      </c>
      <c r="V126" s="1313" t="s">
        <v>221</v>
      </c>
      <c r="W126" s="1313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3" t="s">
        <v>220</v>
      </c>
      <c r="Q136" s="1313"/>
      <c r="R136" s="1313"/>
      <c r="S136" s="1313"/>
      <c r="T136" s="158"/>
      <c r="U136" s="157">
        <v>2017</v>
      </c>
      <c r="V136" s="1313" t="s">
        <v>221</v>
      </c>
      <c r="W136" s="1313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1" ht="15">
      <c r="AA145" s="179"/>
      <c r="AB145" s="161"/>
      <c r="AC145" s="1052"/>
      <c r="AD145" s="1052"/>
    </row>
    <row r="146" spans="1:31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3" t="s">
        <v>220</v>
      </c>
      <c r="Q146" s="1313"/>
      <c r="R146" s="1313"/>
      <c r="S146" s="1313"/>
      <c r="T146" s="158"/>
      <c r="U146" s="157">
        <v>2018</v>
      </c>
      <c r="V146" s="1313" t="s">
        <v>221</v>
      </c>
      <c r="W146" s="1313"/>
      <c r="X146" s="158"/>
      <c r="Y146" s="244">
        <v>2018</v>
      </c>
      <c r="Z146" s="158"/>
      <c r="AA146" s="179"/>
      <c r="AB146"/>
      <c r="AC146" s="1052"/>
      <c r="AD146" s="1052"/>
      <c r="AE146"/>
    </row>
    <row r="147" spans="1:31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1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1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</row>
    <row r="150" spans="1:31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</row>
    <row r="151" spans="1:31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</row>
    <row r="152" spans="1:31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</row>
    <row r="153" spans="1:31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</row>
    <row r="154" spans="1:31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</row>
    <row r="155" spans="1:31">
      <c r="AA155" s="179"/>
      <c r="AB155"/>
      <c r="AC155"/>
      <c r="AD155"/>
      <c r="AE155"/>
    </row>
    <row r="156" spans="1:31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3" t="s">
        <v>220</v>
      </c>
      <c r="Q156" s="1313"/>
      <c r="R156" s="1313"/>
      <c r="S156" s="1313"/>
      <c r="T156" s="158"/>
      <c r="U156" s="157">
        <v>2019</v>
      </c>
      <c r="V156" s="1313" t="s">
        <v>221</v>
      </c>
      <c r="W156" s="1313"/>
      <c r="X156" s="158"/>
      <c r="Y156" s="244">
        <v>2019</v>
      </c>
      <c r="Z156" s="158"/>
      <c r="AA156" s="179"/>
      <c r="AB156" s="122"/>
      <c r="AC156" s="122"/>
      <c r="AD156" s="122"/>
      <c r="AE156" s="122"/>
    </row>
    <row r="157" spans="1:31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 s="122"/>
      <c r="AC157" s="122"/>
      <c r="AD157" s="122"/>
      <c r="AE157" s="122"/>
    </row>
    <row r="158" spans="1:31" ht="13.5" thickBot="1">
      <c r="A158" s="269" t="s">
        <v>242</v>
      </c>
      <c r="B158" s="204">
        <v>13097.004154604951</v>
      </c>
      <c r="C158" s="270"/>
      <c r="D158" s="204"/>
      <c r="E158" s="204"/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 s="122"/>
      <c r="AC158" s="122"/>
      <c r="AD158" s="122"/>
      <c r="AE158" s="122"/>
    </row>
    <row r="159" spans="1:31">
      <c r="A159" s="272" t="s">
        <v>247</v>
      </c>
      <c r="B159" s="227">
        <v>12988.229233268361</v>
      </c>
      <c r="C159" s="273"/>
      <c r="D159" s="274"/>
      <c r="E159" s="227"/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 s="122"/>
      <c r="AC159" s="122"/>
      <c r="AD159" s="122"/>
      <c r="AE159" s="122"/>
    </row>
    <row r="160" spans="1:31">
      <c r="A160" s="214" t="s">
        <v>243</v>
      </c>
      <c r="B160" s="215">
        <v>14030.74154673591</v>
      </c>
      <c r="C160" s="267"/>
      <c r="D160" s="215"/>
      <c r="E160" s="215"/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 s="122"/>
      <c r="AC160" s="122"/>
      <c r="AD160" s="122"/>
      <c r="AE160" s="122"/>
    </row>
    <row r="161" spans="1:31">
      <c r="A161" s="214" t="s">
        <v>244</v>
      </c>
      <c r="B161" s="215">
        <v>13875.267566076433</v>
      </c>
      <c r="C161" s="267"/>
      <c r="D161" s="215"/>
      <c r="E161" s="215"/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 s="122"/>
      <c r="AC161" s="122"/>
      <c r="AD161" s="122"/>
      <c r="AE161" s="122"/>
    </row>
    <row r="162" spans="1:31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 s="122"/>
      <c r="AC162" s="122"/>
      <c r="AD162" s="122"/>
      <c r="AE162" s="122"/>
    </row>
    <row r="163" spans="1:31">
      <c r="A163" s="214" t="s">
        <v>98</v>
      </c>
      <c r="B163" s="215">
        <v>11016.435273215879</v>
      </c>
      <c r="C163" s="267"/>
      <c r="D163" s="215"/>
      <c r="E163" s="215"/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 s="122"/>
      <c r="AC163" s="122"/>
      <c r="AD163" s="122"/>
      <c r="AE163" s="122"/>
    </row>
    <row r="164" spans="1:31" ht="13.5" thickBot="1">
      <c r="A164" s="217" t="s">
        <v>246</v>
      </c>
      <c r="B164" s="215">
        <v>13526.782125454416</v>
      </c>
      <c r="C164" s="268"/>
      <c r="D164" s="218"/>
      <c r="E164" s="218"/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 s="122"/>
      <c r="AC164" s="122"/>
      <c r="AD164" s="122"/>
      <c r="AE164" s="122"/>
    </row>
    <row r="165" spans="1:31">
      <c r="AA165" s="179"/>
      <c r="AB165" s="122"/>
      <c r="AC165" s="122"/>
      <c r="AD165" s="122"/>
      <c r="AE165" s="122"/>
    </row>
    <row r="166" spans="1:31" ht="13.5">
      <c r="AA166" s="288"/>
    </row>
    <row r="167" spans="1:31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</row>
    <row r="168" spans="1:31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1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1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1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1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1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1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1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1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>(M148/1000)/1.02</f>
        <v>12.845669612500837</v>
      </c>
      <c r="O308" s="305" t="s">
        <v>242</v>
      </c>
      <c r="P308" s="339">
        <f t="shared" ref="P308:S314" si="142">(P148/1000)/1.02</f>
        <v>13.230221012323254</v>
      </c>
      <c r="Q308" s="340">
        <f t="shared" si="142"/>
        <v>13.250178349054238</v>
      </c>
      <c r="R308" s="340">
        <f t="shared" si="142"/>
        <v>12.982727234948083</v>
      </c>
      <c r="S308" s="340">
        <f t="shared" si="142"/>
        <v>12.910420248951832</v>
      </c>
      <c r="T308" s="279"/>
      <c r="U308" s="305" t="s">
        <v>242</v>
      </c>
      <c r="V308" s="339">
        <f t="shared" ref="V308:W314" si="143">(V148/1000)/1.02</f>
        <v>13.240202825385905</v>
      </c>
      <c r="W308" s="339">
        <f t="shared" si="143"/>
        <v>12.947732227895957</v>
      </c>
      <c r="X308" s="279"/>
      <c r="Y308" s="305" t="s">
        <v>242</v>
      </c>
      <c r="Z308" s="342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5">(B149/1000)/1.02</f>
        <v>13.262998007807239</v>
      </c>
      <c r="C309" s="340">
        <f t="shared" si="145"/>
        <v>13.221897350828796</v>
      </c>
      <c r="D309" s="340">
        <f t="shared" ref="D309:D314" si="146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>(M149/1000)/1.02</f>
        <v>13.678657096171797</v>
      </c>
      <c r="O309" s="346" t="s">
        <v>247</v>
      </c>
      <c r="P309" s="339">
        <f t="shared" si="142"/>
        <v>13.215926465449918</v>
      </c>
      <c r="Q309" s="340">
        <f t="shared" si="142"/>
        <v>13.378442858407467</v>
      </c>
      <c r="R309" s="340">
        <f t="shared" si="142"/>
        <v>13.125179115444075</v>
      </c>
      <c r="S309" s="340">
        <f t="shared" si="142"/>
        <v>13.378226863347018</v>
      </c>
      <c r="T309" s="279"/>
      <c r="U309" s="347" t="s">
        <v>247</v>
      </c>
      <c r="V309" s="339">
        <f t="shared" si="143"/>
        <v>13.290659161767946</v>
      </c>
      <c r="W309" s="339">
        <f t="shared" si="143"/>
        <v>13.25267330202043</v>
      </c>
      <c r="X309" s="279"/>
      <c r="Y309" s="347" t="s">
        <v>247</v>
      </c>
      <c r="Z309" s="342">
        <f t="shared" si="144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5"/>
        <v>14.081125630094927</v>
      </c>
      <c r="C310" s="340">
        <f t="shared" si="145"/>
        <v>14.019438695151617</v>
      </c>
      <c r="D310" s="340">
        <f t="shared" si="146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>(M150/1000)/1.02</f>
        <v>13.814563402703643</v>
      </c>
      <c r="O310" s="353" t="s">
        <v>243</v>
      </c>
      <c r="P310" s="339">
        <f t="shared" si="142"/>
        <v>14.003403562374526</v>
      </c>
      <c r="Q310" s="340">
        <f t="shared" si="142"/>
        <v>13.906122824326985</v>
      </c>
      <c r="R310" s="340">
        <f t="shared" si="142"/>
        <v>13.884604254748531</v>
      </c>
      <c r="S310" s="340">
        <f t="shared" si="142"/>
        <v>13.903640827447211</v>
      </c>
      <c r="T310" s="279"/>
      <c r="U310" s="354" t="s">
        <v>243</v>
      </c>
      <c r="V310" s="339">
        <f t="shared" si="143"/>
        <v>13.955995915606531</v>
      </c>
      <c r="W310" s="339">
        <f t="shared" si="143"/>
        <v>13.893678068552234</v>
      </c>
      <c r="X310" s="279"/>
      <c r="Y310" s="354" t="s">
        <v>243</v>
      </c>
      <c r="Z310" s="342">
        <f t="shared" si="144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5"/>
        <v>13.916737957138787</v>
      </c>
      <c r="C311" s="340">
        <f t="shared" si="145"/>
        <v>13.904369707393043</v>
      </c>
      <c r="D311" s="340">
        <f t="shared" si="146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>(M151/1000)/1.02</f>
        <v>13.627399039649136</v>
      </c>
      <c r="O311" s="353" t="s">
        <v>244</v>
      </c>
      <c r="P311" s="339">
        <f t="shared" si="142"/>
        <v>13.870468141833136</v>
      </c>
      <c r="Q311" s="340">
        <f t="shared" si="142"/>
        <v>13.817948306824341</v>
      </c>
      <c r="R311" s="340">
        <f t="shared" si="142"/>
        <v>13.796716837212617</v>
      </c>
      <c r="S311" s="340">
        <f t="shared" si="142"/>
        <v>13.746510233463953</v>
      </c>
      <c r="T311" s="279"/>
      <c r="U311" s="354" t="s">
        <v>244</v>
      </c>
      <c r="V311" s="339">
        <f t="shared" si="143"/>
        <v>13.842174551678157</v>
      </c>
      <c r="W311" s="339">
        <f t="shared" si="143"/>
        <v>13.771834294001557</v>
      </c>
      <c r="X311" s="279"/>
      <c r="Y311" s="354" t="s">
        <v>244</v>
      </c>
      <c r="Z311" s="342">
        <f t="shared" si="144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5"/>
        <v>0</v>
      </c>
      <c r="C312" s="340">
        <f t="shared" si="145"/>
        <v>11.440558823529413</v>
      </c>
      <c r="D312" s="340">
        <f t="shared" si="146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>(M153/1000)/1.02</f>
        <v>10.863588812907926</v>
      </c>
      <c r="O312" s="353" t="s">
        <v>245</v>
      </c>
      <c r="P312" s="339">
        <f t="shared" si="142"/>
        <v>11.440558823529413</v>
      </c>
      <c r="Q312" s="340">
        <f t="shared" si="142"/>
        <v>13.63885294117647</v>
      </c>
      <c r="R312" s="340">
        <f t="shared" si="142"/>
        <v>10.162628727770178</v>
      </c>
      <c r="S312" s="340">
        <f t="shared" si="142"/>
        <v>11.636274509803922</v>
      </c>
      <c r="T312" s="279"/>
      <c r="U312" s="354" t="s">
        <v>245</v>
      </c>
      <c r="V312" s="339">
        <f t="shared" si="143"/>
        <v>12.010065071624505</v>
      </c>
      <c r="W312" s="339">
        <f t="shared" si="143"/>
        <v>11.428922518221949</v>
      </c>
      <c r="X312" s="279"/>
      <c r="Y312" s="354" t="s">
        <v>245</v>
      </c>
      <c r="Z312" s="342">
        <f t="shared" si="144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5"/>
        <v>11.500111872875923</v>
      </c>
      <c r="C313" s="340">
        <f t="shared" si="145"/>
        <v>11.616046597092371</v>
      </c>
      <c r="D313" s="340">
        <f t="shared" si="146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>(M154/1000)/1.02</f>
        <v>13.311725222054188</v>
      </c>
      <c r="O313" s="353" t="s">
        <v>98</v>
      </c>
      <c r="P313" s="339">
        <f t="shared" si="142"/>
        <v>11.621748419941399</v>
      </c>
      <c r="Q313" s="340">
        <f t="shared" si="142"/>
        <v>11.766660911583049</v>
      </c>
      <c r="R313" s="340">
        <f t="shared" si="142"/>
        <v>11.32876130194987</v>
      </c>
      <c r="S313" s="340">
        <f t="shared" si="142"/>
        <v>11.103390376311644</v>
      </c>
      <c r="T313" s="279"/>
      <c r="U313" s="354" t="s">
        <v>98</v>
      </c>
      <c r="V313" s="339">
        <f t="shared" si="143"/>
        <v>11.691886194190069</v>
      </c>
      <c r="W313" s="339">
        <f t="shared" si="143"/>
        <v>11.217244325839276</v>
      </c>
      <c r="X313" s="279"/>
      <c r="Y313" s="354" t="s">
        <v>98</v>
      </c>
      <c r="Z313" s="342">
        <f t="shared" si="144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5"/>
        <v>13.201520864243111</v>
      </c>
      <c r="C314" s="340">
        <f t="shared" si="145"/>
        <v>13.256447251882694</v>
      </c>
      <c r="D314" s="340">
        <f t="shared" si="146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 t="e">
        <f>(#REF!/1000)/1.02</f>
        <v>#REF!</v>
      </c>
      <c r="O314" s="360" t="s">
        <v>246</v>
      </c>
      <c r="P314" s="339">
        <f t="shared" si="142"/>
        <v>13.237739001698655</v>
      </c>
      <c r="Q314" s="340">
        <f t="shared" si="142"/>
        <v>13.302139435141676</v>
      </c>
      <c r="R314" s="340">
        <f t="shared" si="142"/>
        <v>13.157762681830592</v>
      </c>
      <c r="S314" s="340">
        <f t="shared" si="142"/>
        <v>13.282099216296503</v>
      </c>
      <c r="T314" s="279"/>
      <c r="U314" s="361" t="s">
        <v>246</v>
      </c>
      <c r="V314" s="339">
        <f t="shared" si="143"/>
        <v>13.271829591742092</v>
      </c>
      <c r="W314" s="339">
        <f t="shared" si="143"/>
        <v>13.216915967312961</v>
      </c>
      <c r="X314" s="279"/>
      <c r="Y314" s="361" t="s">
        <v>246</v>
      </c>
      <c r="Z314" s="342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0</v>
      </c>
      <c r="D318" s="340">
        <f>(D158/1000)/1.02</f>
        <v>0</v>
      </c>
      <c r="E318" s="340">
        <f t="shared" ref="E318:F324" si="147">E158/1000/1.02</f>
        <v>0</v>
      </c>
      <c r="F318" s="340">
        <f t="shared" si="147"/>
        <v>0</v>
      </c>
      <c r="G318" s="340">
        <v>13.222344702435999</v>
      </c>
      <c r="H318" s="340">
        <v>12.934055693806535</v>
      </c>
      <c r="I318" s="340">
        <f t="shared" ref="I318:L324" si="148">I158/1000/1.02</f>
        <v>0</v>
      </c>
      <c r="J318" s="340">
        <f t="shared" si="148"/>
        <v>0</v>
      </c>
      <c r="K318" s="340">
        <f t="shared" si="148"/>
        <v>0</v>
      </c>
      <c r="L318" s="340">
        <f t="shared" si="148"/>
        <v>0</v>
      </c>
      <c r="M318" s="341">
        <f t="shared" ref="M318:M324" si="149">(M158/1000)/1.02</f>
        <v>0</v>
      </c>
      <c r="O318" s="305" t="s">
        <v>242</v>
      </c>
      <c r="P318" s="339">
        <f t="shared" ref="P318:S324" si="150">(P158/1000)/1.02</f>
        <v>0</v>
      </c>
      <c r="Q318" s="340">
        <f t="shared" si="150"/>
        <v>0</v>
      </c>
      <c r="R318" s="340">
        <f t="shared" si="150"/>
        <v>0</v>
      </c>
      <c r="S318" s="340">
        <f t="shared" si="150"/>
        <v>0</v>
      </c>
      <c r="T318" s="279"/>
      <c r="U318" s="305" t="s">
        <v>242</v>
      </c>
      <c r="V318" s="339">
        <f t="shared" ref="V318:W324" si="151">(V158/1000)/1.02</f>
        <v>0</v>
      </c>
      <c r="W318" s="339">
        <f t="shared" si="151"/>
        <v>0</v>
      </c>
      <c r="X318" s="279"/>
      <c r="Y318" s="305" t="s">
        <v>242</v>
      </c>
      <c r="Z318" s="342">
        <f t="shared" ref="Z318:Z324" si="152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3">(B159/1000)/1.02</f>
        <v>12.733558071831727</v>
      </c>
      <c r="C319" s="340">
        <f t="shared" si="153"/>
        <v>0</v>
      </c>
      <c r="D319" s="340">
        <f t="shared" ref="D319:D324" si="154">D159/1000/1.02</f>
        <v>0</v>
      </c>
      <c r="E319" s="340">
        <f t="shared" si="147"/>
        <v>0</v>
      </c>
      <c r="F319" s="340">
        <f t="shared" si="147"/>
        <v>0</v>
      </c>
      <c r="G319" s="340">
        <v>13.133054758094501</v>
      </c>
      <c r="H319" s="340">
        <v>12.576316997167146</v>
      </c>
      <c r="I319" s="340">
        <f t="shared" si="148"/>
        <v>0</v>
      </c>
      <c r="J319" s="340">
        <f t="shared" si="148"/>
        <v>0</v>
      </c>
      <c r="K319" s="340">
        <f t="shared" si="148"/>
        <v>0</v>
      </c>
      <c r="L319" s="340">
        <f t="shared" si="148"/>
        <v>0</v>
      </c>
      <c r="M319" s="341">
        <f t="shared" si="149"/>
        <v>0</v>
      </c>
      <c r="O319" s="346" t="s">
        <v>247</v>
      </c>
      <c r="P319" s="339">
        <f t="shared" si="150"/>
        <v>0</v>
      </c>
      <c r="Q319" s="340">
        <f t="shared" si="150"/>
        <v>0</v>
      </c>
      <c r="R319" s="340">
        <f t="shared" si="150"/>
        <v>0</v>
      </c>
      <c r="S319" s="340">
        <f t="shared" si="150"/>
        <v>0</v>
      </c>
      <c r="T319" s="279"/>
      <c r="U319" s="347" t="s">
        <v>247</v>
      </c>
      <c r="V319" s="339">
        <f t="shared" si="151"/>
        <v>0</v>
      </c>
      <c r="W319" s="339">
        <f t="shared" si="151"/>
        <v>0</v>
      </c>
      <c r="X319" s="279"/>
      <c r="Y319" s="347" t="s">
        <v>247</v>
      </c>
      <c r="Z319" s="342">
        <f t="shared" si="152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3"/>
        <v>13.755628967388146</v>
      </c>
      <c r="C320" s="340">
        <f t="shared" si="153"/>
        <v>0</v>
      </c>
      <c r="D320" s="340">
        <f t="shared" si="154"/>
        <v>0</v>
      </c>
      <c r="E320" s="340">
        <f t="shared" si="147"/>
        <v>0</v>
      </c>
      <c r="F320" s="340">
        <f t="shared" si="147"/>
        <v>0</v>
      </c>
      <c r="G320" s="340">
        <v>13.866172722817</v>
      </c>
      <c r="H320" s="340">
        <v>13.734700206948389</v>
      </c>
      <c r="I320" s="340">
        <f t="shared" si="148"/>
        <v>0</v>
      </c>
      <c r="J320" s="340">
        <f t="shared" si="148"/>
        <v>0</v>
      </c>
      <c r="K320" s="340">
        <f t="shared" si="148"/>
        <v>0</v>
      </c>
      <c r="L320" s="340">
        <f t="shared" si="148"/>
        <v>0</v>
      </c>
      <c r="M320" s="341">
        <f t="shared" si="149"/>
        <v>0</v>
      </c>
      <c r="O320" s="353" t="s">
        <v>243</v>
      </c>
      <c r="P320" s="339">
        <f t="shared" si="150"/>
        <v>0</v>
      </c>
      <c r="Q320" s="340">
        <f t="shared" si="150"/>
        <v>0</v>
      </c>
      <c r="R320" s="340">
        <f t="shared" si="150"/>
        <v>0</v>
      </c>
      <c r="S320" s="340">
        <f t="shared" si="150"/>
        <v>0</v>
      </c>
      <c r="T320" s="279"/>
      <c r="U320" s="354" t="s">
        <v>243</v>
      </c>
      <c r="V320" s="339">
        <f t="shared" si="151"/>
        <v>0</v>
      </c>
      <c r="W320" s="339">
        <f t="shared" si="151"/>
        <v>0</v>
      </c>
      <c r="X320" s="279"/>
      <c r="Y320" s="354" t="s">
        <v>243</v>
      </c>
      <c r="Z320" s="342">
        <f t="shared" si="152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3"/>
        <v>13.603203496153366</v>
      </c>
      <c r="C321" s="340">
        <f t="shared" si="153"/>
        <v>0</v>
      </c>
      <c r="D321" s="340">
        <f t="shared" si="154"/>
        <v>0</v>
      </c>
      <c r="E321" s="340">
        <f t="shared" si="147"/>
        <v>0</v>
      </c>
      <c r="F321" s="340">
        <f t="shared" si="147"/>
        <v>0</v>
      </c>
      <c r="G321" s="340">
        <v>13.769766264292601</v>
      </c>
      <c r="H321" s="340">
        <v>13.641307443384223</v>
      </c>
      <c r="I321" s="340">
        <f t="shared" si="148"/>
        <v>0</v>
      </c>
      <c r="J321" s="340">
        <f t="shared" si="148"/>
        <v>0</v>
      </c>
      <c r="K321" s="340">
        <f t="shared" si="148"/>
        <v>0</v>
      </c>
      <c r="L321" s="340">
        <f t="shared" si="148"/>
        <v>0</v>
      </c>
      <c r="M321" s="341">
        <f t="shared" si="149"/>
        <v>0</v>
      </c>
      <c r="O321" s="353" t="s">
        <v>244</v>
      </c>
      <c r="P321" s="339">
        <f t="shared" si="150"/>
        <v>0</v>
      </c>
      <c r="Q321" s="340">
        <f t="shared" si="150"/>
        <v>0</v>
      </c>
      <c r="R321" s="340">
        <f t="shared" si="150"/>
        <v>0</v>
      </c>
      <c r="S321" s="340">
        <f t="shared" si="150"/>
        <v>0</v>
      </c>
      <c r="T321" s="279"/>
      <c r="U321" s="354" t="s">
        <v>244</v>
      </c>
      <c r="V321" s="339">
        <f t="shared" si="151"/>
        <v>0</v>
      </c>
      <c r="W321" s="339">
        <f t="shared" si="151"/>
        <v>0</v>
      </c>
      <c r="X321" s="279"/>
      <c r="Y321" s="354" t="s">
        <v>244</v>
      </c>
      <c r="Z321" s="342">
        <f t="shared" si="152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/>
      <c r="C322" s="340">
        <f>(C162/1000)/1.02</f>
        <v>0</v>
      </c>
      <c r="D322" s="340">
        <f t="shared" si="154"/>
        <v>0</v>
      </c>
      <c r="E322" s="340">
        <f t="shared" si="147"/>
        <v>0</v>
      </c>
      <c r="F322" s="340">
        <f t="shared" si="147"/>
        <v>0</v>
      </c>
      <c r="G322" s="340">
        <f>G162/1000/1.02</f>
        <v>0</v>
      </c>
      <c r="H322" s="340">
        <v>10.073823529411763</v>
      </c>
      <c r="I322" s="340">
        <f t="shared" si="148"/>
        <v>0</v>
      </c>
      <c r="J322" s="340">
        <f t="shared" si="148"/>
        <v>0</v>
      </c>
      <c r="K322" s="340">
        <f t="shared" si="148"/>
        <v>0</v>
      </c>
      <c r="L322" s="340">
        <f t="shared" si="148"/>
        <v>0</v>
      </c>
      <c r="M322" s="341">
        <f t="shared" si="149"/>
        <v>0</v>
      </c>
      <c r="O322" s="353" t="s">
        <v>245</v>
      </c>
      <c r="P322" s="339">
        <f t="shared" si="150"/>
        <v>0</v>
      </c>
      <c r="Q322" s="340">
        <f t="shared" si="150"/>
        <v>0</v>
      </c>
      <c r="R322" s="340">
        <f t="shared" si="150"/>
        <v>0</v>
      </c>
      <c r="S322" s="340">
        <f t="shared" si="150"/>
        <v>0</v>
      </c>
      <c r="T322" s="279"/>
      <c r="U322" s="354" t="s">
        <v>245</v>
      </c>
      <c r="V322" s="339">
        <f t="shared" si="151"/>
        <v>0</v>
      </c>
      <c r="W322" s="339">
        <f t="shared" si="151"/>
        <v>0</v>
      </c>
      <c r="X322" s="279"/>
      <c r="Y322" s="354" t="s">
        <v>245</v>
      </c>
      <c r="Z322" s="342">
        <f t="shared" si="152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>(B163/1000)/1.02</f>
        <v>10.800426738446939</v>
      </c>
      <c r="C323" s="340">
        <f>(C163/1000)/1.02</f>
        <v>0</v>
      </c>
      <c r="D323" s="340">
        <f t="shared" si="154"/>
        <v>0</v>
      </c>
      <c r="E323" s="340">
        <f t="shared" si="147"/>
        <v>0</v>
      </c>
      <c r="F323" s="340">
        <f t="shared" si="147"/>
        <v>0</v>
      </c>
      <c r="G323" s="340">
        <v>11.7553924512841</v>
      </c>
      <c r="H323" s="340">
        <v>11.443444969882435</v>
      </c>
      <c r="I323" s="340">
        <f t="shared" si="148"/>
        <v>0</v>
      </c>
      <c r="J323" s="340">
        <f t="shared" si="148"/>
        <v>0</v>
      </c>
      <c r="K323" s="340">
        <f t="shared" si="148"/>
        <v>0</v>
      </c>
      <c r="L323" s="340">
        <f t="shared" si="148"/>
        <v>0</v>
      </c>
      <c r="M323" s="341">
        <f t="shared" si="149"/>
        <v>0</v>
      </c>
      <c r="O323" s="353" t="s">
        <v>98</v>
      </c>
      <c r="P323" s="339">
        <f t="shared" si="150"/>
        <v>0</v>
      </c>
      <c r="Q323" s="340">
        <f t="shared" si="150"/>
        <v>0</v>
      </c>
      <c r="R323" s="340">
        <f t="shared" si="150"/>
        <v>0</v>
      </c>
      <c r="S323" s="340">
        <f t="shared" si="150"/>
        <v>0</v>
      </c>
      <c r="T323" s="279"/>
      <c r="U323" s="354" t="s">
        <v>98</v>
      </c>
      <c r="V323" s="339">
        <f t="shared" si="151"/>
        <v>0</v>
      </c>
      <c r="W323" s="339">
        <f t="shared" si="151"/>
        <v>0</v>
      </c>
      <c r="X323" s="279"/>
      <c r="Y323" s="354" t="s">
        <v>98</v>
      </c>
      <c r="Z323" s="342">
        <f t="shared" si="152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>(B164/1000)/1.02</f>
        <v>13.261551103386681</v>
      </c>
      <c r="C324" s="340">
        <f>(C164/1000)/1.02</f>
        <v>0</v>
      </c>
      <c r="D324" s="340">
        <f t="shared" si="154"/>
        <v>0</v>
      </c>
      <c r="E324" s="340">
        <f t="shared" si="147"/>
        <v>0</v>
      </c>
      <c r="F324" s="340">
        <f t="shared" si="147"/>
        <v>0</v>
      </c>
      <c r="G324" s="340">
        <v>13.300815170088001</v>
      </c>
      <c r="H324" s="340">
        <v>13.117576915975153</v>
      </c>
      <c r="I324" s="340">
        <f t="shared" si="148"/>
        <v>0</v>
      </c>
      <c r="J324" s="340">
        <f t="shared" si="148"/>
        <v>0</v>
      </c>
      <c r="K324" s="340">
        <f t="shared" si="148"/>
        <v>0</v>
      </c>
      <c r="L324" s="340">
        <f t="shared" si="148"/>
        <v>0</v>
      </c>
      <c r="M324" s="341">
        <f t="shared" si="149"/>
        <v>0</v>
      </c>
      <c r="O324" s="360" t="s">
        <v>246</v>
      </c>
      <c r="P324" s="339">
        <f t="shared" si="150"/>
        <v>0</v>
      </c>
      <c r="Q324" s="340">
        <f t="shared" si="150"/>
        <v>0</v>
      </c>
      <c r="R324" s="340">
        <f t="shared" si="150"/>
        <v>0</v>
      </c>
      <c r="S324" s="340">
        <f t="shared" si="150"/>
        <v>0</v>
      </c>
      <c r="T324" s="279"/>
      <c r="U324" s="361" t="s">
        <v>246</v>
      </c>
      <c r="V324" s="339">
        <f t="shared" si="151"/>
        <v>0</v>
      </c>
      <c r="W324" s="339">
        <f t="shared" si="151"/>
        <v>0</v>
      </c>
      <c r="X324" s="279"/>
      <c r="Y324" s="361" t="s">
        <v>246</v>
      </c>
      <c r="Z324" s="342">
        <f t="shared" si="152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55">B207*0.521</f>
        <v>4.239554752941177</v>
      </c>
      <c r="C361" s="410">
        <f t="shared" si="155"/>
        <v>4.3182063431372546</v>
      </c>
      <c r="D361" s="410">
        <f t="shared" si="155"/>
        <v>4.2855059313725485</v>
      </c>
      <c r="E361" s="410">
        <f t="shared" si="155"/>
        <v>4.2212676529411768</v>
      </c>
      <c r="F361" s="410">
        <f t="shared" si="155"/>
        <v>4.0758238627450982</v>
      </c>
      <c r="G361" s="410">
        <f t="shared" si="155"/>
        <v>4.0245870882352941</v>
      </c>
      <c r="H361" s="410">
        <f t="shared" si="155"/>
        <v>4.0007998627450982</v>
      </c>
      <c r="I361" s="410">
        <f t="shared" si="155"/>
        <v>4.1291037745098036</v>
      </c>
      <c r="J361" s="410">
        <f t="shared" si="155"/>
        <v>4.2058695490196083</v>
      </c>
      <c r="K361" s="410">
        <f t="shared" si="155"/>
        <v>4.0356200294117643</v>
      </c>
      <c r="L361" s="410">
        <f t="shared" si="155"/>
        <v>3.9060595882352946</v>
      </c>
      <c r="M361" s="411">
        <f t="shared" si="155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56">B208*0.55</f>
        <v>5.0294372549019615</v>
      </c>
      <c r="C362" s="414">
        <f t="shared" si="156"/>
        <v>5.0321991176470577</v>
      </c>
      <c r="D362" s="414">
        <f t="shared" si="156"/>
        <v>4.9662924019607848</v>
      </c>
      <c r="E362" s="414">
        <f t="shared" si="156"/>
        <v>4.9240065686274512</v>
      </c>
      <c r="F362" s="414">
        <f t="shared" si="156"/>
        <v>4.7653989705882349</v>
      </c>
      <c r="G362" s="414">
        <f t="shared" si="156"/>
        <v>4.6678915196078421</v>
      </c>
      <c r="H362" s="414">
        <f t="shared" si="156"/>
        <v>4.6059205392156866</v>
      </c>
      <c r="I362" s="414">
        <f t="shared" si="156"/>
        <v>4.7843416176470601</v>
      </c>
      <c r="J362" s="414">
        <f t="shared" si="156"/>
        <v>4.803961519607844</v>
      </c>
      <c r="K362" s="414">
        <f t="shared" si="156"/>
        <v>4.67049</v>
      </c>
      <c r="L362" s="414">
        <f t="shared" si="156"/>
        <v>4.5795065196078433</v>
      </c>
      <c r="M362" s="415">
        <f t="shared" si="156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57">B209*0.52</f>
        <v>4.7609405490196073</v>
      </c>
      <c r="C363" s="388">
        <f t="shared" si="157"/>
        <v>4.7835605490196089</v>
      </c>
      <c r="D363" s="388">
        <f t="shared" si="157"/>
        <v>4.637351843137254</v>
      </c>
      <c r="E363" s="388">
        <f t="shared" si="157"/>
        <v>4.6410387450980384</v>
      </c>
      <c r="F363" s="388">
        <f t="shared" si="157"/>
        <v>4.449082274509804</v>
      </c>
      <c r="G363" s="388">
        <f t="shared" si="157"/>
        <v>4.429929960784313</v>
      </c>
      <c r="H363" s="388">
        <f t="shared" si="157"/>
        <v>4.4411553333333327</v>
      </c>
      <c r="I363" s="388">
        <f t="shared" si="157"/>
        <v>4.5292983921568624</v>
      </c>
      <c r="J363" s="388">
        <f t="shared" si="157"/>
        <v>4.586243490196078</v>
      </c>
      <c r="K363" s="388">
        <f t="shared" si="157"/>
        <v>4.4115632549019601</v>
      </c>
      <c r="L363" s="388">
        <f t="shared" si="157"/>
        <v>4.2340673725490205</v>
      </c>
      <c r="M363" s="389">
        <f t="shared" si="157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58">B210*0.54</f>
        <v>0</v>
      </c>
      <c r="C364" s="388">
        <f t="shared" si="158"/>
        <v>0</v>
      </c>
      <c r="D364" s="388">
        <f t="shared" si="158"/>
        <v>4.1955363529411764</v>
      </c>
      <c r="E364" s="388">
        <f t="shared" si="158"/>
        <v>4.7118176470588233</v>
      </c>
      <c r="F364" s="388">
        <f t="shared" si="158"/>
        <v>4.0948867058823533</v>
      </c>
      <c r="G364" s="388">
        <f t="shared" si="158"/>
        <v>3.5837364705882355</v>
      </c>
      <c r="H364" s="388">
        <f t="shared" si="158"/>
        <v>0</v>
      </c>
      <c r="I364" s="388">
        <f t="shared" si="158"/>
        <v>3.8726470588235298</v>
      </c>
      <c r="J364" s="388">
        <f t="shared" si="158"/>
        <v>4.2677047058823536</v>
      </c>
      <c r="K364" s="388">
        <f t="shared" si="158"/>
        <v>4.0208823529411761</v>
      </c>
      <c r="L364" s="388">
        <f t="shared" si="158"/>
        <v>4.4109047647058821</v>
      </c>
      <c r="M364" s="389">
        <f t="shared" si="158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59">B211*0.478</f>
        <v>3.2855231588235285</v>
      </c>
      <c r="C365" s="388">
        <f t="shared" si="159"/>
        <v>3.4129668627450975</v>
      </c>
      <c r="D365" s="388">
        <f t="shared" si="159"/>
        <v>3.4445692235294114</v>
      </c>
      <c r="E365" s="388">
        <f t="shared" si="159"/>
        <v>3.4135334333333329</v>
      </c>
      <c r="F365" s="388">
        <f t="shared" si="159"/>
        <v>3.3232650078431369</v>
      </c>
      <c r="G365" s="388">
        <f t="shared" si="159"/>
        <v>3.3069000686274506</v>
      </c>
      <c r="H365" s="388">
        <f t="shared" si="159"/>
        <v>3.3027747411764703</v>
      </c>
      <c r="I365" s="388">
        <f t="shared" si="159"/>
        <v>3.3844560372549015</v>
      </c>
      <c r="J365" s="388">
        <f t="shared" si="159"/>
        <v>3.5024887647058822</v>
      </c>
      <c r="K365" s="388">
        <f t="shared" si="159"/>
        <v>3.3617454137254903</v>
      </c>
      <c r="L365" s="388">
        <f t="shared" si="159"/>
        <v>3.1397500294117644</v>
      </c>
      <c r="M365" s="389">
        <f t="shared" si="159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0">B212*0.53</f>
        <v>4.0926532450980391</v>
      </c>
      <c r="C366" s="396">
        <f t="shared" si="160"/>
        <v>4.1347627843137253</v>
      </c>
      <c r="D366" s="396">
        <f t="shared" si="160"/>
        <v>4.119478</v>
      </c>
      <c r="E366" s="396">
        <f t="shared" si="160"/>
        <v>4.0572575588235296</v>
      </c>
      <c r="F366" s="396">
        <f t="shared" si="160"/>
        <v>3.9884884999999999</v>
      </c>
      <c r="G366" s="396">
        <f t="shared" si="160"/>
        <v>3.9692609313725491</v>
      </c>
      <c r="H366" s="396">
        <f t="shared" si="160"/>
        <v>3.9708415784313731</v>
      </c>
      <c r="I366" s="396">
        <f t="shared" si="160"/>
        <v>4.0573230294117648</v>
      </c>
      <c r="J366" s="396">
        <f t="shared" si="160"/>
        <v>4.1166918627450979</v>
      </c>
      <c r="K366" s="396">
        <f t="shared" si="160"/>
        <v>4.0068810588235291</v>
      </c>
      <c r="L366" s="396">
        <f t="shared" si="160"/>
        <v>3.9505394607843138</v>
      </c>
      <c r="M366" s="397">
        <f t="shared" si="160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61">B216*0.521</f>
        <v>4.152870568627451</v>
      </c>
      <c r="C370" s="410">
        <f t="shared" si="161"/>
        <v>4.2083928235294117</v>
      </c>
      <c r="D370" s="410">
        <f t="shared" si="161"/>
        <v>4.1999035882352942</v>
      </c>
      <c r="E370" s="410">
        <f t="shared" si="161"/>
        <v>4.2024677254901963</v>
      </c>
      <c r="F370" s="410">
        <f t="shared" si="161"/>
        <v>4.2093888529411769</v>
      </c>
      <c r="G370" s="410">
        <f t="shared" si="161"/>
        <v>4.3122761372549014</v>
      </c>
      <c r="H370" s="410">
        <f t="shared" si="161"/>
        <v>4.1137981225490199</v>
      </c>
      <c r="I370" s="410">
        <f t="shared" si="161"/>
        <v>4.1385946578431367</v>
      </c>
      <c r="J370" s="410">
        <f t="shared" si="161"/>
        <v>4.2312350980392157</v>
      </c>
      <c r="K370" s="410">
        <f t="shared" si="161"/>
        <v>4.2179547058823532</v>
      </c>
      <c r="L370" s="410">
        <f t="shared" si="161"/>
        <v>4.169532352941177</v>
      </c>
      <c r="M370" s="410">
        <f t="shared" si="161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62">B217*0.55</f>
        <v>4.8520967647058821</v>
      </c>
      <c r="C371" s="414">
        <f t="shared" si="162"/>
        <v>4.8123775980392161</v>
      </c>
      <c r="D371" s="414">
        <f t="shared" si="162"/>
        <v>4.7612426960784324</v>
      </c>
      <c r="E371" s="414">
        <f t="shared" si="162"/>
        <v>4.7906908823529415</v>
      </c>
      <c r="F371" s="414">
        <f t="shared" si="162"/>
        <v>4.7790076960784322</v>
      </c>
      <c r="G371" s="414">
        <f t="shared" si="162"/>
        <v>4.8675835784313737</v>
      </c>
      <c r="H371" s="414">
        <f t="shared" si="162"/>
        <v>4.7231325490196081</v>
      </c>
      <c r="I371" s="414">
        <f t="shared" si="162"/>
        <v>4.7839695588235296</v>
      </c>
      <c r="J371" s="414">
        <f t="shared" si="162"/>
        <v>4.8680359803921576</v>
      </c>
      <c r="K371" s="414">
        <f t="shared" si="162"/>
        <v>4.9016199509803924</v>
      </c>
      <c r="L371" s="414">
        <f t="shared" si="162"/>
        <v>4.9018820098039226</v>
      </c>
      <c r="M371" s="414">
        <f t="shared" si="162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63">B218*0.52</f>
        <v>4.5551862352941175</v>
      </c>
      <c r="C372" s="388">
        <f t="shared" si="163"/>
        <v>4.481780588235293</v>
      </c>
      <c r="D372" s="388">
        <f t="shared" si="163"/>
        <v>4.4206158431372549</v>
      </c>
      <c r="E372" s="388">
        <f t="shared" si="163"/>
        <v>4.4943008627450984</v>
      </c>
      <c r="F372" s="388">
        <f t="shared" si="163"/>
        <v>4.5509370196078427</v>
      </c>
      <c r="G372" s="388">
        <f t="shared" si="163"/>
        <v>4.6713476078431375</v>
      </c>
      <c r="H372" s="388">
        <f t="shared" si="163"/>
        <v>4.5304408627450981</v>
      </c>
      <c r="I372" s="388">
        <f t="shared" si="163"/>
        <v>4.600308470588236</v>
      </c>
      <c r="J372" s="388">
        <f t="shared" si="163"/>
        <v>4.6832255294117635</v>
      </c>
      <c r="K372" s="388">
        <f t="shared" si="163"/>
        <v>4.6764058823529409</v>
      </c>
      <c r="L372" s="388">
        <f t="shared" si="163"/>
        <v>4.6680761960784318</v>
      </c>
      <c r="M372" s="388">
        <f t="shared" si="163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64">B219*0.54</f>
        <v>3.9906825882352943</v>
      </c>
      <c r="C373" s="388">
        <f t="shared" si="164"/>
        <v>4.2217681764705883</v>
      </c>
      <c r="D373" s="388">
        <f t="shared" si="164"/>
        <v>4.5317647058823534</v>
      </c>
      <c r="E373" s="388">
        <f t="shared" si="164"/>
        <v>3.3792289411764709</v>
      </c>
      <c r="F373" s="388">
        <f t="shared" si="164"/>
        <v>4.545272117647059</v>
      </c>
      <c r="G373" s="388">
        <f t="shared" si="164"/>
        <v>5.0246470588235299</v>
      </c>
      <c r="H373" s="388">
        <f t="shared" si="164"/>
        <v>4.3036522941176472</v>
      </c>
      <c r="I373" s="388">
        <f t="shared" si="164"/>
        <v>4.2485294117647063</v>
      </c>
      <c r="J373" s="388">
        <f t="shared" si="164"/>
        <v>3.994547294117647</v>
      </c>
      <c r="K373" s="388">
        <f t="shared" si="164"/>
        <v>0</v>
      </c>
      <c r="L373" s="388">
        <f t="shared" si="164"/>
        <v>4.1199114705882351</v>
      </c>
      <c r="M373" s="388">
        <f t="shared" si="164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65">B220*0.478</f>
        <v>3.2654776196078434</v>
      </c>
      <c r="C374" s="388">
        <f t="shared" si="165"/>
        <v>3.352321784313725</v>
      </c>
      <c r="D374" s="388">
        <f t="shared" si="165"/>
        <v>3.4245860117647058</v>
      </c>
      <c r="E374" s="388">
        <f t="shared" si="165"/>
        <v>3.4448972627450978</v>
      </c>
      <c r="F374" s="388">
        <f t="shared" si="165"/>
        <v>3.4676106980392154</v>
      </c>
      <c r="G374" s="388">
        <f t="shared" si="165"/>
        <v>3.5857587078431368</v>
      </c>
      <c r="H374" s="388">
        <f t="shared" si="165"/>
        <v>3.3936355117647063</v>
      </c>
      <c r="I374" s="388">
        <f t="shared" si="165"/>
        <v>3.3838908725490193</v>
      </c>
      <c r="J374" s="388">
        <f t="shared" si="165"/>
        <v>3.4532374254901956</v>
      </c>
      <c r="K374" s="388">
        <f t="shared" si="165"/>
        <v>3.4278776509803919</v>
      </c>
      <c r="L374" s="388">
        <f t="shared" si="165"/>
        <v>3.2937100803921564</v>
      </c>
      <c r="M374" s="388">
        <f t="shared" si="165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66">B221*0.53</f>
        <v>4.067751039215687</v>
      </c>
      <c r="C375" s="396">
        <f t="shared" si="166"/>
        <v>4.1146492843137255</v>
      </c>
      <c r="D375" s="396">
        <f t="shared" si="166"/>
        <v>4.1506877254901964</v>
      </c>
      <c r="E375" s="396">
        <f t="shared" si="166"/>
        <v>4.1380861960784312</v>
      </c>
      <c r="F375" s="396">
        <f t="shared" si="166"/>
        <v>4.1518474901960785</v>
      </c>
      <c r="G375" s="396">
        <f t="shared" si="166"/>
        <v>4.2015485000000004</v>
      </c>
      <c r="H375" s="396">
        <f t="shared" si="166"/>
        <v>4.0835341274509807</v>
      </c>
      <c r="I375" s="396">
        <f t="shared" si="166"/>
        <v>4.066513333333333</v>
      </c>
      <c r="J375" s="396">
        <f t="shared" si="166"/>
        <v>4.1418060686274512</v>
      </c>
      <c r="K375" s="396">
        <f t="shared" si="166"/>
        <v>4.1334518137254896</v>
      </c>
      <c r="L375" s="396">
        <f t="shared" si="166"/>
        <v>4.1090645392156864</v>
      </c>
      <c r="M375" s="396">
        <f t="shared" si="166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67">B225*0.521</f>
        <v>4.5135353725490202</v>
      </c>
      <c r="C379" s="410">
        <f t="shared" si="167"/>
        <v>4.7563060490196083</v>
      </c>
      <c r="D379" s="410">
        <f t="shared" si="167"/>
        <v>4.9364254539215686</v>
      </c>
      <c r="E379" s="410">
        <f t="shared" si="167"/>
        <v>4.8365119558823535</v>
      </c>
      <c r="F379" s="410">
        <f t="shared" si="167"/>
        <v>4.911448100980393</v>
      </c>
      <c r="G379" s="410">
        <f t="shared" si="167"/>
        <v>5.055837632352941</v>
      </c>
      <c r="H379" s="410">
        <f t="shared" si="167"/>
        <v>4.929867494117647</v>
      </c>
      <c r="I379" s="410">
        <f t="shared" si="167"/>
        <v>4.830303372549019</v>
      </c>
      <c r="J379" s="410">
        <f t="shared" si="167"/>
        <v>4.7876171274509804</v>
      </c>
      <c r="K379" s="410">
        <f t="shared" si="167"/>
        <v>4.5930246490196085</v>
      </c>
      <c r="L379" s="410">
        <f t="shared" si="167"/>
        <v>4.6452084176470585</v>
      </c>
      <c r="M379" s="410">
        <f t="shared" si="167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68">B226*0.55</f>
        <v>5.2326158823529418</v>
      </c>
      <c r="C380" s="414">
        <f t="shared" si="168"/>
        <v>5.4548563235294116</v>
      </c>
      <c r="D380" s="414">
        <f t="shared" si="168"/>
        <v>5.6384781372549018</v>
      </c>
      <c r="E380" s="414">
        <f t="shared" si="168"/>
        <v>5.5708820588235302</v>
      </c>
      <c r="F380" s="414">
        <f t="shared" si="168"/>
        <v>5.6677645588235297</v>
      </c>
      <c r="G380" s="414">
        <f t="shared" si="168"/>
        <v>5.8274640686274521</v>
      </c>
      <c r="H380" s="414">
        <f t="shared" si="168"/>
        <v>5.7441541666666671</v>
      </c>
      <c r="I380" s="414">
        <f t="shared" si="168"/>
        <v>5.7371174019607851</v>
      </c>
      <c r="J380" s="414">
        <f t="shared" si="168"/>
        <v>5.6741569607843152</v>
      </c>
      <c r="K380" s="414">
        <f t="shared" si="168"/>
        <v>5.5205441176470602</v>
      </c>
      <c r="L380" s="414">
        <f t="shared" si="168"/>
        <v>5.6170502450980395</v>
      </c>
      <c r="M380" s="414">
        <f t="shared" si="168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69">B227*0.52</f>
        <v>4.964140235294118</v>
      </c>
      <c r="C381" s="388">
        <f t="shared" si="169"/>
        <v>5.1959577647058826</v>
      </c>
      <c r="D381" s="388">
        <f t="shared" si="169"/>
        <v>5.4454726274509806</v>
      </c>
      <c r="E381" s="388">
        <f t="shared" si="169"/>
        <v>5.4134829411764693</v>
      </c>
      <c r="F381" s="388">
        <f t="shared" si="169"/>
        <v>5.4944408235294118</v>
      </c>
      <c r="G381" s="388">
        <f t="shared" si="169"/>
        <v>5.6385695294117655</v>
      </c>
      <c r="H381" s="388">
        <f t="shared" si="169"/>
        <v>5.5495037254901955</v>
      </c>
      <c r="I381" s="388">
        <f t="shared" si="169"/>
        <v>5.5690735686274504</v>
      </c>
      <c r="J381" s="388">
        <f t="shared" si="169"/>
        <v>5.5485289803921578</v>
      </c>
      <c r="K381" s="388">
        <f t="shared" si="169"/>
        <v>5.4422210980392167</v>
      </c>
      <c r="L381" s="388">
        <f t="shared" si="169"/>
        <v>5.4373330980392156</v>
      </c>
      <c r="M381" s="388">
        <f t="shared" si="169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0">B228*0.54</f>
        <v>3.8101764705882353</v>
      </c>
      <c r="C382" s="388">
        <f t="shared" si="170"/>
        <v>4.5054661764705886</v>
      </c>
      <c r="D382" s="388">
        <f t="shared" si="170"/>
        <v>0</v>
      </c>
      <c r="E382" s="388">
        <f t="shared" si="170"/>
        <v>0</v>
      </c>
      <c r="F382" s="388">
        <f t="shared" si="170"/>
        <v>4.32</v>
      </c>
      <c r="G382" s="388">
        <f t="shared" si="170"/>
        <v>0</v>
      </c>
      <c r="H382" s="388">
        <f t="shared" si="170"/>
        <v>0</v>
      </c>
      <c r="I382" s="388">
        <f t="shared" si="170"/>
        <v>0</v>
      </c>
      <c r="J382" s="388">
        <f t="shared" si="170"/>
        <v>4.0240588235294119</v>
      </c>
      <c r="K382" s="388">
        <f t="shared" si="170"/>
        <v>4.5690633529411766</v>
      </c>
      <c r="L382" s="388">
        <f t="shared" si="170"/>
        <v>4.5091800000000006</v>
      </c>
      <c r="M382" s="388">
        <f t="shared" si="170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71">B229*0.478</f>
        <v>3.5871725568627446</v>
      </c>
      <c r="C383" s="388">
        <f t="shared" si="171"/>
        <v>3.7541398313725485</v>
      </c>
      <c r="D383" s="388">
        <f t="shared" si="171"/>
        <v>3.977840082352941</v>
      </c>
      <c r="E383" s="388">
        <f t="shared" si="171"/>
        <v>3.9315935823529418</v>
      </c>
      <c r="F383" s="388">
        <f t="shared" si="171"/>
        <v>3.9637512666666663</v>
      </c>
      <c r="G383" s="388">
        <f t="shared" si="171"/>
        <v>4.090658392156862</v>
      </c>
      <c r="H383" s="388">
        <f t="shared" si="171"/>
        <v>3.918549805882352</v>
      </c>
      <c r="I383" s="388">
        <f t="shared" si="171"/>
        <v>3.790322556862745</v>
      </c>
      <c r="J383" s="388">
        <f t="shared" si="171"/>
        <v>3.7137122784313723</v>
      </c>
      <c r="K383" s="388">
        <f t="shared" si="171"/>
        <v>3.5185294137254899</v>
      </c>
      <c r="L383" s="388">
        <f t="shared" si="171"/>
        <v>3.5062523117647055</v>
      </c>
      <c r="M383" s="388">
        <f t="shared" si="171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72">B230*0.53</f>
        <v>4.3545844411764705</v>
      </c>
      <c r="C384" s="396">
        <f t="shared" si="172"/>
        <v>4.5082719705882353</v>
      </c>
      <c r="D384" s="396">
        <f t="shared" si="172"/>
        <v>4.7163624411764706</v>
      </c>
      <c r="E384" s="396">
        <f t="shared" si="172"/>
        <v>4.7088120196078425</v>
      </c>
      <c r="F384" s="396">
        <f t="shared" si="172"/>
        <v>4.7191813137254908</v>
      </c>
      <c r="G384" s="396">
        <f t="shared" si="172"/>
        <v>4.8328886568627452</v>
      </c>
      <c r="H384" s="396">
        <f t="shared" si="172"/>
        <v>4.7853211568627447</v>
      </c>
      <c r="I384" s="396">
        <f t="shared" si="172"/>
        <v>4.7701049607843142</v>
      </c>
      <c r="J384" s="396">
        <f t="shared" si="172"/>
        <v>4.7611256176470595</v>
      </c>
      <c r="K384" s="396">
        <f t="shared" si="172"/>
        <v>4.6369549313725491</v>
      </c>
      <c r="L384" s="396">
        <f t="shared" si="172"/>
        <v>4.677624637254902</v>
      </c>
      <c r="M384" s="396">
        <f t="shared" si="172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73">B234*0.521</f>
        <v>4.9139494117647056</v>
      </c>
      <c r="C388" s="410">
        <f t="shared" si="173"/>
        <v>4.920982911764705</v>
      </c>
      <c r="D388" s="410">
        <f t="shared" si="173"/>
        <v>4.5725641617647055</v>
      </c>
      <c r="E388" s="410">
        <f t="shared" si="173"/>
        <v>4.5739254019607829</v>
      </c>
      <c r="F388" s="410">
        <f t="shared" si="173"/>
        <v>4.3954318235294121</v>
      </c>
      <c r="G388" s="410">
        <f t="shared" si="173"/>
        <v>4.4029761078431369</v>
      </c>
      <c r="H388" s="410">
        <f t="shared" si="173"/>
        <v>4.3209135000000014</v>
      </c>
      <c r="I388" s="410">
        <f t="shared" si="173"/>
        <v>4.4328008039215687</v>
      </c>
      <c r="J388" s="410">
        <f t="shared" si="173"/>
        <v>4.5098985882352949</v>
      </c>
      <c r="K388" s="410">
        <f t="shared" si="173"/>
        <v>4.5821745686274511</v>
      </c>
      <c r="L388" s="410">
        <f t="shared" si="173"/>
        <v>4.8983194117647058</v>
      </c>
      <c r="M388" s="410">
        <f t="shared" si="173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74">B235*0.55</f>
        <v>5.8651094117647053</v>
      </c>
      <c r="C389" s="414">
        <f t="shared" si="174"/>
        <v>5.8214388725490203</v>
      </c>
      <c r="D389" s="414">
        <f t="shared" si="174"/>
        <v>5.3412829411764706</v>
      </c>
      <c r="E389" s="414">
        <f t="shared" si="174"/>
        <v>5.2510818627450995</v>
      </c>
      <c r="F389" s="414">
        <f t="shared" si="174"/>
        <v>4.9639608333333332</v>
      </c>
      <c r="G389" s="414">
        <f t="shared" si="174"/>
        <v>4.9370566666666669</v>
      </c>
      <c r="H389" s="414">
        <f t="shared" si="174"/>
        <v>4.8558890686274525</v>
      </c>
      <c r="I389" s="414">
        <f t="shared" si="174"/>
        <v>5.0192148039215683</v>
      </c>
      <c r="J389" s="414">
        <f t="shared" si="174"/>
        <v>5.1188543137254907</v>
      </c>
      <c r="K389" s="414">
        <f t="shared" si="174"/>
        <v>5.2989329411764707</v>
      </c>
      <c r="L389" s="414">
        <f t="shared" si="174"/>
        <v>5.8200352941176474</v>
      </c>
      <c r="M389" s="414">
        <f t="shared" si="174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75">B236*0.52</f>
        <v>5.6978887843137267</v>
      </c>
      <c r="C390" s="388">
        <f t="shared" si="175"/>
        <v>5.5825996862745111</v>
      </c>
      <c r="D390" s="388">
        <f t="shared" si="175"/>
        <v>5.0988594901960784</v>
      </c>
      <c r="E390" s="388">
        <f t="shared" si="175"/>
        <v>5.0606440784313724</v>
      </c>
      <c r="F390" s="388">
        <f t="shared" si="175"/>
        <v>4.7536569803921571</v>
      </c>
      <c r="G390" s="388">
        <f t="shared" si="175"/>
        <v>4.7371525882352934</v>
      </c>
      <c r="H390" s="388">
        <f t="shared" si="175"/>
        <v>4.6263043921568636</v>
      </c>
      <c r="I390" s="388">
        <f t="shared" si="175"/>
        <v>4.8531324705882346</v>
      </c>
      <c r="J390" s="388">
        <f t="shared" si="175"/>
        <v>4.967954588235294</v>
      </c>
      <c r="K390" s="388">
        <f t="shared" si="175"/>
        <v>5.1231536862745113</v>
      </c>
      <c r="L390" s="388">
        <f t="shared" si="175"/>
        <v>5.6454692156862745</v>
      </c>
      <c r="M390" s="388">
        <f t="shared" si="175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76">B237*0.54</f>
        <v>0</v>
      </c>
      <c r="C391" s="388">
        <f t="shared" si="176"/>
        <v>5.6901176470588242</v>
      </c>
      <c r="D391" s="388">
        <f t="shared" si="176"/>
        <v>4.9891150588235291</v>
      </c>
      <c r="E391" s="388">
        <f t="shared" si="176"/>
        <v>3.2352352941176474</v>
      </c>
      <c r="F391" s="388">
        <f t="shared" si="176"/>
        <v>4.5564564705882349</v>
      </c>
      <c r="G391" s="388">
        <f t="shared" si="176"/>
        <v>4.3507058823529414</v>
      </c>
      <c r="H391" s="388">
        <f t="shared" si="176"/>
        <v>4.362146470588236</v>
      </c>
      <c r="I391" s="388">
        <f t="shared" si="176"/>
        <v>4.6588870588235309</v>
      </c>
      <c r="J391" s="388">
        <f t="shared" si="176"/>
        <v>4.1306765294117653</v>
      </c>
      <c r="K391" s="388">
        <f t="shared" si="176"/>
        <v>0</v>
      </c>
      <c r="L391" s="388">
        <f t="shared" si="176"/>
        <v>0</v>
      </c>
      <c r="M391" s="388">
        <f t="shared" si="176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77">B238*0.478</f>
        <v>3.680002031372549</v>
      </c>
      <c r="C392" s="388">
        <f t="shared" si="177"/>
        <v>3.7112768215686271</v>
      </c>
      <c r="D392" s="388">
        <f t="shared" si="177"/>
        <v>3.6658935333333331</v>
      </c>
      <c r="E392" s="388">
        <f t="shared" si="177"/>
        <v>3.6718324490196075</v>
      </c>
      <c r="F392" s="388">
        <f t="shared" si="177"/>
        <v>3.6145432117647061</v>
      </c>
      <c r="G392" s="388">
        <f t="shared" si="177"/>
        <v>3.6615160843137251</v>
      </c>
      <c r="H392" s="388">
        <f t="shared" si="177"/>
        <v>3.5867414196078431</v>
      </c>
      <c r="I392" s="388">
        <f t="shared" si="177"/>
        <v>3.5677891882352943</v>
      </c>
      <c r="J392" s="388">
        <f t="shared" si="177"/>
        <v>3.6340399882352941</v>
      </c>
      <c r="K392" s="388">
        <f t="shared" si="177"/>
        <v>3.6145347764705886</v>
      </c>
      <c r="L392" s="388">
        <f t="shared" si="177"/>
        <v>3.646393007843137</v>
      </c>
      <c r="M392" s="388">
        <f t="shared" si="177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78">B239*0.53</f>
        <v>4.8585484509803925</v>
      </c>
      <c r="C393" s="396">
        <f t="shared" si="178"/>
        <v>4.8892499999999997</v>
      </c>
      <c r="D393" s="396">
        <f t="shared" si="178"/>
        <v>4.5658715392156859</v>
      </c>
      <c r="E393" s="396">
        <f t="shared" si="178"/>
        <v>4.481313676470589</v>
      </c>
      <c r="F393" s="396">
        <f t="shared" si="178"/>
        <v>4.3422068627450985</v>
      </c>
      <c r="G393" s="396">
        <f t="shared" si="178"/>
        <v>4.3678287254901962</v>
      </c>
      <c r="H393" s="396">
        <f t="shared" si="178"/>
        <v>4.3062479215686267</v>
      </c>
      <c r="I393" s="396">
        <f t="shared" si="178"/>
        <v>4.3844764411764716</v>
      </c>
      <c r="J393" s="396">
        <f t="shared" si="178"/>
        <v>4.4617099117647054</v>
      </c>
      <c r="K393" s="396">
        <f t="shared" si="178"/>
        <v>4.4830834607843135</v>
      </c>
      <c r="L393" s="396">
        <f t="shared" si="178"/>
        <v>4.6027018627450991</v>
      </c>
      <c r="M393" s="396">
        <f t="shared" si="178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79">B243*0.507</f>
        <v>5.1352190882352931</v>
      </c>
      <c r="C397" s="385">
        <f t="shared" si="179"/>
        <v>5.1020523411764698</v>
      </c>
      <c r="D397" s="385">
        <f t="shared" si="179"/>
        <v>5.3706773441176479</v>
      </c>
      <c r="E397" s="385">
        <f t="shared" si="179"/>
        <v>5.4425107941176467</v>
      </c>
      <c r="F397" s="385">
        <f t="shared" si="179"/>
        <v>5.5150117941176475</v>
      </c>
      <c r="G397" s="385">
        <f t="shared" si="179"/>
        <v>5.3647707941176472</v>
      </c>
      <c r="H397" s="385">
        <f t="shared" si="179"/>
        <v>5.501740323529412</v>
      </c>
      <c r="I397" s="385">
        <f t="shared" si="179"/>
        <v>5.734955352941177</v>
      </c>
      <c r="J397" s="385">
        <f t="shared" si="179"/>
        <v>5.9451814117647057</v>
      </c>
      <c r="K397" s="385">
        <f t="shared" si="179"/>
        <v>5.9998280588235291</v>
      </c>
      <c r="L397" s="385">
        <f t="shared" si="179"/>
        <v>6.0711361176470593</v>
      </c>
      <c r="M397" s="385">
        <f t="shared" si="179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0">B244*0.539</f>
        <v>6.1833234509803932</v>
      </c>
      <c r="C398" s="391">
        <f t="shared" si="180"/>
        <v>6.0110210039215684</v>
      </c>
      <c r="D398" s="391">
        <f t="shared" si="180"/>
        <v>6.3549648303921575</v>
      </c>
      <c r="E398" s="391">
        <f t="shared" si="180"/>
        <v>6.4113547990196089</v>
      </c>
      <c r="F398" s="391">
        <f t="shared" si="180"/>
        <v>6.4004014735294117</v>
      </c>
      <c r="G398" s="391">
        <f t="shared" si="180"/>
        <v>6.1861357627450984</v>
      </c>
      <c r="H398" s="391">
        <f t="shared" si="180"/>
        <v>6.3821536813725492</v>
      </c>
      <c r="I398" s="391">
        <f t="shared" si="180"/>
        <v>6.7674076303921566</v>
      </c>
      <c r="J398" s="391">
        <f t="shared" si="180"/>
        <v>7.0574789352941174</v>
      </c>
      <c r="K398" s="391">
        <f t="shared" si="180"/>
        <v>7.1723789392156867</v>
      </c>
      <c r="L398" s="391">
        <f t="shared" si="180"/>
        <v>7.2262002029411772</v>
      </c>
      <c r="M398" s="391">
        <f t="shared" si="180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81">B245*0.535</f>
        <v>6.2439797549019609</v>
      </c>
      <c r="C399" s="388">
        <f t="shared" si="181"/>
        <v>6.0201472941176473</v>
      </c>
      <c r="D399" s="388">
        <f t="shared" si="181"/>
        <v>6.3166642254901966</v>
      </c>
      <c r="E399" s="388">
        <f t="shared" si="181"/>
        <v>6.3839441470588243</v>
      </c>
      <c r="F399" s="388">
        <f t="shared" si="181"/>
        <v>6.3634751519607846</v>
      </c>
      <c r="G399" s="388">
        <f t="shared" si="181"/>
        <v>6.1253880882352938</v>
      </c>
      <c r="H399" s="388">
        <f t="shared" si="181"/>
        <v>6.3125683284313725</v>
      </c>
      <c r="I399" s="388">
        <f t="shared" si="181"/>
        <v>6.7315352205882357</v>
      </c>
      <c r="J399" s="388">
        <f t="shared" si="181"/>
        <v>7.0205390735294113</v>
      </c>
      <c r="K399" s="388">
        <f t="shared" si="181"/>
        <v>7.1808444803921576</v>
      </c>
      <c r="L399" s="388">
        <f t="shared" si="181"/>
        <v>7.2133074411764708</v>
      </c>
      <c r="M399" s="388">
        <f t="shared" si="181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82">B246*0.54</f>
        <v>0</v>
      </c>
      <c r="C400" s="388">
        <f t="shared" si="182"/>
        <v>4.4393024117647064</v>
      </c>
      <c r="D400" s="388">
        <f t="shared" si="182"/>
        <v>0</v>
      </c>
      <c r="E400" s="388">
        <f t="shared" si="182"/>
        <v>5.4275294117647057</v>
      </c>
      <c r="F400" s="388">
        <f t="shared" si="182"/>
        <v>5.0721098823529411</v>
      </c>
      <c r="G400" s="388">
        <f t="shared" si="182"/>
        <v>4.6960327058823532</v>
      </c>
      <c r="H400" s="388">
        <f t="shared" si="182"/>
        <v>6.874941176470589</v>
      </c>
      <c r="I400" s="388">
        <f t="shared" si="182"/>
        <v>0</v>
      </c>
      <c r="J400" s="388">
        <f t="shared" si="182"/>
        <v>5.269098705882354</v>
      </c>
      <c r="K400" s="388">
        <f t="shared" si="182"/>
        <v>5.8277895882352952</v>
      </c>
      <c r="L400" s="388">
        <f t="shared" si="182"/>
        <v>5.1163814117647064</v>
      </c>
      <c r="M400" s="388">
        <f t="shared" si="182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83">B247*0.465</f>
        <v>3.7317025000000004</v>
      </c>
      <c r="C401" s="388">
        <f t="shared" si="183"/>
        <v>3.842612294117647</v>
      </c>
      <c r="D401" s="388">
        <f t="shared" si="183"/>
        <v>4.1510062205882363</v>
      </c>
      <c r="E401" s="388">
        <f t="shared" si="183"/>
        <v>4.2863558676470594</v>
      </c>
      <c r="F401" s="388">
        <f t="shared" si="183"/>
        <v>4.3482382500000005</v>
      </c>
      <c r="G401" s="388">
        <f t="shared" si="183"/>
        <v>4.3829277058823539</v>
      </c>
      <c r="H401" s="388">
        <f t="shared" si="183"/>
        <v>4.4514755441176472</v>
      </c>
      <c r="I401" s="388">
        <f t="shared" si="183"/>
        <v>4.561661397058824</v>
      </c>
      <c r="J401" s="388">
        <f t="shared" si="183"/>
        <v>4.7065175588235295</v>
      </c>
      <c r="K401" s="388">
        <f t="shared" si="183"/>
        <v>4.7662085147058821</v>
      </c>
      <c r="L401" s="388">
        <f t="shared" si="183"/>
        <v>4.8257417352941179</v>
      </c>
      <c r="M401" s="388">
        <f t="shared" si="183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84">B248*0.516</f>
        <v>4.7593872117647056</v>
      </c>
      <c r="C402" s="396">
        <f t="shared" si="184"/>
        <v>4.7989037058823536</v>
      </c>
      <c r="D402" s="396">
        <f t="shared" si="184"/>
        <v>5.0184662588235298</v>
      </c>
      <c r="E402" s="396">
        <f t="shared" si="184"/>
        <v>5.0800503529411767</v>
      </c>
      <c r="F402" s="396">
        <f t="shared" si="184"/>
        <v>5.141860070588236</v>
      </c>
      <c r="G402" s="396">
        <f t="shared" si="184"/>
        <v>5.2056695411764702</v>
      </c>
      <c r="H402" s="396">
        <f t="shared" si="184"/>
        <v>5.3190666117647059</v>
      </c>
      <c r="I402" s="396">
        <f t="shared" si="184"/>
        <v>5.5185936941176479</v>
      </c>
      <c r="J402" s="396">
        <f t="shared" si="184"/>
        <v>5.7601029411764708</v>
      </c>
      <c r="K402" s="396">
        <f t="shared" si="184"/>
        <v>5.8479362588235304</v>
      </c>
      <c r="L402" s="396">
        <f t="shared" si="184"/>
        <v>5.9254940941176475</v>
      </c>
      <c r="M402" s="396">
        <f t="shared" si="184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85">B252*0.507</f>
        <v>6.5620115294117651</v>
      </c>
      <c r="C406" s="385">
        <f t="shared" si="185"/>
        <v>6.5824008823529416</v>
      </c>
      <c r="D406" s="385">
        <f t="shared" si="185"/>
        <v>6.3442500588235289</v>
      </c>
      <c r="E406" s="385">
        <f t="shared" si="185"/>
        <v>6.3080641764705883</v>
      </c>
      <c r="F406" s="385">
        <f t="shared" si="185"/>
        <v>6.2025236764705882</v>
      </c>
      <c r="G406" s="385">
        <f t="shared" si="185"/>
        <v>6.3292935588235295</v>
      </c>
      <c r="H406" s="385">
        <f t="shared" si="185"/>
        <v>6.3474411764705883</v>
      </c>
      <c r="I406" s="385">
        <f t="shared" si="185"/>
        <v>6.4731722058823538</v>
      </c>
      <c r="J406" s="385">
        <f t="shared" si="185"/>
        <v>6.5462696764705885</v>
      </c>
      <c r="K406" s="385">
        <f t="shared" si="185"/>
        <v>6.4039517941176465</v>
      </c>
      <c r="L406" s="385">
        <f t="shared" si="185"/>
        <v>6.3177617941176472</v>
      </c>
      <c r="M406" s="385">
        <f t="shared" si="185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86">B253*0.539</f>
        <v>7.6711346627450983</v>
      </c>
      <c r="C407" s="391">
        <f t="shared" si="186"/>
        <v>7.5416045078431377</v>
      </c>
      <c r="D407" s="391">
        <f t="shared" si="186"/>
        <v>7.1775168774509801</v>
      </c>
      <c r="E407" s="391">
        <f t="shared" si="186"/>
        <v>7.1742141813725491</v>
      </c>
      <c r="F407" s="391">
        <f t="shared" si="186"/>
        <v>6.9068152245098045</v>
      </c>
      <c r="G407" s="391">
        <f t="shared" si="186"/>
        <v>7.0501569901960792</v>
      </c>
      <c r="H407" s="391">
        <f t="shared" si="186"/>
        <v>7.1358981509803918</v>
      </c>
      <c r="I407" s="391">
        <f t="shared" si="186"/>
        <v>7.3953648245098051</v>
      </c>
      <c r="J407" s="391">
        <f t="shared" si="186"/>
        <v>7.4949905196078435</v>
      </c>
      <c r="K407" s="391">
        <f t="shared" si="186"/>
        <v>7.3695726176470586</v>
      </c>
      <c r="L407" s="391">
        <f t="shared" si="186"/>
        <v>7.2594369509803922</v>
      </c>
      <c r="M407" s="391">
        <f t="shared" si="186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87">B254*0.535</f>
        <v>7.6330610980392164</v>
      </c>
      <c r="C408" s="388">
        <f t="shared" si="187"/>
        <v>7.4960990000000001</v>
      </c>
      <c r="D408" s="388">
        <f t="shared" si="187"/>
        <v>7.1115719460784321</v>
      </c>
      <c r="E408" s="388">
        <f t="shared" si="187"/>
        <v>7.1190063480392158</v>
      </c>
      <c r="F408" s="388">
        <f t="shared" si="187"/>
        <v>6.8322626078431377</v>
      </c>
      <c r="G408" s="388">
        <f t="shared" si="187"/>
        <v>6.9983612254901963</v>
      </c>
      <c r="H408" s="388">
        <f t="shared" si="187"/>
        <v>7.0658797990196094</v>
      </c>
      <c r="I408" s="388">
        <f t="shared" si="187"/>
        <v>7.3357379950980395</v>
      </c>
      <c r="J408" s="388">
        <f t="shared" si="187"/>
        <v>7.4476143627450986</v>
      </c>
      <c r="K408" s="388">
        <f t="shared" si="187"/>
        <v>7.3263356323529418</v>
      </c>
      <c r="L408" s="388">
        <f t="shared" si="187"/>
        <v>7.2307085784313729</v>
      </c>
      <c r="M408" s="388">
        <f t="shared" si="187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88">B255*0.54</f>
        <v>6.6547376470588242</v>
      </c>
      <c r="C409" s="388">
        <f t="shared" si="188"/>
        <v>0</v>
      </c>
      <c r="D409" s="388">
        <f t="shared" si="188"/>
        <v>6.3739164705882363</v>
      </c>
      <c r="E409" s="388">
        <f t="shared" si="188"/>
        <v>5.568490588235294</v>
      </c>
      <c r="F409" s="388">
        <f t="shared" si="188"/>
        <v>0</v>
      </c>
      <c r="G409" s="388">
        <f t="shared" si="188"/>
        <v>0</v>
      </c>
      <c r="H409" s="388">
        <f t="shared" si="188"/>
        <v>0</v>
      </c>
      <c r="I409" s="388">
        <f t="shared" si="188"/>
        <v>0</v>
      </c>
      <c r="J409" s="388">
        <f t="shared" si="188"/>
        <v>0</v>
      </c>
      <c r="K409" s="388">
        <f t="shared" si="188"/>
        <v>6.5927170588235295</v>
      </c>
      <c r="L409" s="388">
        <f t="shared" si="188"/>
        <v>0</v>
      </c>
      <c r="M409" s="388">
        <f t="shared" si="188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89">B256*0.465</f>
        <v>5.1291524117647063</v>
      </c>
      <c r="C410" s="388">
        <f t="shared" si="189"/>
        <v>5.2422919264705889</v>
      </c>
      <c r="D410" s="388">
        <f t="shared" si="189"/>
        <v>5.2305556911764715</v>
      </c>
      <c r="E410" s="388">
        <f t="shared" si="189"/>
        <v>5.1842138823529416</v>
      </c>
      <c r="F410" s="388">
        <f t="shared" si="189"/>
        <v>5.1899461470588237</v>
      </c>
      <c r="G410" s="388">
        <f t="shared" si="189"/>
        <v>5.323771323529412</v>
      </c>
      <c r="H410" s="388">
        <f t="shared" si="189"/>
        <v>5.3045125735294123</v>
      </c>
      <c r="I410" s="388">
        <f t="shared" si="189"/>
        <v>5.3603180441176477</v>
      </c>
      <c r="J410" s="388">
        <f t="shared" si="189"/>
        <v>5.3846316176470594</v>
      </c>
      <c r="K410" s="388">
        <f t="shared" si="189"/>
        <v>5.2730799411764711</v>
      </c>
      <c r="L410" s="388">
        <f t="shared" si="189"/>
        <v>5.112533676470588</v>
      </c>
      <c r="M410" s="388">
        <f t="shared" si="189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0">B257*0.516</f>
        <v>6.2606016941176472</v>
      </c>
      <c r="C411" s="396">
        <f t="shared" si="190"/>
        <v>6.3656208470588229</v>
      </c>
      <c r="D411" s="396">
        <f t="shared" si="190"/>
        <v>6.2509762705882359</v>
      </c>
      <c r="E411" s="396">
        <f t="shared" si="190"/>
        <v>6.2392504235294117</v>
      </c>
      <c r="F411" s="396">
        <f t="shared" si="190"/>
        <v>6.2878621764705889</v>
      </c>
      <c r="G411" s="396">
        <f t="shared" si="190"/>
        <v>6.3366707176470589</v>
      </c>
      <c r="H411" s="396">
        <f t="shared" si="190"/>
        <v>6.3718912588235295</v>
      </c>
      <c r="I411" s="396">
        <f t="shared" si="190"/>
        <v>6.464001305882352</v>
      </c>
      <c r="J411" s="396">
        <f t="shared" si="190"/>
        <v>6.5202569411764699</v>
      </c>
      <c r="K411" s="396">
        <f t="shared" si="190"/>
        <v>6.4611127176470591</v>
      </c>
      <c r="L411" s="396">
        <f t="shared" si="190"/>
        <v>6.4381775294117638</v>
      </c>
      <c r="M411" s="396">
        <f t="shared" si="190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191">B261*0.507</f>
        <v>6.4666458235294115</v>
      </c>
      <c r="C415" s="385">
        <f t="shared" si="191"/>
        <v>6.4796240294117649</v>
      </c>
      <c r="D415" s="385">
        <f t="shared" si="191"/>
        <v>6.1812247058823537</v>
      </c>
      <c r="E415" s="385">
        <f t="shared" si="191"/>
        <v>6.2794137058823525</v>
      </c>
      <c r="F415" s="385">
        <f t="shared" si="191"/>
        <v>6.0117177058823525</v>
      </c>
      <c r="G415" s="385">
        <f t="shared" si="191"/>
        <v>5.9960205882352939</v>
      </c>
      <c r="H415" s="385">
        <f t="shared" si="191"/>
        <v>5.9068233823529415</v>
      </c>
      <c r="I415" s="385">
        <f t="shared" si="191"/>
        <v>5.9094279705882347</v>
      </c>
      <c r="J415" s="385">
        <f t="shared" si="191"/>
        <v>5.9798363529411773</v>
      </c>
      <c r="K415" s="385">
        <f t="shared" si="191"/>
        <v>5.9031252647058823</v>
      </c>
      <c r="L415" s="385">
        <f t="shared" si="191"/>
        <v>5.862475794117648</v>
      </c>
      <c r="M415" s="385">
        <f t="shared" si="191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192">B262*0.539</f>
        <v>7.3596576598039221</v>
      </c>
      <c r="C416" s="391">
        <f t="shared" si="192"/>
        <v>7.2714725039215695</v>
      </c>
      <c r="D416" s="391">
        <f t="shared" si="192"/>
        <v>6.8854306637254901</v>
      </c>
      <c r="E416" s="391">
        <f t="shared" si="192"/>
        <v>6.9361780421568637</v>
      </c>
      <c r="F416" s="391">
        <f t="shared" si="192"/>
        <v>6.6510042392156858</v>
      </c>
      <c r="G416" s="391">
        <f t="shared" si="192"/>
        <v>6.6268765911764707</v>
      </c>
      <c r="H416" s="391">
        <f t="shared" si="192"/>
        <v>6.52254468627451</v>
      </c>
      <c r="I416" s="391">
        <f t="shared" si="192"/>
        <v>6.6218448676470594</v>
      </c>
      <c r="J416" s="391">
        <f t="shared" si="192"/>
        <v>6.718727475490196</v>
      </c>
      <c r="K416" s="391">
        <f t="shared" si="192"/>
        <v>6.7322495058823542</v>
      </c>
      <c r="L416" s="391">
        <f t="shared" si="192"/>
        <v>6.7342353509803932</v>
      </c>
      <c r="M416" s="391">
        <f t="shared" si="192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193">B263*0.535</f>
        <v>7.3192620931372545</v>
      </c>
      <c r="C417" s="388">
        <f t="shared" si="193"/>
        <v>7.1667057941176475</v>
      </c>
      <c r="D417" s="388">
        <f t="shared" si="193"/>
        <v>6.8081634803921567</v>
      </c>
      <c r="E417" s="388">
        <f t="shared" si="193"/>
        <v>6.8384612647058827</v>
      </c>
      <c r="F417" s="388">
        <f t="shared" si="193"/>
        <v>6.5327376127450982</v>
      </c>
      <c r="G417" s="388">
        <f t="shared" si="193"/>
        <v>6.5096654754901957</v>
      </c>
      <c r="H417" s="388">
        <f t="shared" si="193"/>
        <v>6.4126012647058834</v>
      </c>
      <c r="I417" s="388">
        <f t="shared" si="193"/>
        <v>6.519843588235295</v>
      </c>
      <c r="J417" s="388">
        <f t="shared" si="193"/>
        <v>6.6427949803921571</v>
      </c>
      <c r="K417" s="388">
        <f t="shared" si="193"/>
        <v>6.6700380196078441</v>
      </c>
      <c r="L417" s="388">
        <f t="shared" si="193"/>
        <v>6.6574392941176477</v>
      </c>
      <c r="M417" s="388">
        <f t="shared" si="193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194">B264*0.465</f>
        <v>5.1975994999999999</v>
      </c>
      <c r="C419" s="388">
        <f t="shared" si="194"/>
        <v>5.2810615294117644</v>
      </c>
      <c r="D419" s="388">
        <f t="shared" si="194"/>
        <v>5.1480920441176474</v>
      </c>
      <c r="E419" s="388">
        <f t="shared" si="194"/>
        <v>5.2818980735294119</v>
      </c>
      <c r="F419" s="388">
        <f t="shared" si="194"/>
        <v>5.0193987352941178</v>
      </c>
      <c r="G419" s="388">
        <f t="shared" si="194"/>
        <v>4.9728782205882354</v>
      </c>
      <c r="H419" s="388">
        <f t="shared" si="194"/>
        <v>4.9320316176470582</v>
      </c>
      <c r="I419" s="388">
        <f t="shared" si="194"/>
        <v>4.8614906617647069</v>
      </c>
      <c r="J419" s="388">
        <f t="shared" si="194"/>
        <v>4.894601852941177</v>
      </c>
      <c r="K419" s="388">
        <f t="shared" si="194"/>
        <v>4.6872278088235291</v>
      </c>
      <c r="L419" s="388">
        <f t="shared" si="194"/>
        <v>4.5528441764705878</v>
      </c>
      <c r="M419" s="388">
        <f t="shared" si="194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195">B265*0.516</f>
        <v>6.522990223529411</v>
      </c>
      <c r="C420" s="396">
        <f t="shared" si="195"/>
        <v>6.5899366705882354</v>
      </c>
      <c r="D420" s="396">
        <f t="shared" si="195"/>
        <v>6.4147789529411767</v>
      </c>
      <c r="E420" s="396">
        <f t="shared" si="195"/>
        <v>6.4667705058823532</v>
      </c>
      <c r="F420" s="396">
        <f t="shared" si="195"/>
        <v>6.2544016000000004</v>
      </c>
      <c r="G420" s="396">
        <f t="shared" si="195"/>
        <v>6.2586990705882348</v>
      </c>
      <c r="H420" s="396">
        <f t="shared" si="195"/>
        <v>6.2095470352941167</v>
      </c>
      <c r="I420" s="396">
        <f t="shared" si="195"/>
        <v>6.2138313529411766</v>
      </c>
      <c r="J420" s="396">
        <f t="shared" si="195"/>
        <v>6.259592458823529</v>
      </c>
      <c r="K420" s="396">
        <f t="shared" si="195"/>
        <v>6.2746252588235292</v>
      </c>
      <c r="L420" s="396">
        <f t="shared" si="195"/>
        <v>6.2517098000000004</v>
      </c>
      <c r="M420" s="396">
        <f t="shared" si="195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196">B269*0.507</f>
        <v>5.965232764705882</v>
      </c>
      <c r="C423" s="414">
        <f t="shared" si="196"/>
        <v>5.9576824411764706</v>
      </c>
      <c r="D423" s="414">
        <f t="shared" si="196"/>
        <v>5.8484637058823532</v>
      </c>
      <c r="E423" s="414">
        <f t="shared" si="196"/>
        <v>5.9247075588235294</v>
      </c>
      <c r="F423" s="414">
        <f t="shared" si="196"/>
        <v>5.884289717647059</v>
      </c>
      <c r="G423" s="414">
        <f t="shared" si="196"/>
        <v>5.8366535882352935</v>
      </c>
      <c r="H423" s="414">
        <f t="shared" si="196"/>
        <v>5.7361830882352942</v>
      </c>
      <c r="I423" s="414">
        <f t="shared" si="196"/>
        <v>5.7371374411764711</v>
      </c>
      <c r="J423" s="414">
        <f t="shared" si="196"/>
        <v>5.7260778823529419</v>
      </c>
      <c r="K423" s="414">
        <f t="shared" si="196"/>
        <v>5.4541419705882355</v>
      </c>
      <c r="L423" s="414">
        <f t="shared" si="196"/>
        <v>5.5137343529411762</v>
      </c>
      <c r="M423" s="415">
        <f t="shared" si="196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197">E270*0.539</f>
        <v>6.3946960000000006</v>
      </c>
      <c r="F424" s="388">
        <f t="shared" si="197"/>
        <v>6.3185849725490204</v>
      </c>
      <c r="G424" s="388">
        <f t="shared" si="197"/>
        <v>6.3731523813725488</v>
      </c>
      <c r="H424" s="388">
        <f t="shared" si="197"/>
        <v>6.4347283754901969</v>
      </c>
      <c r="I424" s="388">
        <f t="shared" si="197"/>
        <v>6.2597515372549024</v>
      </c>
      <c r="J424" s="388">
        <f t="shared" si="197"/>
        <v>6.4490694745098045</v>
      </c>
      <c r="K424" s="388">
        <f t="shared" si="197"/>
        <v>6.1859449990196085</v>
      </c>
      <c r="L424" s="388">
        <f t="shared" si="197"/>
        <v>6.4772993352941182</v>
      </c>
      <c r="M424" s="389">
        <f t="shared" si="197"/>
        <v>7.0357181313725485</v>
      </c>
      <c r="N424" s="370"/>
      <c r="O424" s="416" t="s">
        <v>247</v>
      </c>
      <c r="P424" s="391" t="s">
        <v>248</v>
      </c>
      <c r="Q424" s="391">
        <f t="shared" ref="Q424:S425" si="198">Q270*0.539</f>
        <v>6.3498686382352938</v>
      </c>
      <c r="R424" s="391">
        <f t="shared" si="198"/>
        <v>6.3984621303921569</v>
      </c>
      <c r="S424" s="392">
        <f t="shared" si="198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199">E271*0.539</f>
        <v>6.6009316676470586</v>
      </c>
      <c r="F425" s="388">
        <f t="shared" si="199"/>
        <v>6.5268455892156867</v>
      </c>
      <c r="G425" s="388">
        <f t="shared" si="199"/>
        <v>6.5248592156862752</v>
      </c>
      <c r="H425" s="388">
        <f t="shared" si="199"/>
        <v>6.4823167911764719</v>
      </c>
      <c r="I425" s="388">
        <f t="shared" si="199"/>
        <v>6.5650707294117652</v>
      </c>
      <c r="J425" s="388">
        <f t="shared" si="199"/>
        <v>6.6005596519607845</v>
      </c>
      <c r="K425" s="388">
        <f t="shared" si="199"/>
        <v>6.4460896500000011</v>
      </c>
      <c r="L425" s="388">
        <f t="shared" si="199"/>
        <v>6.5378950892156871</v>
      </c>
      <c r="M425" s="389">
        <f t="shared" si="199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198"/>
        <v>6.5537448598039232</v>
      </c>
      <c r="R425" s="388">
        <f t="shared" si="198"/>
        <v>6.5460995147058831</v>
      </c>
      <c r="S425" s="389">
        <f t="shared" si="198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0">B272*0.535</f>
        <v>6.7835188627450984</v>
      </c>
      <c r="C426" s="388">
        <f t="shared" si="200"/>
        <v>6.6651574558823539</v>
      </c>
      <c r="D426" s="388">
        <f t="shared" si="200"/>
        <v>6.4492130980392153</v>
      </c>
      <c r="E426" s="388">
        <f t="shared" si="200"/>
        <v>6.500109955882353</v>
      </c>
      <c r="F426" s="388">
        <f t="shared" si="200"/>
        <v>6.4532019950980386</v>
      </c>
      <c r="G426" s="388">
        <f t="shared" si="200"/>
        <v>6.4587130196078437</v>
      </c>
      <c r="H426" s="388">
        <f t="shared" si="200"/>
        <v>6.3852218529411759</v>
      </c>
      <c r="I426" s="388">
        <f t="shared" si="200"/>
        <v>6.4914125343137252</v>
      </c>
      <c r="J426" s="388">
        <f t="shared" si="200"/>
        <v>6.5098616421568645</v>
      </c>
      <c r="K426" s="388">
        <f t="shared" si="200"/>
        <v>6.3534161029411775</v>
      </c>
      <c r="L426" s="388">
        <f t="shared" si="200"/>
        <v>6.4783050343137258</v>
      </c>
      <c r="M426" s="389">
        <f t="shared" si="200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01">B273*0.54</f>
        <v>0</v>
      </c>
      <c r="C427" s="388">
        <f t="shared" si="201"/>
        <v>5.7172801764705889</v>
      </c>
      <c r="D427" s="388">
        <f t="shared" si="201"/>
        <v>6.7403075294117647</v>
      </c>
      <c r="E427" s="388">
        <f t="shared" si="201"/>
        <v>5.7492582352941177</v>
      </c>
      <c r="F427" s="388">
        <f t="shared" si="201"/>
        <v>0</v>
      </c>
      <c r="G427" s="388">
        <f t="shared" si="201"/>
        <v>0</v>
      </c>
      <c r="H427" s="388">
        <f t="shared" si="201"/>
        <v>0</v>
      </c>
      <c r="I427" s="388">
        <f t="shared" si="201"/>
        <v>6.9177335294117652</v>
      </c>
      <c r="J427" s="388">
        <f t="shared" si="201"/>
        <v>7.129080000000001</v>
      </c>
      <c r="K427" s="388">
        <f t="shared" si="201"/>
        <v>0</v>
      </c>
      <c r="L427" s="388">
        <f t="shared" si="201"/>
        <v>0</v>
      </c>
      <c r="M427" s="389">
        <f t="shared" si="201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02">B274*0.465</f>
        <v>4.5414904264705882</v>
      </c>
      <c r="C428" s="388">
        <f t="shared" si="202"/>
        <v>4.6277433676470592</v>
      </c>
      <c r="D428" s="388">
        <f t="shared" si="202"/>
        <v>4.5926103382352945</v>
      </c>
      <c r="E428" s="388">
        <f t="shared" si="202"/>
        <v>4.7492168676470596</v>
      </c>
      <c r="F428" s="388">
        <f t="shared" si="202"/>
        <v>4.7476103382352939</v>
      </c>
      <c r="G428" s="388">
        <f t="shared" si="202"/>
        <v>4.7204283529411768</v>
      </c>
      <c r="H428" s="388">
        <f t="shared" si="202"/>
        <v>4.6023849117647062</v>
      </c>
      <c r="I428" s="388">
        <f t="shared" si="202"/>
        <v>4.5338138235294112</v>
      </c>
      <c r="J428" s="388">
        <f t="shared" si="202"/>
        <v>4.5146198088235296</v>
      </c>
      <c r="K428" s="388">
        <f t="shared" si="202"/>
        <v>4.2117151617647064</v>
      </c>
      <c r="L428" s="388">
        <f t="shared" si="202"/>
        <v>4.1475292058823534</v>
      </c>
      <c r="M428" s="389">
        <f t="shared" si="202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03">B275*0.516</f>
        <v>6.3277393647058817</v>
      </c>
      <c r="C429" s="396">
        <f t="shared" si="203"/>
        <v>6.3782259176470584</v>
      </c>
      <c r="D429" s="396">
        <f t="shared" si="203"/>
        <v>6.3116088000000001</v>
      </c>
      <c r="E429" s="396">
        <f t="shared" si="203"/>
        <v>6.3316316235294119</v>
      </c>
      <c r="F429" s="396">
        <f t="shared" si="203"/>
        <v>6.2818866941176479</v>
      </c>
      <c r="G429" s="396">
        <f t="shared" si="203"/>
        <v>6.2495704235294118</v>
      </c>
      <c r="H429" s="396">
        <f t="shared" si="203"/>
        <v>6.144729341176471</v>
      </c>
      <c r="I429" s="396">
        <f t="shared" si="203"/>
        <v>6.1475111882352955</v>
      </c>
      <c r="J429" s="396">
        <f t="shared" si="203"/>
        <v>6.1473275529411762</v>
      </c>
      <c r="K429" s="396">
        <f t="shared" si="203"/>
        <v>6.0394916470588242</v>
      </c>
      <c r="L429" s="396">
        <f t="shared" si="203"/>
        <v>6.0709474117647062</v>
      </c>
      <c r="M429" s="397">
        <f t="shared" si="203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04">B279*0.507</f>
        <v>5.848791764705882</v>
      </c>
      <c r="C433" s="431">
        <f t="shared" si="204"/>
        <v>6.1309273235294119</v>
      </c>
      <c r="D433" s="432">
        <f t="shared" si="204"/>
        <v>6.1089523529411762</v>
      </c>
      <c r="E433" s="431">
        <f t="shared" si="204"/>
        <v>6.0019753529411766</v>
      </c>
      <c r="F433" s="431">
        <f t="shared" si="204"/>
        <v>6.0736015294117651</v>
      </c>
      <c r="G433" s="431">
        <f t="shared" si="204"/>
        <v>6.209944764705881</v>
      </c>
      <c r="H433" s="431">
        <f t="shared" si="204"/>
        <v>5.7993542941176468</v>
      </c>
      <c r="I433" s="431">
        <f t="shared" si="204"/>
        <v>5.8016904705882357</v>
      </c>
      <c r="J433" s="431">
        <f t="shared" si="204"/>
        <v>5.7801230882352943</v>
      </c>
      <c r="K433" s="431">
        <f t="shared" si="204"/>
        <v>5.8904552352941186</v>
      </c>
      <c r="L433" s="431">
        <f t="shared" si="204"/>
        <v>5.9891412941176476</v>
      </c>
      <c r="M433" s="433">
        <f t="shared" si="204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05">B280*0.539</f>
        <v>6.6767689676470594</v>
      </c>
      <c r="C434" s="435">
        <f t="shared" si="205"/>
        <v>7.0741926911764708</v>
      </c>
      <c r="D434" s="436">
        <f t="shared" si="205"/>
        <v>6.787930848039216</v>
      </c>
      <c r="E434" s="435">
        <f t="shared" si="205"/>
        <v>6.5606815784313728</v>
      </c>
      <c r="F434" s="435">
        <f t="shared" si="205"/>
        <v>6.6757739313725493</v>
      </c>
      <c r="G434" s="435">
        <f t="shared" si="205"/>
        <v>6.7629651078431383</v>
      </c>
      <c r="H434" s="435">
        <f t="shared" si="205"/>
        <v>6.5382285294117644</v>
      </c>
      <c r="I434" s="435">
        <f t="shared" si="205"/>
        <v>6.5415840686274516</v>
      </c>
      <c r="J434" s="435">
        <f t="shared" si="205"/>
        <v>6.5722436568627458</v>
      </c>
      <c r="K434" s="435">
        <f t="shared" si="205"/>
        <v>6.6930377843137254</v>
      </c>
      <c r="L434" s="435">
        <f t="shared" si="205"/>
        <v>6.7232376372549023</v>
      </c>
      <c r="M434" s="435">
        <f t="shared" si="205"/>
        <v>6.7261598627450985</v>
      </c>
      <c r="N434" s="370"/>
      <c r="O434" s="416" t="s">
        <v>247</v>
      </c>
      <c r="P434" s="391">
        <f t="shared" ref="P434:S435" si="206">P280*0.539</f>
        <v>6.8303226696078427</v>
      </c>
      <c r="Q434" s="391">
        <f t="shared" si="206"/>
        <v>6.9287288994000003</v>
      </c>
      <c r="R434" s="391">
        <f t="shared" si="206"/>
        <v>6.8196470496000003</v>
      </c>
      <c r="S434" s="391">
        <f t="shared" si="206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07">B281*0.539</f>
        <v>6.8802187450980394</v>
      </c>
      <c r="C435" s="426">
        <f t="shared" si="207"/>
        <v>7.0391735441176477</v>
      </c>
      <c r="D435" s="437">
        <f t="shared" si="207"/>
        <v>6.9162556509803927</v>
      </c>
      <c r="E435" s="426">
        <f t="shared" si="207"/>
        <v>6.7547744215686283</v>
      </c>
      <c r="F435" s="426">
        <f t="shared" si="207"/>
        <v>6.8433078137254899</v>
      </c>
      <c r="G435" s="426">
        <f t="shared" si="207"/>
        <v>6.9557263039215691</v>
      </c>
      <c r="H435" s="426">
        <f t="shared" si="207"/>
        <v>6.6709229313725489</v>
      </c>
      <c r="I435" s="426">
        <f t="shared" si="207"/>
        <v>6.7822475686274517</v>
      </c>
      <c r="J435" s="426">
        <f t="shared" si="207"/>
        <v>6.8062277843137267</v>
      </c>
      <c r="K435" s="426">
        <f t="shared" si="207"/>
        <v>6.9640332450980402</v>
      </c>
      <c r="L435" s="426">
        <f t="shared" si="207"/>
        <v>7.1130667450980392</v>
      </c>
      <c r="M435" s="426">
        <f t="shared" si="207"/>
        <v>7.1393667745098037</v>
      </c>
      <c r="N435" s="370"/>
      <c r="O435" s="387" t="s">
        <v>243</v>
      </c>
      <c r="P435" s="388">
        <f t="shared" si="206"/>
        <v>6.9457289107843136</v>
      </c>
      <c r="Q435" s="388">
        <f t="shared" si="206"/>
        <v>7.1303552165999999</v>
      </c>
      <c r="R435" s="388">
        <f t="shared" si="206"/>
        <v>7.0237858613999995</v>
      </c>
      <c r="S435" s="388">
        <f t="shared" si="206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08">B282*0.535</f>
        <v>6.7828752892156867</v>
      </c>
      <c r="C436" s="426">
        <f t="shared" si="208"/>
        <v>6.9735130980392164</v>
      </c>
      <c r="D436" s="437">
        <f t="shared" si="208"/>
        <v>6.8236333725490201</v>
      </c>
      <c r="E436" s="426">
        <f t="shared" si="208"/>
        <v>6.6640491666666675</v>
      </c>
      <c r="F436" s="426">
        <f t="shared" si="208"/>
        <v>6.7435648529411765</v>
      </c>
      <c r="G436" s="426">
        <f t="shared" si="208"/>
        <v>6.8799531372549021</v>
      </c>
      <c r="H436" s="426">
        <f t="shared" si="208"/>
        <v>6.560222450980393</v>
      </c>
      <c r="I436" s="426">
        <f t="shared" si="208"/>
        <v>6.7047353921568629</v>
      </c>
      <c r="J436" s="426">
        <f t="shared" si="208"/>
        <v>6.7429564215686275</v>
      </c>
      <c r="K436" s="426">
        <f t="shared" si="208"/>
        <v>6.8730873039215696</v>
      </c>
      <c r="L436" s="426">
        <f t="shared" si="208"/>
        <v>6.9917733823529415</v>
      </c>
      <c r="M436" s="426">
        <f t="shared" si="208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09">B283*0.465</f>
        <v>4.413131735294118</v>
      </c>
      <c r="C438" s="426">
        <f t="shared" si="209"/>
        <v>4.7413027500000009</v>
      </c>
      <c r="D438" s="437">
        <f t="shared" si="209"/>
        <v>4.8700042647058819</v>
      </c>
      <c r="E438" s="426">
        <f t="shared" si="209"/>
        <v>4.8365379411764708</v>
      </c>
      <c r="F438" s="426">
        <f t="shared" si="209"/>
        <v>4.8296951470588239</v>
      </c>
      <c r="G438" s="426">
        <f t="shared" si="209"/>
        <v>4.9144300000000003</v>
      </c>
      <c r="H438" s="426">
        <f t="shared" si="209"/>
        <v>4.6048722058823532</v>
      </c>
      <c r="I438" s="426">
        <f t="shared" si="209"/>
        <v>4.4468387647058822</v>
      </c>
      <c r="J438" s="426">
        <f t="shared" si="209"/>
        <v>4.4034232647058822</v>
      </c>
      <c r="K438" s="426">
        <f t="shared" si="209"/>
        <v>4.51538569117647</v>
      </c>
      <c r="L438" s="426">
        <f t="shared" si="209"/>
        <v>4.5566024705882358</v>
      </c>
      <c r="M438" s="426">
        <f t="shared" si="209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0">B284*0.516</f>
        <v>6.2967313058823535</v>
      </c>
      <c r="C439" s="438">
        <f t="shared" si="210"/>
        <v>6.4350648352941189</v>
      </c>
      <c r="D439" s="439">
        <f t="shared" si="210"/>
        <v>6.3706680352941181</v>
      </c>
      <c r="E439" s="438">
        <f t="shared" si="210"/>
        <v>6.2968795294117639</v>
      </c>
      <c r="F439" s="438">
        <f t="shared" si="210"/>
        <v>6.2700323529411763</v>
      </c>
      <c r="G439" s="438">
        <f t="shared" si="210"/>
        <v>6.3949094117647061</v>
      </c>
      <c r="H439" s="438">
        <f t="shared" si="210"/>
        <v>6.1337729411764705</v>
      </c>
      <c r="I439" s="438">
        <f t="shared" si="210"/>
        <v>6.1266045882352937</v>
      </c>
      <c r="J439" s="438">
        <f t="shared" si="210"/>
        <v>6.1032024705882355</v>
      </c>
      <c r="K439" s="438">
        <f t="shared" si="210"/>
        <v>6.2105152941176467</v>
      </c>
      <c r="L439" s="438">
        <f t="shared" si="210"/>
        <v>6.2702650588235294</v>
      </c>
      <c r="M439" s="438">
        <f t="shared" si="210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11">B288*0.507</f>
        <v>6.0956361470588236</v>
      </c>
      <c r="C443" s="431">
        <f t="shared" si="211"/>
        <v>6.0006531764705882</v>
      </c>
      <c r="D443" s="432">
        <f t="shared" si="211"/>
        <v>6.0301088823529403</v>
      </c>
      <c r="E443" s="431">
        <f t="shared" si="211"/>
        <v>5.943899</v>
      </c>
      <c r="F443" s="431">
        <f t="shared" si="211"/>
        <v>6.0871563235294115</v>
      </c>
      <c r="G443" s="431">
        <f t="shared" si="211"/>
        <v>6.1690268823529406</v>
      </c>
      <c r="H443" s="431">
        <f t="shared" si="211"/>
        <v>5.9334458529411771</v>
      </c>
      <c r="I443" s="431">
        <f t="shared" si="211"/>
        <v>6.017907579411764</v>
      </c>
      <c r="J443" s="431">
        <f t="shared" si="211"/>
        <v>6.0621438264705887</v>
      </c>
      <c r="K443" s="431">
        <f t="shared" si="211"/>
        <v>5.9548636205882355</v>
      </c>
      <c r="L443" s="431">
        <f t="shared" si="211"/>
        <v>6.1433811323529417</v>
      </c>
      <c r="M443" s="433">
        <f t="shared" si="211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12">B289*0.539</f>
        <v>6.8206243686274517</v>
      </c>
      <c r="C444" s="435">
        <f t="shared" si="212"/>
        <v>6.5757630098039215</v>
      </c>
      <c r="D444" s="436">
        <f t="shared" si="212"/>
        <v>6.6891273921568626</v>
      </c>
      <c r="E444" s="435">
        <f t="shared" si="212"/>
        <v>6.5355440980392165</v>
      </c>
      <c r="F444" s="435">
        <f t="shared" si="212"/>
        <v>6.8415745588235302</v>
      </c>
      <c r="G444" s="435">
        <f t="shared" si="212"/>
        <v>6.8440317647058837</v>
      </c>
      <c r="H444" s="435">
        <f t="shared" si="212"/>
        <v>7.0067040784313726</v>
      </c>
      <c r="I444" s="435">
        <f t="shared" si="212"/>
        <v>7.1009910313725495</v>
      </c>
      <c r="J444" s="435">
        <f t="shared" si="212"/>
        <v>7.2362562519607856</v>
      </c>
      <c r="K444" s="435">
        <f t="shared" si="212"/>
        <v>6.7560627372549025</v>
      </c>
      <c r="L444" s="435">
        <f t="shared" si="212"/>
        <v>7.2984621362745097</v>
      </c>
      <c r="M444" s="435">
        <f t="shared" si="212"/>
        <v>7.0729673571436962</v>
      </c>
      <c r="N444" s="370"/>
      <c r="O444" s="416" t="s">
        <v>247</v>
      </c>
      <c r="P444" s="391">
        <f t="shared" ref="P444:S445" si="213">P289*0.539</f>
        <v>6.703299921568628</v>
      </c>
      <c r="Q444" s="391">
        <f t="shared" si="213"/>
        <v>6.7880550294117654</v>
      </c>
      <c r="R444" s="391">
        <f t="shared" si="213"/>
        <v>7.0961022436199066</v>
      </c>
      <c r="S444" s="391">
        <f t="shared" si="213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14">B290*0.539</f>
        <v>7.1357216549019613</v>
      </c>
      <c r="C445" s="426">
        <f t="shared" si="214"/>
        <v>6.9390965686274519</v>
      </c>
      <c r="D445" s="437">
        <f t="shared" si="214"/>
        <v>6.9291620588235299</v>
      </c>
      <c r="E445" s="426">
        <f t="shared" si="214"/>
        <v>6.8283215000000004</v>
      </c>
      <c r="F445" s="426">
        <f t="shared" si="214"/>
        <v>6.9467165490196088</v>
      </c>
      <c r="G445" s="426">
        <f t="shared" si="214"/>
        <v>7.0190535196078425</v>
      </c>
      <c r="H445" s="426">
        <f t="shared" si="214"/>
        <v>6.9007007450980398</v>
      </c>
      <c r="I445" s="426">
        <f t="shared" si="214"/>
        <v>7.0841705323529407</v>
      </c>
      <c r="J445" s="426">
        <f t="shared" si="214"/>
        <v>7.097192138235294</v>
      </c>
      <c r="K445" s="426">
        <f t="shared" si="214"/>
        <v>6.9970929686274514</v>
      </c>
      <c r="L445" s="426">
        <f t="shared" si="214"/>
        <v>7.183639283333334</v>
      </c>
      <c r="M445" s="426">
        <f t="shared" si="214"/>
        <v>7.3310325806691816</v>
      </c>
      <c r="N445" s="370"/>
      <c r="O445" s="387" t="s">
        <v>243</v>
      </c>
      <c r="P445" s="388">
        <f t="shared" si="213"/>
        <v>6.995268823529412</v>
      </c>
      <c r="Q445" s="388">
        <f t="shared" si="213"/>
        <v>6.9424521078431383</v>
      </c>
      <c r="R445" s="388">
        <f t="shared" si="213"/>
        <v>7.030156096262723</v>
      </c>
      <c r="S445" s="388">
        <f t="shared" si="213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15">B291*0.535</f>
        <v>7.0653164754901967</v>
      </c>
      <c r="C446" s="426">
        <f t="shared" si="215"/>
        <v>6.8124697058823536</v>
      </c>
      <c r="D446" s="437">
        <f t="shared" si="215"/>
        <v>6.8257712745098056</v>
      </c>
      <c r="E446" s="426">
        <f t="shared" si="215"/>
        <v>6.7373494117647068</v>
      </c>
      <c r="F446" s="426">
        <f t="shared" si="215"/>
        <v>6.9062363235294129</v>
      </c>
      <c r="G446" s="426">
        <f t="shared" si="215"/>
        <v>6.9757233823529416</v>
      </c>
      <c r="H446" s="426">
        <f t="shared" si="215"/>
        <v>6.8664207843137257</v>
      </c>
      <c r="I446" s="426">
        <f t="shared" si="215"/>
        <v>7.0779267401960784</v>
      </c>
      <c r="J446" s="426">
        <f t="shared" si="215"/>
        <v>7.0828230392156861</v>
      </c>
      <c r="K446" s="426">
        <f t="shared" si="215"/>
        <v>7.0211359656862751</v>
      </c>
      <c r="L446" s="426">
        <f t="shared" si="215"/>
        <v>7.1883517892156865</v>
      </c>
      <c r="M446" s="426">
        <f t="shared" si="215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16">B292*0.54</f>
        <v>0</v>
      </c>
      <c r="C447" s="426">
        <f t="shared" si="216"/>
        <v>0</v>
      </c>
      <c r="D447" s="437">
        <f t="shared" si="216"/>
        <v>6.5985882352941188</v>
      </c>
      <c r="E447" s="426">
        <f t="shared" si="216"/>
        <v>6.2081841176470585</v>
      </c>
      <c r="F447" s="426">
        <f t="shared" si="216"/>
        <v>0</v>
      </c>
      <c r="G447" s="426">
        <f t="shared" si="216"/>
        <v>5.4227647058823534</v>
      </c>
      <c r="H447" s="426">
        <f t="shared" si="216"/>
        <v>5.8945500000000006</v>
      </c>
      <c r="I447" s="426">
        <f t="shared" si="216"/>
        <v>6.443829</v>
      </c>
      <c r="J447" s="426">
        <f t="shared" si="216"/>
        <v>5.7598305882352951</v>
      </c>
      <c r="K447" s="426">
        <f t="shared" si="216"/>
        <v>4.1558823529411768</v>
      </c>
      <c r="L447" s="426">
        <f t="shared" si="216"/>
        <v>0</v>
      </c>
      <c r="M447" s="426">
        <f t="shared" si="216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17">B293*0.465</f>
        <v>4.5821574117647055</v>
      </c>
      <c r="C448" s="426">
        <f t="shared" si="217"/>
        <v>4.6392138235294116</v>
      </c>
      <c r="D448" s="437">
        <f t="shared" si="217"/>
        <v>4.6718230882352945</v>
      </c>
      <c r="E448" s="426">
        <f t="shared" si="217"/>
        <v>4.6376501470588236</v>
      </c>
      <c r="F448" s="426">
        <f t="shared" si="217"/>
        <v>4.651723235294118</v>
      </c>
      <c r="G448" s="426">
        <f t="shared" si="217"/>
        <v>4.7864045588235289</v>
      </c>
      <c r="H448" s="426">
        <f t="shared" si="217"/>
        <v>4.5551509411764703</v>
      </c>
      <c r="I448" s="426">
        <f t="shared" si="217"/>
        <v>4.4960134264705882</v>
      </c>
      <c r="J448" s="426">
        <f t="shared" si="217"/>
        <v>4.5590204705882353</v>
      </c>
      <c r="K448" s="426">
        <f t="shared" si="217"/>
        <v>4.5080719705882366</v>
      </c>
      <c r="L448" s="426">
        <f t="shared" si="217"/>
        <v>4.6098645735294115</v>
      </c>
      <c r="M448" s="426">
        <f t="shared" si="217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18">B294*0.516</f>
        <v>6.2910345647058818</v>
      </c>
      <c r="C449" s="438">
        <f t="shared" si="218"/>
        <v>6.2487549411764709</v>
      </c>
      <c r="D449" s="439">
        <f t="shared" si="218"/>
        <v>6.242067176470588</v>
      </c>
      <c r="E449" s="438">
        <f t="shared" si="218"/>
        <v>6.1866680000000001</v>
      </c>
      <c r="F449" s="438">
        <f t="shared" si="218"/>
        <v>6.2521089411764708</v>
      </c>
      <c r="G449" s="438">
        <f t="shared" si="218"/>
        <v>6.3373298823529423</v>
      </c>
      <c r="H449" s="438">
        <f t="shared" si="218"/>
        <v>6.2028359999999996</v>
      </c>
      <c r="I449" s="438">
        <f t="shared" si="218"/>
        <v>6.2791412705882346</v>
      </c>
      <c r="J449" s="438">
        <f t="shared" si="218"/>
        <v>6.2947209294117643</v>
      </c>
      <c r="K449" s="438">
        <f t="shared" si="218"/>
        <v>6.2529011529411767</v>
      </c>
      <c r="L449" s="438">
        <f t="shared" si="218"/>
        <v>6.3565867999999996</v>
      </c>
      <c r="M449" s="438">
        <f t="shared" si="218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19">B298*0.507</f>
        <v>6.3757343467059062</v>
      </c>
      <c r="C453" s="431">
        <f t="shared" si="219"/>
        <v>6.3392273468395119</v>
      </c>
      <c r="D453" s="432">
        <f t="shared" si="219"/>
        <v>6.2723321784795028</v>
      </c>
      <c r="E453" s="431">
        <f t="shared" si="219"/>
        <v>6.1314847971813577</v>
      </c>
      <c r="F453" s="431">
        <f t="shared" si="219"/>
        <v>6.3007473439470747</v>
      </c>
      <c r="G453" s="431">
        <f t="shared" si="219"/>
        <v>6.2963271885737031</v>
      </c>
      <c r="H453" s="431">
        <f t="shared" si="219"/>
        <v>6.2056090091467491</v>
      </c>
      <c r="I453" s="431">
        <f t="shared" si="219"/>
        <v>6.3769514932866009</v>
      </c>
      <c r="J453" s="431">
        <f t="shared" si="219"/>
        <v>6.4801798565347033</v>
      </c>
      <c r="K453" s="431">
        <f t="shared" si="219"/>
        <v>6.5777367493489489</v>
      </c>
      <c r="L453" s="431">
        <f t="shared" si="219"/>
        <v>6.6936790917504041</v>
      </c>
      <c r="M453" s="433">
        <f t="shared" si="219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0">B299*0.539</f>
        <v>6.7957457316612278</v>
      </c>
      <c r="C454" s="435">
        <f t="shared" si="220"/>
        <v>6.8539480097445251</v>
      </c>
      <c r="D454" s="436">
        <f t="shared" si="220"/>
        <v>6.6704057547728155</v>
      </c>
      <c r="E454" s="435">
        <f t="shared" si="220"/>
        <v>6.4915063453984798</v>
      </c>
      <c r="F454" s="435">
        <f t="shared" si="220"/>
        <v>6.6550829379602572</v>
      </c>
      <c r="G454" s="435">
        <f t="shared" si="220"/>
        <v>6.5138897607760402</v>
      </c>
      <c r="H454" s="435">
        <f t="shared" si="220"/>
        <v>6.8701608631322753</v>
      </c>
      <c r="I454" s="435">
        <f t="shared" si="220"/>
        <v>7.0794587658490657</v>
      </c>
      <c r="J454" s="435">
        <f t="shared" si="220"/>
        <v>6.7656061783264132</v>
      </c>
      <c r="K454" s="435">
        <f t="shared" si="220"/>
        <v>7.0534951683483795</v>
      </c>
      <c r="L454" s="435">
        <f t="shared" si="220"/>
        <v>7.2588913372950152</v>
      </c>
      <c r="M454" s="435">
        <f t="shared" si="220"/>
        <v>7.3796305800162969</v>
      </c>
      <c r="N454" s="370"/>
      <c r="O454" s="416" t="s">
        <v>247</v>
      </c>
      <c r="P454" s="391">
        <f t="shared" ref="P454:S455" si="221">P299*0.539</f>
        <v>6.775939891230867</v>
      </c>
      <c r="Q454" s="391">
        <f t="shared" si="221"/>
        <v>6.5965527015325645</v>
      </c>
      <c r="R454" s="391">
        <f t="shared" si="221"/>
        <v>6.9233973184362698</v>
      </c>
      <c r="S454" s="391">
        <f t="shared" si="221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22">B300*0.539</f>
        <v>7.3201340834890942</v>
      </c>
      <c r="C455" s="426">
        <f t="shared" si="222"/>
        <v>7.2241010975875675</v>
      </c>
      <c r="D455" s="437">
        <f t="shared" si="222"/>
        <v>7.0821994797961763</v>
      </c>
      <c r="E455" s="426">
        <f t="shared" si="222"/>
        <v>6.9260655906473243</v>
      </c>
      <c r="F455" s="426">
        <f t="shared" si="222"/>
        <v>7.06439608177533</v>
      </c>
      <c r="G455" s="426">
        <f t="shared" si="222"/>
        <v>7.0164933193182186</v>
      </c>
      <c r="H455" s="426">
        <f t="shared" si="222"/>
        <v>7.0068248130795956</v>
      </c>
      <c r="I455" s="426">
        <f t="shared" si="222"/>
        <v>7.2679714181448078</v>
      </c>
      <c r="J455" s="426">
        <f t="shared" si="222"/>
        <v>7.370328437438884</v>
      </c>
      <c r="K455" s="426">
        <f t="shared" si="222"/>
        <v>7.5316019742958185</v>
      </c>
      <c r="L455" s="426">
        <f t="shared" si="222"/>
        <v>7.6792531572540241</v>
      </c>
      <c r="M455" s="426">
        <f t="shared" si="222"/>
        <v>7.6318801408568415</v>
      </c>
      <c r="N455" s="370"/>
      <c r="O455" s="387" t="s">
        <v>243</v>
      </c>
      <c r="P455" s="388">
        <f t="shared" si="221"/>
        <v>7.1945413578334279</v>
      </c>
      <c r="Q455" s="388">
        <f t="shared" si="221"/>
        <v>7.0476395716859148</v>
      </c>
      <c r="R455" s="388">
        <f t="shared" si="221"/>
        <v>7.215826808263694</v>
      </c>
      <c r="S455" s="388">
        <f t="shared" si="221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23">B301*0.535</f>
        <v>7.2602228956775408</v>
      </c>
      <c r="C456" s="426">
        <f t="shared" si="223"/>
        <v>7.139612189575864</v>
      </c>
      <c r="D456" s="437">
        <f t="shared" si="223"/>
        <v>6.9836800457803427</v>
      </c>
      <c r="E456" s="426">
        <f t="shared" si="223"/>
        <v>6.8328853052791869</v>
      </c>
      <c r="F456" s="426">
        <f t="shared" si="223"/>
        <v>6.9441120536442504</v>
      </c>
      <c r="G456" s="426">
        <f t="shared" si="223"/>
        <v>6.8863884263083044</v>
      </c>
      <c r="H456" s="426">
        <f t="shared" si="223"/>
        <v>6.8863366734697022</v>
      </c>
      <c r="I456" s="426">
        <f t="shared" si="223"/>
        <v>7.1420598405818305</v>
      </c>
      <c r="J456" s="426">
        <f t="shared" si="223"/>
        <v>7.2451899701938007</v>
      </c>
      <c r="K456" s="426">
        <f t="shared" si="223"/>
        <v>7.4089761627556276</v>
      </c>
      <c r="L456" s="426">
        <f t="shared" si="223"/>
        <v>7.5315482938243044</v>
      </c>
      <c r="M456" s="426">
        <f t="shared" si="223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24">B302*0.54</f>
        <v>7.8331764705882359</v>
      </c>
      <c r="C457" s="426">
        <f t="shared" si="224"/>
        <v>0</v>
      </c>
      <c r="D457" s="437">
        <f t="shared" si="224"/>
        <v>6.6578267973856198</v>
      </c>
      <c r="E457" s="426">
        <f t="shared" si="224"/>
        <v>0</v>
      </c>
      <c r="F457" s="426">
        <f t="shared" si="224"/>
        <v>6.999882352941178</v>
      </c>
      <c r="G457" s="426">
        <f t="shared" si="224"/>
        <v>7.4513414634146358</v>
      </c>
      <c r="H457" s="426">
        <f t="shared" si="224"/>
        <v>0</v>
      </c>
      <c r="I457" s="426">
        <f t="shared" si="224"/>
        <v>0</v>
      </c>
      <c r="J457" s="426">
        <f t="shared" si="224"/>
        <v>0</v>
      </c>
      <c r="K457" s="426">
        <f t="shared" si="224"/>
        <v>6.5486911764705882</v>
      </c>
      <c r="L457" s="426">
        <f t="shared" si="224"/>
        <v>0</v>
      </c>
      <c r="M457" s="426">
        <f t="shared" si="224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25">B303*0.465</f>
        <v>4.8059290643822017</v>
      </c>
      <c r="C458" s="426">
        <f t="shared" si="225"/>
        <v>4.8750839484785944</v>
      </c>
      <c r="D458" s="437">
        <f t="shared" si="225"/>
        <v>4.9389772649635288</v>
      </c>
      <c r="E458" s="426">
        <f t="shared" si="225"/>
        <v>4.8843628631874791</v>
      </c>
      <c r="F458" s="426">
        <f t="shared" si="225"/>
        <v>5.0224709916228365</v>
      </c>
      <c r="G458" s="426">
        <f t="shared" si="225"/>
        <v>5.1095977225464519</v>
      </c>
      <c r="H458" s="426">
        <f t="shared" si="225"/>
        <v>4.990275926428664</v>
      </c>
      <c r="I458" s="426">
        <f t="shared" si="225"/>
        <v>5.0309127381216845</v>
      </c>
      <c r="J458" s="426">
        <f t="shared" si="225"/>
        <v>5.1982716925900414</v>
      </c>
      <c r="K458" s="426">
        <f t="shared" si="225"/>
        <v>5.3061627023498579</v>
      </c>
      <c r="L458" s="426">
        <f t="shared" si="225"/>
        <v>5.3768916561279125</v>
      </c>
      <c r="M458" s="426">
        <f t="shared" si="225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26">B304*0.516</f>
        <v>6.5195491255421496</v>
      </c>
      <c r="C459" s="438">
        <f t="shared" si="226"/>
        <v>6.5268942578256235</v>
      </c>
      <c r="D459" s="439">
        <f t="shared" si="226"/>
        <v>6.4942316067159771</v>
      </c>
      <c r="E459" s="438">
        <f t="shared" si="226"/>
        <v>6.3250191512222891</v>
      </c>
      <c r="F459" s="438">
        <f t="shared" si="226"/>
        <v>6.495390157051192</v>
      </c>
      <c r="G459" s="438">
        <f t="shared" si="226"/>
        <v>6.5309354230328038</v>
      </c>
      <c r="H459" s="438">
        <f t="shared" si="226"/>
        <v>6.4558257601049505</v>
      </c>
      <c r="I459" s="438">
        <f t="shared" si="226"/>
        <v>6.5553685198349303</v>
      </c>
      <c r="J459" s="438">
        <f t="shared" si="226"/>
        <v>6.6053586678251586</v>
      </c>
      <c r="K459" s="438">
        <f t="shared" si="226"/>
        <v>6.7086718150743181</v>
      </c>
      <c r="L459" s="438">
        <f t="shared" si="226"/>
        <v>6.7802737076557351</v>
      </c>
      <c r="M459" s="438">
        <f t="shared" si="226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27">C308*0.518</f>
        <v>6.8727735934073451</v>
      </c>
      <c r="D464" s="432">
        <f t="shared" si="227"/>
        <v>6.8463987427915418</v>
      </c>
      <c r="E464" s="431">
        <f t="shared" si="227"/>
        <v>6.863979760543887</v>
      </c>
      <c r="F464" s="431">
        <f t="shared" si="227"/>
        <v>6.8792493818730485</v>
      </c>
      <c r="G464" s="431">
        <f t="shared" si="227"/>
        <v>6.8491745558618478</v>
      </c>
      <c r="H464" s="431">
        <f t="shared" si="227"/>
        <v>6.6998408493917854</v>
      </c>
      <c r="I464" s="431">
        <f t="shared" si="227"/>
        <v>6.7583664385116364</v>
      </c>
      <c r="J464" s="431">
        <f t="shared" si="227"/>
        <v>6.7134042219353232</v>
      </c>
      <c r="K464" s="431">
        <f t="shared" si="227"/>
        <v>6.7467487348204545</v>
      </c>
      <c r="L464" s="431">
        <f t="shared" si="227"/>
        <v>6.646571081000137</v>
      </c>
      <c r="M464" s="433">
        <f t="shared" si="227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28">Q308*0.518</f>
        <v>6.8635923848100955</v>
      </c>
      <c r="R464" s="385">
        <f t="shared" si="228"/>
        <v>6.7250527077031075</v>
      </c>
      <c r="S464" s="385">
        <f t="shared" si="228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29">C309*0.539</f>
        <v>7.1266026720967215</v>
      </c>
      <c r="D465" s="436">
        <f t="shared" si="229"/>
        <v>7.0925249307626146</v>
      </c>
      <c r="E465" s="435">
        <f t="shared" si="229"/>
        <v>7.3169613222711547</v>
      </c>
      <c r="F465" s="435">
        <f t="shared" si="229"/>
        <v>7.1750694836458573</v>
      </c>
      <c r="G465" s="435">
        <f t="shared" si="229"/>
        <v>7.0787165146129363</v>
      </c>
      <c r="H465" s="435">
        <f t="shared" si="229"/>
        <v>6.7786348614730922</v>
      </c>
      <c r="I465" s="435">
        <f t="shared" si="229"/>
        <v>7.2410640317626092</v>
      </c>
      <c r="J465" s="435">
        <f t="shared" si="229"/>
        <v>7.1003677772543101</v>
      </c>
      <c r="K465" s="435">
        <f t="shared" si="229"/>
        <v>7.2968264822968605</v>
      </c>
      <c r="L465" s="435">
        <f t="shared" si="229"/>
        <v>6.9340442072981556</v>
      </c>
      <c r="M465" s="435">
        <f t="shared" si="229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0">Q309*0.539</f>
        <v>7.2109807006816258</v>
      </c>
      <c r="R465" s="391">
        <f t="shared" si="230"/>
        <v>7.074471543224357</v>
      </c>
      <c r="S465" s="391">
        <f t="shared" si="230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31">C310*0.533</f>
        <v>7.4723608245158122</v>
      </c>
      <c r="D466" s="437">
        <f t="shared" si="231"/>
        <v>7.4113664477804253</v>
      </c>
      <c r="E466" s="426">
        <f t="shared" si="231"/>
        <v>7.4289848899835347</v>
      </c>
      <c r="F466" s="426">
        <f t="shared" si="231"/>
        <v>7.4180227241459775</v>
      </c>
      <c r="G466" s="426">
        <f t="shared" si="231"/>
        <v>7.3906700612614609</v>
      </c>
      <c r="H466" s="426">
        <f t="shared" si="231"/>
        <v>7.3205952103034919</v>
      </c>
      <c r="I466" s="426">
        <f t="shared" si="231"/>
        <v>7.4649776075804564</v>
      </c>
      <c r="J466" s="426">
        <f t="shared" si="231"/>
        <v>7.4082369647902047</v>
      </c>
      <c r="K466" s="426">
        <f t="shared" si="231"/>
        <v>7.462466155843912</v>
      </c>
      <c r="L466" s="426">
        <f t="shared" si="231"/>
        <v>7.3900829997120772</v>
      </c>
      <c r="M466" s="426">
        <f t="shared" si="231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32">Q310*0.533</f>
        <v>7.4119634653662834</v>
      </c>
      <c r="R466" s="388">
        <f t="shared" si="232"/>
        <v>7.4004940677809676</v>
      </c>
      <c r="S466" s="388">
        <f t="shared" si="232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33">C311*0.533</f>
        <v>7.4110290540404922</v>
      </c>
      <c r="D467" s="437">
        <f t="shared" si="233"/>
        <v>7.3556207581652826</v>
      </c>
      <c r="E467" s="426">
        <f t="shared" si="233"/>
        <v>7.3866609115305861</v>
      </c>
      <c r="F467" s="426">
        <f t="shared" si="233"/>
        <v>7.3673829590192046</v>
      </c>
      <c r="G467" s="426">
        <f t="shared" si="233"/>
        <v>7.3392854188679566</v>
      </c>
      <c r="H467" s="426">
        <f t="shared" si="233"/>
        <v>7.2708168673237914</v>
      </c>
      <c r="I467" s="426">
        <f t="shared" si="233"/>
        <v>7.4377867457012057</v>
      </c>
      <c r="J467" s="426">
        <f t="shared" si="233"/>
        <v>7.336660260801267</v>
      </c>
      <c r="K467" s="426">
        <f t="shared" si="233"/>
        <v>7.4003797265997777</v>
      </c>
      <c r="L467" s="426">
        <f t="shared" si="233"/>
        <v>7.3069648656792152</v>
      </c>
      <c r="M467" s="426">
        <f t="shared" si="233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34">Q311*0.533</f>
        <v>7.3649664475373742</v>
      </c>
      <c r="R467" s="388">
        <f t="shared" si="234"/>
        <v>7.3536500742343254</v>
      </c>
      <c r="S467" s="388">
        <f t="shared" si="234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35">C312*0.521</f>
        <v>5.9605311470588243</v>
      </c>
      <c r="D468" s="437">
        <f t="shared" si="235"/>
        <v>0</v>
      </c>
      <c r="E468" s="426">
        <f t="shared" si="235"/>
        <v>7.1058423823529413</v>
      </c>
      <c r="F468" s="426">
        <f t="shared" si="235"/>
        <v>0</v>
      </c>
      <c r="G468" s="426">
        <f t="shared" si="235"/>
        <v>0</v>
      </c>
      <c r="H468" s="426">
        <f t="shared" si="235"/>
        <v>5.2484620588235291</v>
      </c>
      <c r="I468" s="426">
        <f t="shared" si="235"/>
        <v>5.3161322240896345</v>
      </c>
      <c r="J468" s="426">
        <f t="shared" si="235"/>
        <v>0</v>
      </c>
      <c r="K468" s="426">
        <f t="shared" si="235"/>
        <v>0</v>
      </c>
      <c r="L468" s="426">
        <f t="shared" si="235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36">Q312*0.521</f>
        <v>7.1058423823529413</v>
      </c>
      <c r="R468" s="388">
        <f t="shared" si="236"/>
        <v>5.2947295671682628</v>
      </c>
      <c r="S468" s="388">
        <f t="shared" si="236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37">C313*0.487</f>
        <v>5.6570146927839842</v>
      </c>
      <c r="D469" s="437">
        <f t="shared" si="237"/>
        <v>5.7270930609124679</v>
      </c>
      <c r="E469" s="426">
        <f t="shared" si="237"/>
        <v>5.7360344011283004</v>
      </c>
      <c r="F469" s="426">
        <f t="shared" si="237"/>
        <v>5.7301981209404103</v>
      </c>
      <c r="G469" s="426">
        <f t="shared" si="237"/>
        <v>5.7248761237753572</v>
      </c>
      <c r="H469" s="426">
        <f t="shared" si="237"/>
        <v>5.5729577003327462</v>
      </c>
      <c r="I469" s="426">
        <f t="shared" si="237"/>
        <v>5.4655996271910441</v>
      </c>
      <c r="J469" s="426">
        <f t="shared" si="237"/>
        <v>5.5169179319816788</v>
      </c>
      <c r="K469" s="426">
        <f t="shared" si="237"/>
        <v>5.5344417104783492</v>
      </c>
      <c r="L469" s="426">
        <f t="shared" si="237"/>
        <v>5.3459454372529045</v>
      </c>
      <c r="M469" s="426">
        <f>M312*0.521</f>
        <v>5.6599297715250296</v>
      </c>
      <c r="N469" s="370"/>
      <c r="O469" s="387" t="s">
        <v>98</v>
      </c>
      <c r="P469" s="388">
        <f>P313*0.487</f>
        <v>5.6597914805114611</v>
      </c>
      <c r="Q469" s="388">
        <f t="shared" ref="Q469:S469" si="238">Q313*0.487</f>
        <v>5.7303638639409451</v>
      </c>
      <c r="R469" s="388">
        <f t="shared" si="238"/>
        <v>5.5171067540495864</v>
      </c>
      <c r="S469" s="388">
        <f t="shared" si="238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39">C314*0.518</f>
        <v>6.8668396764752355</v>
      </c>
      <c r="D470" s="439">
        <f t="shared" si="239"/>
        <v>6.8672994048314582</v>
      </c>
      <c r="E470" s="438">
        <f t="shared" si="239"/>
        <v>6.8856473797276614</v>
      </c>
      <c r="F470" s="438">
        <f t="shared" si="239"/>
        <v>6.8961550947248309</v>
      </c>
      <c r="G470" s="438">
        <f t="shared" si="239"/>
        <v>6.8898222581055846</v>
      </c>
      <c r="H470" s="438">
        <f t="shared" si="239"/>
        <v>6.7949048424751295</v>
      </c>
      <c r="I470" s="438">
        <f t="shared" si="239"/>
        <v>6.8318823425954776</v>
      </c>
      <c r="J470" s="438">
        <f t="shared" si="239"/>
        <v>6.8223887325761989</v>
      </c>
      <c r="K470" s="438">
        <f t="shared" si="239"/>
        <v>6.8943605517339224</v>
      </c>
      <c r="L470" s="438">
        <f t="shared" si="239"/>
        <v>6.8527689994562069</v>
      </c>
      <c r="M470" s="426">
        <f>M313*0.487</f>
        <v>6.4828101831403888</v>
      </c>
      <c r="N470" s="370"/>
      <c r="O470" s="395" t="s">
        <v>246</v>
      </c>
      <c r="P470" s="396">
        <f>P314*0.518</f>
        <v>6.8571488028799035</v>
      </c>
      <c r="Q470" s="396">
        <f t="shared" ref="Q470:S470" si="240">Q314*0.518</f>
        <v>6.8905082274033882</v>
      </c>
      <c r="R470" s="396">
        <f t="shared" si="240"/>
        <v>6.815721069188247</v>
      </c>
      <c r="S470" s="396">
        <f t="shared" si="240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41">C318*0.518</f>
        <v>0</v>
      </c>
      <c r="D474" s="432">
        <f t="shared" si="241"/>
        <v>0</v>
      </c>
      <c r="E474" s="431">
        <f t="shared" si="241"/>
        <v>0</v>
      </c>
      <c r="F474" s="431">
        <f t="shared" si="241"/>
        <v>0</v>
      </c>
      <c r="G474" s="431">
        <f t="shared" si="241"/>
        <v>6.8491745558618478</v>
      </c>
      <c r="H474" s="431">
        <f t="shared" si="241"/>
        <v>6.6998408493917854</v>
      </c>
      <c r="I474" s="431">
        <f t="shared" si="241"/>
        <v>0</v>
      </c>
      <c r="J474" s="431">
        <f t="shared" si="241"/>
        <v>0</v>
      </c>
      <c r="K474" s="431">
        <f t="shared" si="241"/>
        <v>0</v>
      </c>
      <c r="L474" s="431">
        <f t="shared" si="241"/>
        <v>0</v>
      </c>
      <c r="M474" s="433">
        <f t="shared" si="241"/>
        <v>0</v>
      </c>
      <c r="N474" s="370"/>
      <c r="O474" s="412" t="s">
        <v>242</v>
      </c>
      <c r="P474" s="385">
        <f>P318*0.518</f>
        <v>0</v>
      </c>
      <c r="Q474" s="385">
        <f t="shared" ref="Q474:S474" si="242">Q318*0.518</f>
        <v>0</v>
      </c>
      <c r="R474" s="385">
        <f t="shared" si="242"/>
        <v>0</v>
      </c>
      <c r="S474" s="385">
        <f t="shared" si="242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43">C319*0.539</f>
        <v>0</v>
      </c>
      <c r="D475" s="436">
        <f t="shared" si="243"/>
        <v>0</v>
      </c>
      <c r="E475" s="435">
        <f t="shared" si="243"/>
        <v>0</v>
      </c>
      <c r="F475" s="435">
        <f t="shared" si="243"/>
        <v>0</v>
      </c>
      <c r="G475" s="435">
        <f t="shared" si="243"/>
        <v>7.0787165146129363</v>
      </c>
      <c r="H475" s="435">
        <f t="shared" si="243"/>
        <v>6.7786348614730922</v>
      </c>
      <c r="I475" s="435">
        <f t="shared" si="243"/>
        <v>0</v>
      </c>
      <c r="J475" s="435">
        <f t="shared" si="243"/>
        <v>0</v>
      </c>
      <c r="K475" s="435">
        <f t="shared" si="243"/>
        <v>0</v>
      </c>
      <c r="L475" s="435">
        <f t="shared" si="243"/>
        <v>0</v>
      </c>
      <c r="M475" s="435">
        <f t="shared" si="243"/>
        <v>0</v>
      </c>
      <c r="N475" s="370"/>
      <c r="O475" s="416" t="s">
        <v>247</v>
      </c>
      <c r="P475" s="391">
        <f>P319*0.539</f>
        <v>0</v>
      </c>
      <c r="Q475" s="391">
        <f t="shared" ref="Q475:S475" si="244">Q319*0.539</f>
        <v>0</v>
      </c>
      <c r="R475" s="391">
        <f t="shared" si="244"/>
        <v>0</v>
      </c>
      <c r="S475" s="391">
        <f t="shared" si="244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45">C320*0.533</f>
        <v>0</v>
      </c>
      <c r="D476" s="437">
        <f t="shared" si="245"/>
        <v>0</v>
      </c>
      <c r="E476" s="426">
        <f t="shared" si="245"/>
        <v>0</v>
      </c>
      <c r="F476" s="426">
        <f t="shared" si="245"/>
        <v>0</v>
      </c>
      <c r="G476" s="426">
        <f t="shared" si="245"/>
        <v>7.3906700612614609</v>
      </c>
      <c r="H476" s="426">
        <f t="shared" si="245"/>
        <v>7.3205952103034919</v>
      </c>
      <c r="I476" s="426">
        <f t="shared" si="245"/>
        <v>0</v>
      </c>
      <c r="J476" s="426">
        <f t="shared" si="245"/>
        <v>0</v>
      </c>
      <c r="K476" s="426">
        <f t="shared" si="245"/>
        <v>0</v>
      </c>
      <c r="L476" s="426">
        <f t="shared" si="245"/>
        <v>0</v>
      </c>
      <c r="M476" s="426">
        <f t="shared" si="245"/>
        <v>0</v>
      </c>
      <c r="N476" s="370"/>
      <c r="O476" s="387" t="s">
        <v>243</v>
      </c>
      <c r="P476" s="388">
        <f>P320*0.533</f>
        <v>0</v>
      </c>
      <c r="Q476" s="388">
        <f t="shared" ref="Q476:S476" si="246">Q320*0.533</f>
        <v>0</v>
      </c>
      <c r="R476" s="388">
        <f t="shared" si="246"/>
        <v>0</v>
      </c>
      <c r="S476" s="388">
        <f t="shared" si="246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47">C321*0.533</f>
        <v>0</v>
      </c>
      <c r="D477" s="437">
        <f t="shared" si="247"/>
        <v>0</v>
      </c>
      <c r="E477" s="426">
        <f t="shared" si="247"/>
        <v>0</v>
      </c>
      <c r="F477" s="426">
        <f t="shared" si="247"/>
        <v>0</v>
      </c>
      <c r="G477" s="426">
        <f t="shared" si="247"/>
        <v>7.3392854188679566</v>
      </c>
      <c r="H477" s="426">
        <f t="shared" si="247"/>
        <v>7.2708168673237914</v>
      </c>
      <c r="I477" s="426">
        <f t="shared" si="247"/>
        <v>0</v>
      </c>
      <c r="J477" s="426">
        <f t="shared" si="247"/>
        <v>0</v>
      </c>
      <c r="K477" s="426">
        <f t="shared" si="247"/>
        <v>0</v>
      </c>
      <c r="L477" s="426">
        <f t="shared" si="247"/>
        <v>0</v>
      </c>
      <c r="M477" s="426">
        <f t="shared" si="247"/>
        <v>0</v>
      </c>
      <c r="N477" s="370"/>
      <c r="O477" s="387" t="s">
        <v>244</v>
      </c>
      <c r="P477" s="388">
        <f>P321*0.533</f>
        <v>0</v>
      </c>
      <c r="Q477" s="388">
        <f t="shared" ref="Q477:S477" si="248">Q321*0.533</f>
        <v>0</v>
      </c>
      <c r="R477" s="388">
        <f t="shared" si="248"/>
        <v>0</v>
      </c>
      <c r="S477" s="388">
        <f t="shared" si="248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/>
      <c r="C478" s="426">
        <f t="shared" ref="C478:M478" si="249">C322*0.521</f>
        <v>0</v>
      </c>
      <c r="D478" s="437">
        <f t="shared" si="249"/>
        <v>0</v>
      </c>
      <c r="E478" s="426">
        <f t="shared" si="249"/>
        <v>0</v>
      </c>
      <c r="F478" s="426">
        <f t="shared" si="249"/>
        <v>0</v>
      </c>
      <c r="G478" s="426">
        <f t="shared" si="249"/>
        <v>0</v>
      </c>
      <c r="H478" s="426">
        <f t="shared" si="249"/>
        <v>5.2484620588235291</v>
      </c>
      <c r="I478" s="426">
        <f t="shared" si="249"/>
        <v>0</v>
      </c>
      <c r="J478" s="426">
        <f t="shared" si="249"/>
        <v>0</v>
      </c>
      <c r="K478" s="426">
        <f t="shared" si="249"/>
        <v>0</v>
      </c>
      <c r="L478" s="426">
        <f t="shared" si="249"/>
        <v>0</v>
      </c>
      <c r="M478" s="426">
        <f t="shared" si="249"/>
        <v>0</v>
      </c>
      <c r="N478" s="370"/>
      <c r="O478" s="387" t="s">
        <v>245</v>
      </c>
      <c r="P478" s="388">
        <f>P322*0.521</f>
        <v>0</v>
      </c>
      <c r="Q478" s="388">
        <f t="shared" ref="Q478:S478" si="250">Q322*0.521</f>
        <v>0</v>
      </c>
      <c r="R478" s="388">
        <f t="shared" si="250"/>
        <v>0</v>
      </c>
      <c r="S478" s="388">
        <f t="shared" si="250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51">C323*0.487</f>
        <v>0</v>
      </c>
      <c r="D479" s="437">
        <f t="shared" si="251"/>
        <v>0</v>
      </c>
      <c r="E479" s="426">
        <f t="shared" si="251"/>
        <v>0</v>
      </c>
      <c r="F479" s="426">
        <f t="shared" si="251"/>
        <v>0</v>
      </c>
      <c r="G479" s="426">
        <f t="shared" si="251"/>
        <v>5.7248761237753572</v>
      </c>
      <c r="H479" s="426">
        <f t="shared" si="251"/>
        <v>5.5729577003327462</v>
      </c>
      <c r="I479" s="426">
        <f t="shared" si="251"/>
        <v>0</v>
      </c>
      <c r="J479" s="426">
        <f t="shared" si="251"/>
        <v>0</v>
      </c>
      <c r="K479" s="426">
        <f t="shared" si="251"/>
        <v>0</v>
      </c>
      <c r="L479" s="426">
        <f t="shared" si="251"/>
        <v>0</v>
      </c>
      <c r="M479" s="426">
        <f t="shared" si="251"/>
        <v>0</v>
      </c>
      <c r="N479" s="370"/>
      <c r="O479" s="387" t="s">
        <v>98</v>
      </c>
      <c r="P479" s="388">
        <f>P323*0.487</f>
        <v>0</v>
      </c>
      <c r="Q479" s="388">
        <f t="shared" ref="Q479:S479" si="252">Q323*0.487</f>
        <v>0</v>
      </c>
      <c r="R479" s="388">
        <f t="shared" si="252"/>
        <v>0</v>
      </c>
      <c r="S479" s="388">
        <f t="shared" si="252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53">C324*0.518</f>
        <v>0</v>
      </c>
      <c r="D480" s="439">
        <f t="shared" si="253"/>
        <v>0</v>
      </c>
      <c r="E480" s="438">
        <f t="shared" si="253"/>
        <v>0</v>
      </c>
      <c r="F480" s="438">
        <f t="shared" si="253"/>
        <v>0</v>
      </c>
      <c r="G480" s="438">
        <f t="shared" si="253"/>
        <v>6.8898222581055846</v>
      </c>
      <c r="H480" s="438">
        <f t="shared" si="253"/>
        <v>6.7949048424751295</v>
      </c>
      <c r="I480" s="438">
        <f t="shared" si="253"/>
        <v>0</v>
      </c>
      <c r="J480" s="438">
        <f t="shared" si="253"/>
        <v>0</v>
      </c>
      <c r="K480" s="438">
        <f t="shared" si="253"/>
        <v>0</v>
      </c>
      <c r="L480" s="438">
        <f t="shared" si="253"/>
        <v>0</v>
      </c>
      <c r="M480" s="438">
        <f t="shared" si="253"/>
        <v>0</v>
      </c>
      <c r="N480" s="370"/>
      <c r="O480" s="395" t="s">
        <v>246</v>
      </c>
      <c r="P480" s="396">
        <f>P324*0.518</f>
        <v>0</v>
      </c>
      <c r="Q480" s="396">
        <f t="shared" ref="Q480:S480" si="254">Q324*0.518</f>
        <v>0</v>
      </c>
      <c r="R480" s="396">
        <f t="shared" si="254"/>
        <v>0</v>
      </c>
      <c r="S480" s="396">
        <f t="shared" si="254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V14" sqref="V14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4" t="s">
        <v>88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0" t="s">
        <v>99</v>
      </c>
      <c r="C3" s="1161"/>
      <c r="D3" s="1161"/>
      <c r="E3" s="1161"/>
      <c r="F3" s="1162"/>
      <c r="G3" s="1156" t="s">
        <v>71</v>
      </c>
      <c r="H3" s="1157"/>
      <c r="I3" s="1163" t="s">
        <v>318</v>
      </c>
      <c r="J3" s="1158" t="s">
        <v>72</v>
      </c>
      <c r="K3" s="1159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4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80" t="s">
        <v>379</v>
      </c>
      <c r="C5" s="980" t="s">
        <v>379</v>
      </c>
      <c r="D5" s="980" t="s">
        <v>379</v>
      </c>
      <c r="E5" s="1104" t="s">
        <v>127</v>
      </c>
      <c r="F5" s="1105" t="s">
        <v>79</v>
      </c>
      <c r="G5" s="980" t="s">
        <v>379</v>
      </c>
      <c r="H5" s="818" t="s">
        <v>90</v>
      </c>
      <c r="I5" s="918"/>
      <c r="J5" s="980" t="s">
        <v>379</v>
      </c>
      <c r="K5" s="1091" t="s">
        <v>80</v>
      </c>
      <c r="L5" s="5"/>
    </row>
    <row r="6" spans="1:12" s="122" customFormat="1" ht="28.5" customHeight="1" thickBot="1">
      <c r="A6" s="79" t="s">
        <v>22</v>
      </c>
      <c r="B6" s="801">
        <v>6.298545917080828</v>
      </c>
      <c r="C6" s="802">
        <v>12159.35505227959</v>
      </c>
      <c r="D6" s="802">
        <v>12402.542153325183</v>
      </c>
      <c r="E6" s="1098">
        <v>-0.71195650391318044</v>
      </c>
      <c r="F6" s="1106">
        <v>-8.2802477963522101</v>
      </c>
      <c r="G6" s="803">
        <v>323.7665333999667</v>
      </c>
      <c r="H6" s="1098">
        <v>0.20970796114180798</v>
      </c>
      <c r="I6" s="803">
        <v>-12.305220101285547</v>
      </c>
      <c r="J6" s="804">
        <v>100</v>
      </c>
      <c r="K6" s="1092" t="s">
        <v>23</v>
      </c>
    </row>
    <row r="7" spans="1:12" s="122" customFormat="1" ht="25.5" customHeight="1">
      <c r="A7" s="905" t="s">
        <v>103</v>
      </c>
      <c r="B7" s="1010">
        <v>6.4810168655420997</v>
      </c>
      <c r="C7" s="1011">
        <v>12024.150028835063</v>
      </c>
      <c r="D7" s="1011">
        <v>12264.633029411765</v>
      </c>
      <c r="E7" s="1107">
        <v>1.8018728182792088E-2</v>
      </c>
      <c r="F7" s="1108">
        <v>-9.6565450261214636</v>
      </c>
      <c r="G7" s="805">
        <v>321.11111111111109</v>
      </c>
      <c r="H7" s="1099">
        <v>16.054935346558487</v>
      </c>
      <c r="I7" s="806">
        <v>33.333333333333329</v>
      </c>
      <c r="J7" s="806">
        <v>0.19990004997501248</v>
      </c>
      <c r="K7" s="1093">
        <v>6.8423618342756926E-2</v>
      </c>
    </row>
    <row r="8" spans="1:12" s="122" customFormat="1" ht="24" customHeight="1">
      <c r="A8" s="906" t="s">
        <v>104</v>
      </c>
      <c r="B8" s="1012">
        <v>6.7075250757514695</v>
      </c>
      <c r="C8" s="807">
        <v>12584.474813792625</v>
      </c>
      <c r="D8" s="807">
        <v>12836.164310068478</v>
      </c>
      <c r="E8" s="1109">
        <v>-0.86722362601383851</v>
      </c>
      <c r="F8" s="808">
        <v>-9.767343465821039</v>
      </c>
      <c r="G8" s="809">
        <v>359.41251238032356</v>
      </c>
      <c r="H8" s="1100">
        <v>0.67531147489673926</v>
      </c>
      <c r="I8" s="810">
        <v>-21.181368722352328</v>
      </c>
      <c r="J8" s="810">
        <v>33.638736187461824</v>
      </c>
      <c r="K8" s="1094">
        <v>-3.78822135052026</v>
      </c>
    </row>
    <row r="9" spans="1:12" s="122" customFormat="1" ht="24" customHeight="1">
      <c r="A9" s="906" t="s">
        <v>105</v>
      </c>
      <c r="B9" s="1012">
        <v>6.5554396948852096</v>
      </c>
      <c r="C9" s="807">
        <v>12299.136388152363</v>
      </c>
      <c r="D9" s="807">
        <v>12545.119115915411</v>
      </c>
      <c r="E9" s="1109">
        <v>-1.855350690550549</v>
      </c>
      <c r="F9" s="808">
        <v>-11.366250813517183</v>
      </c>
      <c r="G9" s="811">
        <v>388.71722710812207</v>
      </c>
      <c r="H9" s="1101">
        <v>-0.69928882273086534</v>
      </c>
      <c r="I9" s="812">
        <v>6.4427312775330394</v>
      </c>
      <c r="J9" s="812">
        <v>10.733522127824976</v>
      </c>
      <c r="K9" s="1095">
        <v>1.890514726188826</v>
      </c>
    </row>
    <row r="10" spans="1:12" s="122" customFormat="1" ht="24" customHeight="1">
      <c r="A10" s="906" t="s">
        <v>106</v>
      </c>
      <c r="B10" s="1056" t="s">
        <v>100</v>
      </c>
      <c r="C10" s="892" t="s">
        <v>100</v>
      </c>
      <c r="D10" s="892" t="s">
        <v>100</v>
      </c>
      <c r="E10" s="1102" t="s">
        <v>100</v>
      </c>
      <c r="F10" s="1110" t="s">
        <v>100</v>
      </c>
      <c r="G10" s="1009" t="s">
        <v>100</v>
      </c>
      <c r="H10" s="1102" t="s">
        <v>100</v>
      </c>
      <c r="I10" s="813" t="s">
        <v>100</v>
      </c>
      <c r="J10" s="885" t="s">
        <v>100</v>
      </c>
      <c r="K10" s="1096" t="s">
        <v>100</v>
      </c>
    </row>
    <row r="11" spans="1:12" s="122" customFormat="1" ht="24" customHeight="1">
      <c r="A11" s="906" t="s">
        <v>98</v>
      </c>
      <c r="B11" s="1012">
        <v>5.2255287431832551</v>
      </c>
      <c r="C11" s="807">
        <v>10730.038487029271</v>
      </c>
      <c r="D11" s="807">
        <v>10944.639256769857</v>
      </c>
      <c r="E11" s="1109">
        <v>0.98828868435255324</v>
      </c>
      <c r="F11" s="808">
        <v>-19.142465964925236</v>
      </c>
      <c r="G11" s="811">
        <v>286.055130338325</v>
      </c>
      <c r="H11" s="1101">
        <v>0.47077431225078115</v>
      </c>
      <c r="I11" s="812">
        <v>-8.0883602378929478</v>
      </c>
      <c r="J11" s="812">
        <v>30.034982508745628</v>
      </c>
      <c r="K11" s="1095">
        <v>1.3779899103817783</v>
      </c>
    </row>
    <row r="12" spans="1:12" s="122" customFormat="1" ht="24" customHeight="1" thickBot="1">
      <c r="A12" s="907" t="s">
        <v>107</v>
      </c>
      <c r="B12" s="1013">
        <v>6.7545740733058439</v>
      </c>
      <c r="C12" s="814">
        <v>13039.718288235219</v>
      </c>
      <c r="D12" s="814">
        <v>13300.512653999924</v>
      </c>
      <c r="E12" s="1111">
        <v>-0.50510281158649051</v>
      </c>
      <c r="F12" s="815" t="e">
        <v>#REF!</v>
      </c>
      <c r="G12" s="816">
        <v>293.717012901815</v>
      </c>
      <c r="H12" s="1103">
        <v>0.48600858335888736</v>
      </c>
      <c r="I12" s="817">
        <v>-10.718469347910972</v>
      </c>
      <c r="J12" s="817">
        <v>25.392859125992562</v>
      </c>
      <c r="K12" s="1097">
        <v>0.45129309560689634</v>
      </c>
    </row>
    <row r="13" spans="1:12" s="122" customFormat="1" ht="15">
      <c r="A13" s="1007"/>
      <c r="B13" s="1008"/>
    </row>
    <row r="14" spans="1:12" s="122" customFormat="1" ht="46.5" customHeight="1">
      <c r="A14" s="1155" t="s">
        <v>126</v>
      </c>
      <c r="B14" s="1155"/>
      <c r="C14" s="1155"/>
      <c r="D14" s="1155"/>
      <c r="E14" s="1155"/>
      <c r="F14" s="1155"/>
      <c r="G14" s="1155"/>
      <c r="H14" s="1155"/>
      <c r="I14" s="1155"/>
      <c r="J14" s="1155"/>
      <c r="K14" s="1155"/>
    </row>
    <row r="15" spans="1:12" s="122" customFormat="1" ht="33.75" customHeight="1">
      <c r="A15" s="1155" t="s">
        <v>346</v>
      </c>
      <c r="B15" s="1155"/>
      <c r="C15" s="1155"/>
      <c r="D15" s="1155"/>
      <c r="E15" s="1155"/>
      <c r="F15" s="1155"/>
      <c r="G15" s="1155"/>
      <c r="H15" s="1155"/>
      <c r="I15" s="1155"/>
      <c r="J15" s="1155"/>
      <c r="K15" s="1155"/>
    </row>
    <row r="16" spans="1:12" s="122" customFormat="1">
      <c r="A16" s="1155" t="s">
        <v>171</v>
      </c>
      <c r="B16" s="1155"/>
      <c r="C16" s="1155"/>
      <c r="D16" s="1155"/>
      <c r="E16" s="1155"/>
      <c r="F16" s="1155"/>
      <c r="G16" s="1155"/>
      <c r="H16" s="1155"/>
      <c r="I16" s="1155"/>
      <c r="J16" s="1155"/>
      <c r="K16" s="1155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5"/>
  <sheetViews>
    <sheetView showGridLines="0" topLeftCell="A31" workbookViewId="0">
      <selection activeCell="J57" sqref="J57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45" spans="1:1">
      <c r="A45" s="1055" t="s">
        <v>364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5" t="s">
        <v>87</v>
      </c>
      <c r="B1" s="1165"/>
      <c r="C1" s="1165"/>
      <c r="D1" s="1165"/>
      <c r="E1" s="1165"/>
      <c r="F1" s="1165"/>
      <c r="G1" s="1165"/>
      <c r="H1" s="1165"/>
      <c r="I1" s="1165"/>
      <c r="J1" s="1165"/>
      <c r="K1" s="147"/>
    </row>
    <row r="2" spans="1:11" ht="19.5" thickBot="1">
      <c r="A2" s="1179" t="s">
        <v>347</v>
      </c>
      <c r="B2" s="1180"/>
      <c r="C2" s="1180"/>
      <c r="D2" s="1180"/>
      <c r="E2" s="1180"/>
      <c r="F2" s="1180"/>
      <c r="G2" s="1180"/>
      <c r="H2" s="1180"/>
      <c r="I2" s="1180"/>
      <c r="J2" s="1181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4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80" t="s">
        <v>379</v>
      </c>
      <c r="C5" s="980" t="s">
        <v>379</v>
      </c>
      <c r="D5" s="980" t="s">
        <v>379</v>
      </c>
      <c r="E5" s="834" t="s">
        <v>70</v>
      </c>
      <c r="F5" s="980" t="s">
        <v>379</v>
      </c>
      <c r="G5" s="835" t="s">
        <v>94</v>
      </c>
      <c r="H5" s="836" t="s">
        <v>90</v>
      </c>
      <c r="I5" s="980" t="s">
        <v>379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6.3308680073965231</v>
      </c>
      <c r="C7" s="843">
        <v>12221.752910031899</v>
      </c>
      <c r="D7" s="844">
        <v>12466.187968232538</v>
      </c>
      <c r="E7" s="845">
        <v>-1.1727214526522107</v>
      </c>
      <c r="F7" s="846">
        <v>323.78731611974081</v>
      </c>
      <c r="G7" s="845">
        <v>-0.12247924953821263</v>
      </c>
      <c r="H7" s="845">
        <v>-9.4794673619517642</v>
      </c>
      <c r="I7" s="845">
        <v>100</v>
      </c>
      <c r="J7" s="847" t="s">
        <v>23</v>
      </c>
    </row>
    <row r="8" spans="1:11" ht="15">
      <c r="A8" s="848" t="s">
        <v>103</v>
      </c>
      <c r="B8" s="849">
        <v>6.539926088235295</v>
      </c>
      <c r="C8" s="850">
        <v>12133.443577430973</v>
      </c>
      <c r="D8" s="851">
        <v>12376.112448979593</v>
      </c>
      <c r="E8" s="852">
        <v>2.0461761703839803</v>
      </c>
      <c r="F8" s="853">
        <v>245</v>
      </c>
      <c r="G8" s="854">
        <v>-6.6038793586724935</v>
      </c>
      <c r="H8" s="854">
        <v>-76.470588235294116</v>
      </c>
      <c r="I8" s="854">
        <v>4.1148030038061931E-2</v>
      </c>
      <c r="J8" s="855">
        <v>-0.11715348779413846</v>
      </c>
    </row>
    <row r="9" spans="1:11" ht="15">
      <c r="A9" s="856" t="s">
        <v>104</v>
      </c>
      <c r="B9" s="857">
        <v>6.691572247784495</v>
      </c>
      <c r="C9" s="858">
        <v>12554.544554942766</v>
      </c>
      <c r="D9" s="859">
        <v>12805.635446041622</v>
      </c>
      <c r="E9" s="860">
        <v>-1.2858888864438414</v>
      </c>
      <c r="F9" s="861">
        <v>355.35149301143582</v>
      </c>
      <c r="G9" s="862">
        <v>-0.11877975831745928</v>
      </c>
      <c r="H9" s="862">
        <v>-20.70528967254408</v>
      </c>
      <c r="I9" s="862">
        <v>32.383499639954735</v>
      </c>
      <c r="J9" s="863">
        <v>-4.5845607008591216</v>
      </c>
    </row>
    <row r="10" spans="1:11" ht="15">
      <c r="A10" s="856" t="s">
        <v>105</v>
      </c>
      <c r="B10" s="857">
        <v>6.5514621951961018</v>
      </c>
      <c r="C10" s="858">
        <v>12291.673912187807</v>
      </c>
      <c r="D10" s="859">
        <v>12537.507390431563</v>
      </c>
      <c r="E10" s="860">
        <v>-2.1214363413847921</v>
      </c>
      <c r="F10" s="861">
        <v>390.30726837060701</v>
      </c>
      <c r="G10" s="862">
        <v>-0.57164289952700154</v>
      </c>
      <c r="H10" s="862">
        <v>8.7749782797567324</v>
      </c>
      <c r="I10" s="862">
        <v>12.879333401913385</v>
      </c>
      <c r="J10" s="863">
        <v>2.161389459274405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5.2613833922958975</v>
      </c>
      <c r="C12" s="858">
        <v>10803.661996500816</v>
      </c>
      <c r="D12" s="859">
        <v>11019.735236430832</v>
      </c>
      <c r="E12" s="860">
        <v>0.96857138924992536</v>
      </c>
      <c r="F12" s="861">
        <v>283.3710176991151</v>
      </c>
      <c r="G12" s="862">
        <v>0.43199622367437401</v>
      </c>
      <c r="H12" s="862">
        <v>-1.2021857923497268</v>
      </c>
      <c r="I12" s="862">
        <v>27.898364365805989</v>
      </c>
      <c r="J12" s="863">
        <v>2.3373251629006901</v>
      </c>
    </row>
    <row r="13" spans="1:11" ht="15.75" thickBot="1">
      <c r="A13" s="865" t="s">
        <v>107</v>
      </c>
      <c r="B13" s="866">
        <v>6.7901466860349764</v>
      </c>
      <c r="C13" s="867">
        <v>13108.391285781807</v>
      </c>
      <c r="D13" s="868">
        <v>13370.559111497443</v>
      </c>
      <c r="E13" s="869">
        <v>-0.80097918609319674</v>
      </c>
      <c r="F13" s="870">
        <v>295.87067178502878</v>
      </c>
      <c r="G13" s="871">
        <v>0.81213842794217206</v>
      </c>
      <c r="H13" s="871">
        <v>-8.788515406162464</v>
      </c>
      <c r="I13" s="871">
        <v>26.797654562287832</v>
      </c>
      <c r="J13" s="872">
        <v>0.20299956647816941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6.3390194729301159</v>
      </c>
      <c r="C15" s="874">
        <v>12237.489329980917</v>
      </c>
      <c r="D15" s="875">
        <v>12482.239116580537</v>
      </c>
      <c r="E15" s="845">
        <v>-0.61112001348114187</v>
      </c>
      <c r="F15" s="845">
        <v>324.35248773651017</v>
      </c>
      <c r="G15" s="845">
        <v>0.41436501124374103</v>
      </c>
      <c r="H15" s="845">
        <v>-13.326044703595723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6.9955598877288665</v>
      </c>
      <c r="C16" s="850">
        <v>12978.775301908843</v>
      </c>
      <c r="D16" s="851">
        <v>13238.350807947019</v>
      </c>
      <c r="E16" s="852">
        <v>6.5520395783966787</v>
      </c>
      <c r="F16" s="853">
        <v>251.66666666666666</v>
      </c>
      <c r="G16" s="854">
        <v>-15.171716415115533</v>
      </c>
      <c r="H16" s="854">
        <v>-33.333333333333329</v>
      </c>
      <c r="I16" s="854">
        <v>8.4092501751927118E-2</v>
      </c>
      <c r="J16" s="855">
        <v>-2.5236944312212822E-2</v>
      </c>
    </row>
    <row r="17" spans="1:10" ht="15">
      <c r="A17" s="856" t="s">
        <v>104</v>
      </c>
      <c r="B17" s="857">
        <v>6.7409000675233575</v>
      </c>
      <c r="C17" s="858">
        <v>12647.092059143259</v>
      </c>
      <c r="D17" s="859">
        <v>12900.033900326123</v>
      </c>
      <c r="E17" s="860">
        <v>-0.69104097566008571</v>
      </c>
      <c r="F17" s="861">
        <v>362.49487467265243</v>
      </c>
      <c r="G17" s="862">
        <v>1.3675425579660827</v>
      </c>
      <c r="H17" s="862">
        <v>-19.609022556390979</v>
      </c>
      <c r="I17" s="862">
        <v>37.463209530483532</v>
      </c>
      <c r="J17" s="863">
        <v>-2.9279469321014986</v>
      </c>
    </row>
    <row r="18" spans="1:10" ht="15">
      <c r="A18" s="856" t="s">
        <v>105</v>
      </c>
      <c r="B18" s="857">
        <v>6.547491459887965</v>
      </c>
      <c r="C18" s="858">
        <v>12284.22412736954</v>
      </c>
      <c r="D18" s="859">
        <v>12529.908609916931</v>
      </c>
      <c r="E18" s="860">
        <v>-1.7702617726147052</v>
      </c>
      <c r="F18" s="861">
        <v>382.8075409836066</v>
      </c>
      <c r="G18" s="862">
        <v>-1.197332232730433</v>
      </c>
      <c r="H18" s="862">
        <v>4.8109965635738838</v>
      </c>
      <c r="I18" s="862">
        <v>8.5494043447792567</v>
      </c>
      <c r="J18" s="863">
        <v>1.4794334992982074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5.2931901271107185</v>
      </c>
      <c r="C20" s="858">
        <v>10868.973566962461</v>
      </c>
      <c r="D20" s="859">
        <v>11086.35303830171</v>
      </c>
      <c r="E20" s="860">
        <v>0.26225639355817632</v>
      </c>
      <c r="F20" s="861">
        <v>287.23830297219558</v>
      </c>
      <c r="G20" s="862">
        <v>0.68368982827960634</v>
      </c>
      <c r="H20" s="862">
        <v>-12.683131017161992</v>
      </c>
      <c r="I20" s="862">
        <v>29.236159775753329</v>
      </c>
      <c r="J20" s="863">
        <v>0.21526570383884547</v>
      </c>
    </row>
    <row r="21" spans="1:10" ht="15.75" thickBot="1">
      <c r="A21" s="865" t="s">
        <v>107</v>
      </c>
      <c r="B21" s="866">
        <v>6.7556639705323738</v>
      </c>
      <c r="C21" s="867">
        <v>13041.822336935085</v>
      </c>
      <c r="D21" s="868">
        <v>13302.658783673787</v>
      </c>
      <c r="E21" s="869">
        <v>-0.6732777130762615</v>
      </c>
      <c r="F21" s="870">
        <v>290.40028409090911</v>
      </c>
      <c r="G21" s="871">
        <v>-0.12469258554669602</v>
      </c>
      <c r="H21" s="871">
        <v>-8.6663207057602492</v>
      </c>
      <c r="I21" s="871">
        <v>24.667133847231955</v>
      </c>
      <c r="J21" s="872">
        <v>1.2584846732766586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5.7696636237037708</v>
      </c>
      <c r="C23" s="874">
        <v>11138.346763906893</v>
      </c>
      <c r="D23" s="875">
        <v>11361.113699185031</v>
      </c>
      <c r="E23" s="845">
        <v>0.92833638280060748</v>
      </c>
      <c r="F23" s="845">
        <v>319.90994854202404</v>
      </c>
      <c r="G23" s="845">
        <v>1.3544920082254708</v>
      </c>
      <c r="H23" s="845">
        <v>-25.208466966003851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257</v>
      </c>
      <c r="D24" s="851" t="s">
        <v>257</v>
      </c>
      <c r="E24" s="852" t="s">
        <v>100</v>
      </c>
      <c r="F24" s="853" t="s">
        <v>257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6.5461066127764349</v>
      </c>
      <c r="C25" s="858">
        <v>12281.625915152787</v>
      </c>
      <c r="D25" s="859">
        <v>12527.258433455843</v>
      </c>
      <c r="E25" s="860">
        <v>1.3096697819468641</v>
      </c>
      <c r="F25" s="861">
        <v>378.86118143459919</v>
      </c>
      <c r="G25" s="862">
        <v>4.0271193214950509</v>
      </c>
      <c r="H25" s="862">
        <v>-39.386189258312022</v>
      </c>
      <c r="I25" s="862">
        <v>20.325900514579757</v>
      </c>
      <c r="J25" s="863">
        <v>-4.7542790877294152</v>
      </c>
    </row>
    <row r="26" spans="1:10" ht="15">
      <c r="A26" s="856" t="s">
        <v>105</v>
      </c>
      <c r="B26" s="857">
        <v>6.6856628599100913</v>
      </c>
      <c r="C26" s="858">
        <v>12543.457523283472</v>
      </c>
      <c r="D26" s="859">
        <v>12794.326673749141</v>
      </c>
      <c r="E26" s="860">
        <v>1.5646591057561308</v>
      </c>
      <c r="F26" s="861">
        <v>410.96197183098593</v>
      </c>
      <c r="G26" s="862">
        <v>1.8207327841928749</v>
      </c>
      <c r="H26" s="862">
        <v>-14.457831325301203</v>
      </c>
      <c r="I26" s="862">
        <v>6.0891938250428819</v>
      </c>
      <c r="J26" s="863">
        <v>0.76526823171382485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57">
        <v>4.8464637174414182</v>
      </c>
      <c r="C28" s="858">
        <v>9951.6708777031181</v>
      </c>
      <c r="D28" s="859">
        <v>10150.704295257181</v>
      </c>
      <c r="E28" s="860">
        <v>2.6876500797330434</v>
      </c>
      <c r="F28" s="861">
        <v>293.9993453355155</v>
      </c>
      <c r="G28" s="862">
        <v>0.60011388330232251</v>
      </c>
      <c r="H28" s="862">
        <v>-18.641810918774969</v>
      </c>
      <c r="I28" s="862">
        <v>52.401372212692962</v>
      </c>
      <c r="J28" s="863">
        <v>4.2294671453420918</v>
      </c>
    </row>
    <row r="29" spans="1:10" ht="15.75" thickBot="1">
      <c r="A29" s="865" t="s">
        <v>107</v>
      </c>
      <c r="B29" s="866">
        <v>6.2693714985148583</v>
      </c>
      <c r="C29" s="867">
        <v>12103.033780916714</v>
      </c>
      <c r="D29" s="868">
        <v>12345.094456535049</v>
      </c>
      <c r="E29" s="869">
        <v>0.60438710972977339</v>
      </c>
      <c r="F29" s="870">
        <v>295.66334841628964</v>
      </c>
      <c r="G29" s="871">
        <v>2.1770821784826087</v>
      </c>
      <c r="H29" s="871">
        <v>-33.633633633633636</v>
      </c>
      <c r="I29" s="871">
        <v>18.953687821612348</v>
      </c>
      <c r="J29" s="872">
        <v>-2.4061582335512171</v>
      </c>
    </row>
    <row r="30" spans="1:10" ht="15">
      <c r="A30" s="981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7" t="s">
        <v>60</v>
      </c>
      <c r="C33" s="1168"/>
      <c r="D33" s="1168"/>
      <c r="E33" s="1168"/>
      <c r="F33" s="1168"/>
      <c r="G33" s="1168"/>
      <c r="H33" s="1169"/>
    </row>
    <row r="34" spans="1:8" ht="15.75">
      <c r="A34" s="655" t="s">
        <v>63</v>
      </c>
      <c r="B34" s="1173" t="s">
        <v>64</v>
      </c>
      <c r="C34" s="1174"/>
      <c r="D34" s="1174"/>
      <c r="E34" s="1174"/>
      <c r="F34" s="1174"/>
      <c r="G34" s="1174"/>
      <c r="H34" s="1175"/>
    </row>
    <row r="35" spans="1:8" ht="15.75">
      <c r="A35" s="652" t="s">
        <v>65</v>
      </c>
      <c r="B35" s="1170" t="s">
        <v>66</v>
      </c>
      <c r="C35" s="1171"/>
      <c r="D35" s="1171"/>
      <c r="E35" s="1171"/>
      <c r="F35" s="1171"/>
      <c r="G35" s="1171"/>
      <c r="H35" s="1172"/>
    </row>
    <row r="36" spans="1:8" ht="16.5" thickBot="1">
      <c r="A36" s="653" t="s">
        <v>67</v>
      </c>
      <c r="B36" s="1176" t="s">
        <v>62</v>
      </c>
      <c r="C36" s="1177"/>
      <c r="D36" s="1177"/>
      <c r="E36" s="1177"/>
      <c r="F36" s="1177"/>
      <c r="G36" s="1177"/>
      <c r="H36" s="1178"/>
    </row>
    <row r="37" spans="1:8">
      <c r="A37" s="1166"/>
      <c r="B37" s="116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topLeftCell="A127" zoomScale="90" zoomScaleNormal="90" workbookViewId="0">
      <selection activeCell="O163" sqref="O163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380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9" t="s">
        <v>8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90"/>
    </row>
    <row r="4" spans="1:12">
      <c r="A4" s="27"/>
      <c r="B4" s="28"/>
      <c r="C4" s="3" t="s">
        <v>9</v>
      </c>
      <c r="D4" s="3"/>
      <c r="E4" s="3"/>
      <c r="F4" s="3"/>
      <c r="G4" s="1081"/>
      <c r="H4" s="1184" t="s">
        <v>10</v>
      </c>
      <c r="I4" s="1185"/>
      <c r="J4" s="1114" t="s">
        <v>11</v>
      </c>
      <c r="K4" s="1082" t="s">
        <v>12</v>
      </c>
      <c r="L4" s="1083"/>
    </row>
    <row r="5" spans="1:12" ht="15.75">
      <c r="A5" s="29" t="s">
        <v>13</v>
      </c>
      <c r="B5" s="30" t="s">
        <v>14</v>
      </c>
      <c r="C5" s="1084" t="s">
        <v>40</v>
      </c>
      <c r="D5" s="1084"/>
      <c r="E5" s="1085" t="s">
        <v>41</v>
      </c>
      <c r="F5" s="1086"/>
      <c r="G5" s="1115"/>
      <c r="H5" s="1182" t="s">
        <v>15</v>
      </c>
      <c r="I5" s="1183"/>
      <c r="J5" s="1116" t="s">
        <v>16</v>
      </c>
      <c r="K5" s="1087" t="s">
        <v>17</v>
      </c>
      <c r="L5" s="1088"/>
    </row>
    <row r="6" spans="1:12" ht="26.25" thickBot="1">
      <c r="A6" s="31" t="s">
        <v>18</v>
      </c>
      <c r="B6" s="32" t="s">
        <v>19</v>
      </c>
      <c r="C6" s="980" t="s">
        <v>379</v>
      </c>
      <c r="D6" s="980" t="s">
        <v>376</v>
      </c>
      <c r="E6" s="1074" t="s">
        <v>379</v>
      </c>
      <c r="F6" s="1075" t="s">
        <v>376</v>
      </c>
      <c r="G6" s="1113" t="s">
        <v>20</v>
      </c>
      <c r="H6" s="81" t="s">
        <v>379</v>
      </c>
      <c r="I6" s="994" t="s">
        <v>20</v>
      </c>
      <c r="J6" s="1117" t="s">
        <v>20</v>
      </c>
      <c r="K6" s="1076" t="s">
        <v>379</v>
      </c>
      <c r="L6" s="1118" t="s">
        <v>21</v>
      </c>
    </row>
    <row r="7" spans="1:12" ht="15" thickBot="1">
      <c r="A7" s="33" t="s">
        <v>22</v>
      </c>
      <c r="B7" s="34" t="s">
        <v>23</v>
      </c>
      <c r="C7" s="82">
        <v>12159.35505227959</v>
      </c>
      <c r="D7" s="82">
        <v>12246.54512681461</v>
      </c>
      <c r="E7" s="83">
        <v>12402.542153325183</v>
      </c>
      <c r="F7" s="704">
        <v>12491.476029350903</v>
      </c>
      <c r="G7" s="1119">
        <v>-0.71195650391318044</v>
      </c>
      <c r="H7" s="84">
        <v>323.7665333999667</v>
      </c>
      <c r="I7" s="84">
        <v>0.20970796114180798</v>
      </c>
      <c r="J7" s="85">
        <v>-12.305220101285547</v>
      </c>
      <c r="K7" s="84">
        <v>100</v>
      </c>
      <c r="L7" s="1120" t="s">
        <v>23</v>
      </c>
    </row>
    <row r="8" spans="1:12" ht="15" thickBot="1">
      <c r="A8" s="35"/>
      <c r="B8" s="36"/>
      <c r="C8" s="86"/>
      <c r="D8" s="86"/>
      <c r="E8" s="86"/>
      <c r="F8" s="86"/>
      <c r="G8" s="1121"/>
      <c r="H8" s="85"/>
      <c r="I8" s="85"/>
      <c r="J8" s="85"/>
      <c r="K8" s="85"/>
      <c r="L8" s="1122"/>
    </row>
    <row r="9" spans="1:12" ht="15">
      <c r="A9" s="37" t="s">
        <v>108</v>
      </c>
      <c r="B9" s="38" t="s">
        <v>23</v>
      </c>
      <c r="C9" s="87">
        <v>12024.150028835063</v>
      </c>
      <c r="D9" s="87">
        <v>12021.983820248313</v>
      </c>
      <c r="E9" s="88">
        <v>12264.633029411765</v>
      </c>
      <c r="F9" s="88">
        <v>12262.42349665328</v>
      </c>
      <c r="G9" s="1123">
        <v>1.8018728182792088E-2</v>
      </c>
      <c r="H9" s="89">
        <v>321.11111111111109</v>
      </c>
      <c r="I9" s="89">
        <v>16.054935346558487</v>
      </c>
      <c r="J9" s="89">
        <v>33.333333333333329</v>
      </c>
      <c r="K9" s="89">
        <v>0.19990004997501248</v>
      </c>
      <c r="L9" s="1124">
        <v>6.8423618342756926E-2</v>
      </c>
    </row>
    <row r="10" spans="1:12" ht="15">
      <c r="A10" s="46" t="s">
        <v>109</v>
      </c>
      <c r="B10" s="90" t="s">
        <v>23</v>
      </c>
      <c r="C10" s="91">
        <v>12584.474813792625</v>
      </c>
      <c r="D10" s="91">
        <v>12694.565081398214</v>
      </c>
      <c r="E10" s="92">
        <v>12836.164310068478</v>
      </c>
      <c r="F10" s="92">
        <v>12948.456383026178</v>
      </c>
      <c r="G10" s="1125">
        <v>-0.86722362601383851</v>
      </c>
      <c r="H10" s="93">
        <v>359.41251238032356</v>
      </c>
      <c r="I10" s="93">
        <v>0.67531147489673926</v>
      </c>
      <c r="J10" s="93">
        <v>-21.181368722352328</v>
      </c>
      <c r="K10" s="93">
        <v>33.638736187461824</v>
      </c>
      <c r="L10" s="1126">
        <v>-3.78822135052026</v>
      </c>
    </row>
    <row r="11" spans="1:12" ht="15">
      <c r="A11" s="39" t="s">
        <v>110</v>
      </c>
      <c r="B11" s="40" t="s">
        <v>23</v>
      </c>
      <c r="C11" s="94">
        <v>12299.136388152363</v>
      </c>
      <c r="D11" s="94">
        <v>12531.642300104681</v>
      </c>
      <c r="E11" s="95">
        <v>12545.119115915411</v>
      </c>
      <c r="F11" s="95">
        <v>12782.275146106775</v>
      </c>
      <c r="G11" s="1127">
        <v>-1.855350690550549</v>
      </c>
      <c r="H11" s="96">
        <v>388.71722710812207</v>
      </c>
      <c r="I11" s="96">
        <v>-0.69928882273086534</v>
      </c>
      <c r="J11" s="96">
        <v>6.4427312775330394</v>
      </c>
      <c r="K11" s="96">
        <v>10.733522127824976</v>
      </c>
      <c r="L11" s="1128">
        <v>1.890514726188826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7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8" t="s">
        <v>100</v>
      </c>
    </row>
    <row r="13" spans="1:12" ht="15">
      <c r="A13" s="39" t="s">
        <v>98</v>
      </c>
      <c r="B13" s="40" t="s">
        <v>23</v>
      </c>
      <c r="C13" s="94">
        <v>10730.038487029271</v>
      </c>
      <c r="D13" s="94">
        <v>10625.032493190289</v>
      </c>
      <c r="E13" s="95">
        <v>10944.639256769857</v>
      </c>
      <c r="F13" s="95">
        <v>10837.533143054095</v>
      </c>
      <c r="G13" s="1127">
        <v>0.98828868435255324</v>
      </c>
      <c r="H13" s="96">
        <v>286.055130338325</v>
      </c>
      <c r="I13" s="96">
        <v>0.47077431225078115</v>
      </c>
      <c r="J13" s="96">
        <v>-8.0883602378929478</v>
      </c>
      <c r="K13" s="96">
        <v>30.034982508745628</v>
      </c>
      <c r="L13" s="1128">
        <v>1.3779899103817783</v>
      </c>
    </row>
    <row r="14" spans="1:12" ht="15.75" thickBot="1">
      <c r="A14" s="41" t="s">
        <v>112</v>
      </c>
      <c r="B14" s="42" t="s">
        <v>23</v>
      </c>
      <c r="C14" s="97">
        <v>13039.718288235219</v>
      </c>
      <c r="D14" s="97">
        <v>13105.916641676509</v>
      </c>
      <c r="E14" s="98">
        <v>13300.512653999924</v>
      </c>
      <c r="F14" s="98">
        <v>13368.034974510039</v>
      </c>
      <c r="G14" s="1129">
        <v>-0.50510281158649051</v>
      </c>
      <c r="H14" s="99">
        <v>293.717012901815</v>
      </c>
      <c r="I14" s="99">
        <v>0.48600858335888736</v>
      </c>
      <c r="J14" s="99">
        <v>-10.718469347910972</v>
      </c>
      <c r="K14" s="99">
        <v>25.392859125992562</v>
      </c>
      <c r="L14" s="1130">
        <v>0.45129309560689634</v>
      </c>
    </row>
    <row r="15" spans="1:12" ht="15" thickBot="1">
      <c r="A15" s="35"/>
      <c r="B15" s="43"/>
      <c r="C15" s="86"/>
      <c r="D15" s="86"/>
      <c r="E15" s="86"/>
      <c r="F15" s="86"/>
      <c r="G15" s="1121"/>
      <c r="H15" s="85"/>
      <c r="I15" s="85"/>
      <c r="J15" s="85"/>
      <c r="K15" s="85"/>
      <c r="L15" s="1122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31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32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7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3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7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3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>
        <v>13065.514711752963</v>
      </c>
      <c r="E19" s="106" t="s">
        <v>257</v>
      </c>
      <c r="F19" s="106">
        <v>13326.825005988023</v>
      </c>
      <c r="G19" s="1134" t="s">
        <v>100</v>
      </c>
      <c r="H19" s="107" t="s">
        <v>257</v>
      </c>
      <c r="I19" s="107" t="s">
        <v>100</v>
      </c>
      <c r="J19" s="108" t="s">
        <v>100</v>
      </c>
      <c r="K19" s="108" t="s">
        <v>100</v>
      </c>
      <c r="L19" s="1135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127" t="s">
        <v>100</v>
      </c>
      <c r="H20" s="96" t="s">
        <v>257</v>
      </c>
      <c r="I20" s="96" t="s">
        <v>100</v>
      </c>
      <c r="J20" s="104" t="s">
        <v>100</v>
      </c>
      <c r="K20" s="104" t="s">
        <v>100</v>
      </c>
      <c r="L20" s="1133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257</v>
      </c>
      <c r="E21" s="95" t="s">
        <v>257</v>
      </c>
      <c r="F21" s="95" t="s">
        <v>257</v>
      </c>
      <c r="G21" s="1127" t="s">
        <v>100</v>
      </c>
      <c r="H21" s="96" t="s">
        <v>257</v>
      </c>
      <c r="I21" s="96" t="s">
        <v>100</v>
      </c>
      <c r="J21" s="104" t="s">
        <v>100</v>
      </c>
      <c r="K21" s="104" t="s">
        <v>100</v>
      </c>
      <c r="L21" s="1133" t="s">
        <v>100</v>
      </c>
    </row>
    <row r="22" spans="1:12" ht="14.25">
      <c r="A22" s="44" t="s">
        <v>113</v>
      </c>
      <c r="B22" s="48" t="s">
        <v>31</v>
      </c>
      <c r="C22" s="105">
        <v>12015.328076262762</v>
      </c>
      <c r="D22" s="105">
        <v>11721.518891142665</v>
      </c>
      <c r="E22" s="106">
        <v>12255.634637788018</v>
      </c>
      <c r="F22" s="106">
        <v>11955.949268965518</v>
      </c>
      <c r="G22" s="1134">
        <v>2.5065794616610164</v>
      </c>
      <c r="H22" s="107">
        <v>328.78787878787881</v>
      </c>
      <c r="I22" s="107">
        <v>24.699743704674226</v>
      </c>
      <c r="J22" s="108">
        <v>50</v>
      </c>
      <c r="K22" s="108">
        <v>0.18324171247709478</v>
      </c>
      <c r="L22" s="1135">
        <v>7.6112768184145807E-2</v>
      </c>
    </row>
    <row r="23" spans="1:12" ht="15">
      <c r="A23" s="46" t="s">
        <v>113</v>
      </c>
      <c r="B23" s="47" t="s">
        <v>32</v>
      </c>
      <c r="C23" s="94">
        <v>11838.122549019608</v>
      </c>
      <c r="D23" s="94">
        <v>11883.904901960785</v>
      </c>
      <c r="E23" s="95">
        <v>12074.885</v>
      </c>
      <c r="F23" s="95">
        <v>12121.583000000001</v>
      </c>
      <c r="G23" s="1127">
        <v>-0.38524671241371955</v>
      </c>
      <c r="H23" s="96">
        <v>340</v>
      </c>
      <c r="I23" s="96">
        <v>20.652945351312983</v>
      </c>
      <c r="J23" s="104">
        <v>70.588235294117652</v>
      </c>
      <c r="K23" s="104">
        <v>0.1610305958132045</v>
      </c>
      <c r="L23" s="1133">
        <v>7.8249138859562112E-2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>
        <v>10951.391176470588</v>
      </c>
      <c r="E24" s="110" t="s">
        <v>257</v>
      </c>
      <c r="F24" s="110">
        <v>11170.419</v>
      </c>
      <c r="G24" s="1150" t="s">
        <v>100</v>
      </c>
      <c r="H24" s="104" t="s">
        <v>257</v>
      </c>
      <c r="I24" s="104" t="s">
        <v>100</v>
      </c>
      <c r="J24" s="104" t="s">
        <v>100</v>
      </c>
      <c r="K24" s="104" t="s">
        <v>100</v>
      </c>
      <c r="L24" s="1133" t="s">
        <v>100</v>
      </c>
    </row>
    <row r="25" spans="1:12" ht="15" thickBot="1">
      <c r="A25" s="35"/>
      <c r="B25" s="43"/>
      <c r="C25" s="86"/>
      <c r="D25" s="86"/>
      <c r="E25" s="86"/>
      <c r="F25" s="86"/>
      <c r="G25" s="1121"/>
      <c r="H25" s="85"/>
      <c r="I25" s="85"/>
      <c r="J25" s="85"/>
      <c r="K25" s="85"/>
      <c r="L25" s="1122"/>
    </row>
    <row r="26" spans="1:12" ht="14.25">
      <c r="A26" s="44" t="s">
        <v>114</v>
      </c>
      <c r="B26" s="45" t="s">
        <v>25</v>
      </c>
      <c r="C26" s="100">
        <v>13121.295821707934</v>
      </c>
      <c r="D26" s="100">
        <v>13300.153796635494</v>
      </c>
      <c r="E26" s="101">
        <v>13383.721738142092</v>
      </c>
      <c r="F26" s="101">
        <v>13566.156872568205</v>
      </c>
      <c r="G26" s="1131">
        <v>-1.3447812533777332</v>
      </c>
      <c r="H26" s="102">
        <v>428.41017441860464</v>
      </c>
      <c r="I26" s="102">
        <v>1.3522812396477051</v>
      </c>
      <c r="J26" s="103">
        <v>-16.301703163017031</v>
      </c>
      <c r="K26" s="103">
        <v>1.9101560330945639</v>
      </c>
      <c r="L26" s="1132">
        <v>-9.1207426196437291E-2</v>
      </c>
    </row>
    <row r="27" spans="1:12" ht="15">
      <c r="A27" s="46" t="s">
        <v>114</v>
      </c>
      <c r="B27" s="47" t="s">
        <v>26</v>
      </c>
      <c r="C27" s="94">
        <v>13197.245098039217</v>
      </c>
      <c r="D27" s="94">
        <v>13335.045098039214</v>
      </c>
      <c r="E27" s="95">
        <v>13461.19</v>
      </c>
      <c r="F27" s="95">
        <v>13601.745999999999</v>
      </c>
      <c r="G27" s="1127">
        <v>-1.0333673338702154</v>
      </c>
      <c r="H27" s="96">
        <v>412.3</v>
      </c>
      <c r="I27" s="96">
        <v>-0.24195499637067508</v>
      </c>
      <c r="J27" s="104">
        <v>-7.511737089201878</v>
      </c>
      <c r="K27" s="104">
        <v>1.0938974956965961</v>
      </c>
      <c r="L27" s="1133">
        <v>5.669453504213573E-2</v>
      </c>
    </row>
    <row r="28" spans="1:12" ht="15">
      <c r="A28" s="46" t="s">
        <v>114</v>
      </c>
      <c r="B28" s="47" t="s">
        <v>27</v>
      </c>
      <c r="C28" s="94">
        <v>13028.044117647058</v>
      </c>
      <c r="D28" s="94">
        <v>13264.309803921567</v>
      </c>
      <c r="E28" s="95">
        <v>13288.605</v>
      </c>
      <c r="F28" s="95">
        <v>13529.596</v>
      </c>
      <c r="G28" s="1127">
        <v>-1.7812135706047689</v>
      </c>
      <c r="H28" s="96">
        <v>450</v>
      </c>
      <c r="I28" s="96">
        <v>3.9741219963031398</v>
      </c>
      <c r="J28" s="104">
        <v>-25.757575757575758</v>
      </c>
      <c r="K28" s="104">
        <v>0.81625853739796772</v>
      </c>
      <c r="L28" s="1133">
        <v>-0.14790196123857302</v>
      </c>
    </row>
    <row r="29" spans="1:12" ht="14.25">
      <c r="A29" s="44" t="s">
        <v>114</v>
      </c>
      <c r="B29" s="48" t="s">
        <v>28</v>
      </c>
      <c r="C29" s="105">
        <v>12824.699558679151</v>
      </c>
      <c r="D29" s="105">
        <v>12950.288390167139</v>
      </c>
      <c r="E29" s="106">
        <v>13081.193549852735</v>
      </c>
      <c r="F29" s="106">
        <v>13209.294157970482</v>
      </c>
      <c r="G29" s="1134">
        <v>-0.96977633010354014</v>
      </c>
      <c r="H29" s="107">
        <v>385.55706756109254</v>
      </c>
      <c r="I29" s="107">
        <v>1.7566326813234117</v>
      </c>
      <c r="J29" s="108">
        <v>-21.51184655885671</v>
      </c>
      <c r="K29" s="108">
        <v>11.588650119384752</v>
      </c>
      <c r="L29" s="1135">
        <v>-1.3593436476584895</v>
      </c>
    </row>
    <row r="30" spans="1:12" ht="15">
      <c r="A30" s="46" t="s">
        <v>114</v>
      </c>
      <c r="B30" s="47" t="s">
        <v>29</v>
      </c>
      <c r="C30" s="94">
        <v>12826.047058823529</v>
      </c>
      <c r="D30" s="94">
        <v>13014.582352941175</v>
      </c>
      <c r="E30" s="95">
        <v>13082.567999999999</v>
      </c>
      <c r="F30" s="95">
        <v>13274.874</v>
      </c>
      <c r="G30" s="1127">
        <v>-1.4486465182268433</v>
      </c>
      <c r="H30" s="96">
        <v>370.8</v>
      </c>
      <c r="I30" s="96">
        <v>0.54229934924078094</v>
      </c>
      <c r="J30" s="104">
        <v>-25.724637681159418</v>
      </c>
      <c r="K30" s="104">
        <v>5.6915986451218838</v>
      </c>
      <c r="L30" s="1133">
        <v>-1.0283078605267324</v>
      </c>
    </row>
    <row r="31" spans="1:12" ht="15">
      <c r="A31" s="46" t="s">
        <v>114</v>
      </c>
      <c r="B31" s="47" t="s">
        <v>30</v>
      </c>
      <c r="C31" s="94">
        <v>12823.493137254902</v>
      </c>
      <c r="D31" s="94">
        <v>12884.651960784313</v>
      </c>
      <c r="E31" s="95">
        <v>13079.963</v>
      </c>
      <c r="F31" s="95">
        <v>13142.344999999999</v>
      </c>
      <c r="G31" s="1127">
        <v>-0.47466414859752665</v>
      </c>
      <c r="H31" s="96">
        <v>399.8</v>
      </c>
      <c r="I31" s="96">
        <v>2.565418163160595</v>
      </c>
      <c r="J31" s="104">
        <v>-16.966379984362785</v>
      </c>
      <c r="K31" s="104">
        <v>5.8970514742628684</v>
      </c>
      <c r="L31" s="1133">
        <v>-0.33103578713175619</v>
      </c>
    </row>
    <row r="32" spans="1:12" ht="14.25">
      <c r="A32" s="44" t="s">
        <v>114</v>
      </c>
      <c r="B32" s="48" t="s">
        <v>31</v>
      </c>
      <c r="C32" s="105">
        <v>12362.160407782652</v>
      </c>
      <c r="D32" s="105">
        <v>12462.364886437321</v>
      </c>
      <c r="E32" s="106">
        <v>12609.403615938305</v>
      </c>
      <c r="F32" s="106">
        <v>12711.612184166068</v>
      </c>
      <c r="G32" s="1134">
        <v>-0.80405669042575689</v>
      </c>
      <c r="H32" s="107">
        <v>337.82473118279563</v>
      </c>
      <c r="I32" s="107">
        <v>-0.21054353423310321</v>
      </c>
      <c r="J32" s="108">
        <v>-21.425476603119584</v>
      </c>
      <c r="K32" s="108">
        <v>20.139930034982509</v>
      </c>
      <c r="L32" s="1135">
        <v>-2.3376702766653281</v>
      </c>
    </row>
    <row r="33" spans="1:12" ht="15">
      <c r="A33" s="46" t="s">
        <v>114</v>
      </c>
      <c r="B33" s="47" t="s">
        <v>32</v>
      </c>
      <c r="C33" s="94">
        <v>12356.216666666667</v>
      </c>
      <c r="D33" s="94">
        <v>12447.046078431371</v>
      </c>
      <c r="E33" s="95">
        <v>12603.341</v>
      </c>
      <c r="F33" s="95">
        <v>12695.986999999999</v>
      </c>
      <c r="G33" s="1127">
        <v>-0.72972664512021657</v>
      </c>
      <c r="H33" s="96">
        <v>330.4</v>
      </c>
      <c r="I33" s="96">
        <v>-0.18126888217523346</v>
      </c>
      <c r="J33" s="104">
        <v>-22.149046793760832</v>
      </c>
      <c r="K33" s="104">
        <v>12.47154200677439</v>
      </c>
      <c r="L33" s="1133">
        <v>-1.5769581880055075</v>
      </c>
    </row>
    <row r="34" spans="1:12" ht="15.75" thickBot="1">
      <c r="A34" s="49" t="s">
        <v>114</v>
      </c>
      <c r="B34" s="50" t="s">
        <v>33</v>
      </c>
      <c r="C34" s="109">
        <v>12371.287254901961</v>
      </c>
      <c r="D34" s="109">
        <v>12486.438235294117</v>
      </c>
      <c r="E34" s="110">
        <v>12618.713</v>
      </c>
      <c r="F34" s="110">
        <v>12736.166999999999</v>
      </c>
      <c r="G34" s="1136">
        <v>-0.92220838498741198</v>
      </c>
      <c r="H34" s="104">
        <v>349.9</v>
      </c>
      <c r="I34" s="104">
        <v>-0.34178296781545009</v>
      </c>
      <c r="J34" s="104">
        <v>-20.21952628538417</v>
      </c>
      <c r="K34" s="104">
        <v>7.6683880282081187</v>
      </c>
      <c r="L34" s="1133">
        <v>-0.76071208865982065</v>
      </c>
    </row>
    <row r="35" spans="1:12" ht="15.75" thickBot="1">
      <c r="A35" s="51"/>
      <c r="B35" s="52"/>
      <c r="C35" s="111"/>
      <c r="D35" s="111"/>
      <c r="E35" s="111"/>
      <c r="F35" s="111"/>
      <c r="G35" s="1137"/>
      <c r="H35" s="112"/>
      <c r="I35" s="112"/>
      <c r="J35" s="112"/>
      <c r="K35" s="112"/>
      <c r="L35" s="1138"/>
    </row>
    <row r="36" spans="1:12" ht="15">
      <c r="A36" s="46" t="s">
        <v>115</v>
      </c>
      <c r="B36" s="53" t="s">
        <v>30</v>
      </c>
      <c r="C36" s="113">
        <v>12533.283333333333</v>
      </c>
      <c r="D36" s="113">
        <v>12706.334313725489</v>
      </c>
      <c r="E36" s="114">
        <v>12783.949000000001</v>
      </c>
      <c r="F36" s="114">
        <v>12960.460999999999</v>
      </c>
      <c r="G36" s="1139">
        <v>-1.3619268635583164</v>
      </c>
      <c r="H36" s="115">
        <v>410.3</v>
      </c>
      <c r="I36" s="115">
        <v>-0.26737967914437677</v>
      </c>
      <c r="J36" s="115">
        <v>0.38119440914866581</v>
      </c>
      <c r="K36" s="115">
        <v>4.3866955411183293</v>
      </c>
      <c r="L36" s="1140">
        <v>0.55440103391147311</v>
      </c>
    </row>
    <row r="37" spans="1:12" ht="15.75" thickBot="1">
      <c r="A37" s="49" t="s">
        <v>115</v>
      </c>
      <c r="B37" s="50" t="s">
        <v>33</v>
      </c>
      <c r="C37" s="109">
        <v>12121.534313725489</v>
      </c>
      <c r="D37" s="109">
        <v>12385.522549019608</v>
      </c>
      <c r="E37" s="110">
        <v>12363.965</v>
      </c>
      <c r="F37" s="110">
        <v>12633.233</v>
      </c>
      <c r="G37" s="1136">
        <v>-2.1314258986595123</v>
      </c>
      <c r="H37" s="104">
        <v>373.8</v>
      </c>
      <c r="I37" s="104">
        <v>-0.63795853269536873</v>
      </c>
      <c r="J37" s="104">
        <v>11.078717201166182</v>
      </c>
      <c r="K37" s="104">
        <v>6.3468265867066469</v>
      </c>
      <c r="L37" s="1133">
        <v>1.336113692277352</v>
      </c>
    </row>
    <row r="38" spans="1:12" ht="15.75" thickBot="1">
      <c r="A38" s="51"/>
      <c r="B38" s="52"/>
      <c r="C38" s="111"/>
      <c r="D38" s="111"/>
      <c r="E38" s="111"/>
      <c r="F38" s="111"/>
      <c r="G38" s="1137"/>
      <c r="H38" s="112"/>
      <c r="I38" s="112"/>
      <c r="J38" s="112"/>
      <c r="K38" s="112"/>
      <c r="L38" s="1138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31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32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7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3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7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33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7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3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4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5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7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33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7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3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4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5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7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3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6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3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7"/>
      <c r="H49" s="112"/>
      <c r="I49" s="112"/>
      <c r="J49" s="112"/>
      <c r="K49" s="112"/>
      <c r="L49" s="1138"/>
    </row>
    <row r="50" spans="1:12" ht="14.25">
      <c r="A50" s="44" t="s">
        <v>24</v>
      </c>
      <c r="B50" s="45" t="s">
        <v>28</v>
      </c>
      <c r="C50" s="100">
        <v>11634.805505552045</v>
      </c>
      <c r="D50" s="100">
        <v>11630.935018451704</v>
      </c>
      <c r="E50" s="101">
        <v>11867.501615663086</v>
      </c>
      <c r="F50" s="101">
        <v>11863.553718820738</v>
      </c>
      <c r="G50" s="1131">
        <v>3.3277523210310286E-2</v>
      </c>
      <c r="H50" s="102">
        <v>346.74414225941428</v>
      </c>
      <c r="I50" s="102">
        <v>-1.2253657367810529</v>
      </c>
      <c r="J50" s="103">
        <v>-7.3643410852713185</v>
      </c>
      <c r="K50" s="103">
        <v>2.6542284413348884</v>
      </c>
      <c r="L50" s="1132">
        <v>0.14156774791844917</v>
      </c>
    </row>
    <row r="51" spans="1:12" ht="15">
      <c r="A51" s="46" t="s">
        <v>24</v>
      </c>
      <c r="B51" s="47" t="s">
        <v>29</v>
      </c>
      <c r="C51" s="94">
        <v>11468.37156862745</v>
      </c>
      <c r="D51" s="94">
        <v>11409.990196078432</v>
      </c>
      <c r="E51" s="95">
        <v>11697.739</v>
      </c>
      <c r="F51" s="95">
        <v>11638.19</v>
      </c>
      <c r="G51" s="1127">
        <v>0.51166891071548981</v>
      </c>
      <c r="H51" s="96">
        <v>317.89999999999998</v>
      </c>
      <c r="I51" s="96">
        <v>-3.9867109634551632</v>
      </c>
      <c r="J51" s="104">
        <v>32.8125</v>
      </c>
      <c r="K51" s="104">
        <v>0.47198622910766835</v>
      </c>
      <c r="L51" s="1133">
        <v>0.16033839116454407</v>
      </c>
    </row>
    <row r="52" spans="1:12" ht="15">
      <c r="A52" s="46" t="s">
        <v>24</v>
      </c>
      <c r="B52" s="47" t="s">
        <v>30</v>
      </c>
      <c r="C52" s="94">
        <v>11637.22156862745</v>
      </c>
      <c r="D52" s="94">
        <v>11615.684313725489</v>
      </c>
      <c r="E52" s="95">
        <v>11869.966</v>
      </c>
      <c r="F52" s="95">
        <v>11847.998</v>
      </c>
      <c r="G52" s="1127">
        <v>0.18541529125849582</v>
      </c>
      <c r="H52" s="96">
        <v>342.7</v>
      </c>
      <c r="I52" s="96">
        <v>-1.4380212827149841</v>
      </c>
      <c r="J52" s="104">
        <v>-18.88111888111888</v>
      </c>
      <c r="K52" s="104">
        <v>1.288244766505636</v>
      </c>
      <c r="L52" s="1133">
        <v>-0.10443150930270062</v>
      </c>
    </row>
    <row r="53" spans="1:12" ht="15">
      <c r="A53" s="46" t="s">
        <v>24</v>
      </c>
      <c r="B53" s="47" t="s">
        <v>35</v>
      </c>
      <c r="C53" s="94">
        <v>11707.5</v>
      </c>
      <c r="D53" s="94">
        <v>11733.367647058823</v>
      </c>
      <c r="E53" s="95">
        <v>11941.65</v>
      </c>
      <c r="F53" s="95">
        <v>11968.035</v>
      </c>
      <c r="G53" s="1127">
        <v>-0.22046225633531499</v>
      </c>
      <c r="H53" s="96">
        <v>367.8</v>
      </c>
      <c r="I53" s="96">
        <v>0.90534979423868622</v>
      </c>
      <c r="J53" s="104">
        <v>-3.0120481927710845</v>
      </c>
      <c r="K53" s="104">
        <v>0.89399744572158357</v>
      </c>
      <c r="L53" s="1133">
        <v>8.5660866056604945E-2</v>
      </c>
    </row>
    <row r="54" spans="1:12" ht="14.25">
      <c r="A54" s="44" t="s">
        <v>24</v>
      </c>
      <c r="B54" s="48" t="s">
        <v>31</v>
      </c>
      <c r="C54" s="105">
        <v>11082.323100516016</v>
      </c>
      <c r="D54" s="105">
        <v>11055.284023615854</v>
      </c>
      <c r="E54" s="106">
        <v>11303.969562526336</v>
      </c>
      <c r="F54" s="106">
        <v>11276.389704088171</v>
      </c>
      <c r="G54" s="1134">
        <v>0.24458057199074737</v>
      </c>
      <c r="H54" s="107">
        <v>300.75483870967741</v>
      </c>
      <c r="I54" s="107">
        <v>0.2103266157309219</v>
      </c>
      <c r="J54" s="108">
        <v>-4.6153846153846159</v>
      </c>
      <c r="K54" s="108">
        <v>19.279249264256759</v>
      </c>
      <c r="L54" s="1135">
        <v>1.5542784812415675</v>
      </c>
    </row>
    <row r="55" spans="1:12" ht="15">
      <c r="A55" s="46" t="s">
        <v>24</v>
      </c>
      <c r="B55" s="47" t="s">
        <v>32</v>
      </c>
      <c r="C55" s="94">
        <v>10902.963725490195</v>
      </c>
      <c r="D55" s="94">
        <v>10747.923529411764</v>
      </c>
      <c r="E55" s="95">
        <v>11121.022999999999</v>
      </c>
      <c r="F55" s="95">
        <v>10962.882</v>
      </c>
      <c r="G55" s="1127">
        <v>1.4425130180184338</v>
      </c>
      <c r="H55" s="96">
        <v>276.39999999999998</v>
      </c>
      <c r="I55" s="96">
        <v>0.50909090909090082</v>
      </c>
      <c r="J55" s="104">
        <v>-0.88495575221238942</v>
      </c>
      <c r="K55" s="104">
        <v>6.8410239324782056</v>
      </c>
      <c r="L55" s="1133">
        <v>0.78823857992658919</v>
      </c>
    </row>
    <row r="56" spans="1:12" ht="15">
      <c r="A56" s="46" t="s">
        <v>24</v>
      </c>
      <c r="B56" s="47" t="s">
        <v>33</v>
      </c>
      <c r="C56" s="94">
        <v>11143.335294117645</v>
      </c>
      <c r="D56" s="94">
        <v>11159.686274509802</v>
      </c>
      <c r="E56" s="95">
        <v>11366.201999999999</v>
      </c>
      <c r="F56" s="95">
        <v>11382.88</v>
      </c>
      <c r="G56" s="1127">
        <v>-0.14651828008377393</v>
      </c>
      <c r="H56" s="96">
        <v>308.39999999999998</v>
      </c>
      <c r="I56" s="96">
        <v>0.48875855327468232</v>
      </c>
      <c r="J56" s="104">
        <v>-8.7647360328036914</v>
      </c>
      <c r="K56" s="104">
        <v>9.8839469154311725</v>
      </c>
      <c r="L56" s="1133">
        <v>0.38355735563374438</v>
      </c>
    </row>
    <row r="57" spans="1:12" ht="15">
      <c r="A57" s="46" t="s">
        <v>24</v>
      </c>
      <c r="B57" s="47" t="s">
        <v>36</v>
      </c>
      <c r="C57" s="94">
        <v>11260.52549019608</v>
      </c>
      <c r="D57" s="94">
        <v>11335.517647058823</v>
      </c>
      <c r="E57" s="95">
        <v>11485.736000000001</v>
      </c>
      <c r="F57" s="95">
        <v>11562.227999999999</v>
      </c>
      <c r="G57" s="1127">
        <v>-0.6615679953725041</v>
      </c>
      <c r="H57" s="96">
        <v>336.4</v>
      </c>
      <c r="I57" s="96">
        <v>-1.2041116005873782</v>
      </c>
      <c r="J57" s="104">
        <v>3.1390134529147984</v>
      </c>
      <c r="K57" s="104">
        <v>2.554278416347382</v>
      </c>
      <c r="L57" s="1133">
        <v>0.38248254568123485</v>
      </c>
    </row>
    <row r="58" spans="1:12" ht="14.25">
      <c r="A58" s="44" t="s">
        <v>24</v>
      </c>
      <c r="B58" s="48" t="s">
        <v>37</v>
      </c>
      <c r="C58" s="105">
        <v>9195.1449636334237</v>
      </c>
      <c r="D58" s="105">
        <v>9002.4872752185674</v>
      </c>
      <c r="E58" s="106">
        <v>9379.0478629060926</v>
      </c>
      <c r="F58" s="106">
        <v>9182.5370207229389</v>
      </c>
      <c r="G58" s="1134">
        <v>2.1400495499192931</v>
      </c>
      <c r="H58" s="107">
        <v>231.19102124742975</v>
      </c>
      <c r="I58" s="107">
        <v>-0.55419480625758555</v>
      </c>
      <c r="J58" s="108">
        <v>-15.615962984384039</v>
      </c>
      <c r="K58" s="108">
        <v>8.1015048031539791</v>
      </c>
      <c r="L58" s="1135">
        <v>-0.31785631877823661</v>
      </c>
    </row>
    <row r="59" spans="1:12" ht="15">
      <c r="A59" s="46" t="s">
        <v>24</v>
      </c>
      <c r="B59" s="47" t="s">
        <v>102</v>
      </c>
      <c r="C59" s="116">
        <v>8626.6784313725493</v>
      </c>
      <c r="D59" s="116">
        <v>8397.0705882352941</v>
      </c>
      <c r="E59" s="117">
        <v>8799.2119999999995</v>
      </c>
      <c r="F59" s="117">
        <v>8565.0120000000006</v>
      </c>
      <c r="G59" s="1141">
        <v>2.7343802904187275</v>
      </c>
      <c r="H59" s="118">
        <v>214.3</v>
      </c>
      <c r="I59" s="118">
        <v>-0.27919962773382706</v>
      </c>
      <c r="J59" s="119">
        <v>-10.612691466083151</v>
      </c>
      <c r="K59" s="119">
        <v>4.5366205785995897</v>
      </c>
      <c r="L59" s="1142">
        <v>8.5899892974345526E-2</v>
      </c>
    </row>
    <row r="60" spans="1:12" ht="15">
      <c r="A60" s="46" t="s">
        <v>24</v>
      </c>
      <c r="B60" s="47" t="s">
        <v>38</v>
      </c>
      <c r="C60" s="94">
        <v>9526.5137254901965</v>
      </c>
      <c r="D60" s="94">
        <v>9376.6166666666668</v>
      </c>
      <c r="E60" s="95">
        <v>9717.0439999999999</v>
      </c>
      <c r="F60" s="95">
        <v>9564.1489999999994</v>
      </c>
      <c r="G60" s="1127">
        <v>1.5986262865624581</v>
      </c>
      <c r="H60" s="96">
        <v>241.7</v>
      </c>
      <c r="I60" s="96">
        <v>-0.45304777594729106</v>
      </c>
      <c r="J60" s="104">
        <v>-23.028391167192432</v>
      </c>
      <c r="K60" s="104">
        <v>2.7097562329946139</v>
      </c>
      <c r="L60" s="1133">
        <v>-0.37750516162946113</v>
      </c>
    </row>
    <row r="61" spans="1:12" ht="15.75" thickBot="1">
      <c r="A61" s="46" t="s">
        <v>24</v>
      </c>
      <c r="B61" s="47" t="s">
        <v>39</v>
      </c>
      <c r="C61" s="94">
        <v>10560.816666666666</v>
      </c>
      <c r="D61" s="94">
        <v>10191.024509803921</v>
      </c>
      <c r="E61" s="95">
        <v>10772.032999999999</v>
      </c>
      <c r="F61" s="95">
        <v>10394.844999999999</v>
      </c>
      <c r="G61" s="1127">
        <v>3.628606294754757</v>
      </c>
      <c r="H61" s="96">
        <v>287.5</v>
      </c>
      <c r="I61" s="96">
        <v>0.84180989126621431</v>
      </c>
      <c r="J61" s="104">
        <v>-14.917127071823206</v>
      </c>
      <c r="K61" s="104">
        <v>0.8551279915597757</v>
      </c>
      <c r="L61" s="1133">
        <v>-2.6251050123122566E-2</v>
      </c>
    </row>
    <row r="62" spans="1:12" ht="15.75" thickBot="1">
      <c r="A62" s="51"/>
      <c r="B62" s="52"/>
      <c r="C62" s="111"/>
      <c r="D62" s="111"/>
      <c r="E62" s="111"/>
      <c r="F62" s="111"/>
      <c r="G62" s="1137"/>
      <c r="H62" s="112"/>
      <c r="I62" s="112"/>
      <c r="J62" s="112"/>
      <c r="K62" s="112"/>
      <c r="L62" s="1138"/>
    </row>
    <row r="63" spans="1:12" ht="14.25">
      <c r="A63" s="44" t="s">
        <v>117</v>
      </c>
      <c r="B63" s="48" t="s">
        <v>25</v>
      </c>
      <c r="C63" s="105">
        <v>13766.373764843089</v>
      </c>
      <c r="D63" s="105">
        <v>13814.984956815317</v>
      </c>
      <c r="E63" s="106">
        <v>14041.701240139952</v>
      </c>
      <c r="F63" s="106">
        <v>14091.284655951624</v>
      </c>
      <c r="G63" s="1134">
        <v>-0.35187292729006142</v>
      </c>
      <c r="H63" s="107">
        <v>346.74705882352947</v>
      </c>
      <c r="I63" s="107">
        <v>6.9390067671250055E-2</v>
      </c>
      <c r="J63" s="108">
        <v>0</v>
      </c>
      <c r="K63" s="108">
        <v>1.5103559331445389</v>
      </c>
      <c r="L63" s="1135">
        <v>0.18585262188626062</v>
      </c>
    </row>
    <row r="64" spans="1:12" ht="15">
      <c r="A64" s="46" t="s">
        <v>117</v>
      </c>
      <c r="B64" s="47" t="s">
        <v>26</v>
      </c>
      <c r="C64" s="94">
        <v>13316.27156862745</v>
      </c>
      <c r="D64" s="94">
        <v>13599.985294117647</v>
      </c>
      <c r="E64" s="95">
        <v>13582.597</v>
      </c>
      <c r="F64" s="95">
        <v>13871.985000000001</v>
      </c>
      <c r="G64" s="1127">
        <v>-2.0861325902529511</v>
      </c>
      <c r="H64" s="96">
        <v>326.5</v>
      </c>
      <c r="I64" s="96">
        <v>-2.1282973621103185</v>
      </c>
      <c r="J64" s="104">
        <v>3.6363636363636362</v>
      </c>
      <c r="K64" s="104">
        <v>0.31650841246043643</v>
      </c>
      <c r="L64" s="1133">
        <v>4.8686051728064006E-2</v>
      </c>
    </row>
    <row r="65" spans="1:12" ht="15">
      <c r="A65" s="46" t="s">
        <v>117</v>
      </c>
      <c r="B65" s="47" t="s">
        <v>27</v>
      </c>
      <c r="C65" s="94">
        <v>13846.184313725491</v>
      </c>
      <c r="D65" s="94">
        <v>13858.356862745097</v>
      </c>
      <c r="E65" s="95">
        <v>14123.108</v>
      </c>
      <c r="F65" s="95">
        <v>14135.523999999999</v>
      </c>
      <c r="G65" s="1127">
        <v>-8.7835442110241246E-2</v>
      </c>
      <c r="H65" s="96">
        <v>345.3</v>
      </c>
      <c r="I65" s="96">
        <v>2.3111111111111144</v>
      </c>
      <c r="J65" s="104">
        <v>5.2238805970149249</v>
      </c>
      <c r="K65" s="104">
        <v>0.78294186240213215</v>
      </c>
      <c r="L65" s="1133">
        <v>0.13042920170871575</v>
      </c>
    </row>
    <row r="66" spans="1:12" ht="15">
      <c r="A66" s="46" t="s">
        <v>117</v>
      </c>
      <c r="B66" s="47" t="s">
        <v>34</v>
      </c>
      <c r="C66" s="94">
        <v>13932.562745098039</v>
      </c>
      <c r="D66" s="94">
        <v>13879.63725490196</v>
      </c>
      <c r="E66" s="95">
        <v>14211.214</v>
      </c>
      <c r="F66" s="95">
        <v>14157.23</v>
      </c>
      <c r="G66" s="1127">
        <v>0.38131753174879818</v>
      </c>
      <c r="H66" s="96">
        <v>365.1</v>
      </c>
      <c r="I66" s="96">
        <v>-1.2175324675324675</v>
      </c>
      <c r="J66" s="104">
        <v>-10.843373493975903</v>
      </c>
      <c r="K66" s="104">
        <v>0.41090565828197012</v>
      </c>
      <c r="L66" s="1133">
        <v>6.7373684494808073E-3</v>
      </c>
    </row>
    <row r="67" spans="1:12" ht="14.25">
      <c r="A67" s="44" t="s">
        <v>117</v>
      </c>
      <c r="B67" s="48" t="s">
        <v>28</v>
      </c>
      <c r="C67" s="105">
        <v>13411.366822882441</v>
      </c>
      <c r="D67" s="105">
        <v>13498.341632947269</v>
      </c>
      <c r="E67" s="106">
        <v>13679.594159340089</v>
      </c>
      <c r="F67" s="106">
        <v>13768.308465606215</v>
      </c>
      <c r="G67" s="1134">
        <v>-0.64433700398082416</v>
      </c>
      <c r="H67" s="107">
        <v>308.75784992017032</v>
      </c>
      <c r="I67" s="107">
        <v>-0.18466131529519439</v>
      </c>
      <c r="J67" s="108">
        <v>-11.784037558685446</v>
      </c>
      <c r="K67" s="108">
        <v>10.433672052862459</v>
      </c>
      <c r="L67" s="1135">
        <v>6.1642446317854649E-2</v>
      </c>
    </row>
    <row r="68" spans="1:12" ht="15">
      <c r="A68" s="46" t="s">
        <v>117</v>
      </c>
      <c r="B68" s="47" t="s">
        <v>29</v>
      </c>
      <c r="C68" s="94">
        <v>13194.815686274509</v>
      </c>
      <c r="D68" s="94">
        <v>13324.485294117647</v>
      </c>
      <c r="E68" s="95">
        <v>13458.712</v>
      </c>
      <c r="F68" s="95">
        <v>13590.975</v>
      </c>
      <c r="G68" s="1127">
        <v>-0.97316785587495247</v>
      </c>
      <c r="H68" s="96">
        <v>278.8</v>
      </c>
      <c r="I68" s="96">
        <v>-2.3467600700525355</v>
      </c>
      <c r="J68" s="104">
        <v>-4</v>
      </c>
      <c r="K68" s="104">
        <v>1.8657337997667833</v>
      </c>
      <c r="L68" s="1133">
        <v>0.16140968601532246</v>
      </c>
    </row>
    <row r="69" spans="1:12" ht="15">
      <c r="A69" s="46" t="s">
        <v>117</v>
      </c>
      <c r="B69" s="47" t="s">
        <v>30</v>
      </c>
      <c r="C69" s="94">
        <v>13461.692156862744</v>
      </c>
      <c r="D69" s="94">
        <v>13543.328431372549</v>
      </c>
      <c r="E69" s="95">
        <v>13730.925999999999</v>
      </c>
      <c r="F69" s="95">
        <v>13814.195</v>
      </c>
      <c r="G69" s="1127">
        <v>-0.60277851876276711</v>
      </c>
      <c r="H69" s="96">
        <v>307.60000000000002</v>
      </c>
      <c r="I69" s="96">
        <v>0.42442050277506083</v>
      </c>
      <c r="J69" s="104">
        <v>-16.444792482380581</v>
      </c>
      <c r="K69" s="104">
        <v>5.9248153700927313</v>
      </c>
      <c r="L69" s="1133">
        <v>-0.29353289636617053</v>
      </c>
    </row>
    <row r="70" spans="1:12" ht="15">
      <c r="A70" s="46" t="s">
        <v>117</v>
      </c>
      <c r="B70" s="47" t="s">
        <v>35</v>
      </c>
      <c r="C70" s="94">
        <v>13435.187254901961</v>
      </c>
      <c r="D70" s="94">
        <v>13497.006862745098</v>
      </c>
      <c r="E70" s="95">
        <v>13703.891</v>
      </c>
      <c r="F70" s="95">
        <v>13766.947</v>
      </c>
      <c r="G70" s="1127">
        <v>-0.45802457146090919</v>
      </c>
      <c r="H70" s="96">
        <v>332.5</v>
      </c>
      <c r="I70" s="96">
        <v>-0.32973621103118184</v>
      </c>
      <c r="J70" s="104">
        <v>-5.3677932405566597</v>
      </c>
      <c r="K70" s="104">
        <v>2.6431228830029427</v>
      </c>
      <c r="L70" s="1133">
        <v>0.19376565666870071</v>
      </c>
    </row>
    <row r="71" spans="1:12" ht="14.25">
      <c r="A71" s="44" t="s">
        <v>117</v>
      </c>
      <c r="B71" s="48" t="s">
        <v>31</v>
      </c>
      <c r="C71" s="105">
        <v>12614.85993080447</v>
      </c>
      <c r="D71" s="105">
        <v>12668.551648083019</v>
      </c>
      <c r="E71" s="106">
        <v>12867.157129420561</v>
      </c>
      <c r="F71" s="106">
        <v>12921.92268104468</v>
      </c>
      <c r="G71" s="1134">
        <v>-0.42381890819123658</v>
      </c>
      <c r="H71" s="107">
        <v>276.09277456647402</v>
      </c>
      <c r="I71" s="107">
        <v>0.93421304177317266</v>
      </c>
      <c r="J71" s="108">
        <v>-10.955882352941176</v>
      </c>
      <c r="K71" s="108">
        <v>13.448831139985561</v>
      </c>
      <c r="L71" s="1135">
        <v>0.20379802740277952</v>
      </c>
    </row>
    <row r="72" spans="1:12" ht="15">
      <c r="A72" s="46" t="s">
        <v>117</v>
      </c>
      <c r="B72" s="47" t="s">
        <v>32</v>
      </c>
      <c r="C72" s="94">
        <v>12359.503921568627</v>
      </c>
      <c r="D72" s="94">
        <v>12498.61862745098</v>
      </c>
      <c r="E72" s="95">
        <v>12606.694</v>
      </c>
      <c r="F72" s="95">
        <v>12748.591</v>
      </c>
      <c r="G72" s="1127">
        <v>-1.1130406489627038</v>
      </c>
      <c r="H72" s="96">
        <v>248.3</v>
      </c>
      <c r="I72" s="96">
        <v>-0.6799999999999955</v>
      </c>
      <c r="J72" s="104">
        <v>-25.294117647058822</v>
      </c>
      <c r="K72" s="104">
        <v>3.5260147703925813</v>
      </c>
      <c r="L72" s="1133">
        <v>-0.61305807728953843</v>
      </c>
    </row>
    <row r="73" spans="1:12" ht="15">
      <c r="A73" s="46" t="s">
        <v>117</v>
      </c>
      <c r="B73" s="47" t="s">
        <v>33</v>
      </c>
      <c r="C73" s="94">
        <v>12704.994117647058</v>
      </c>
      <c r="D73" s="94">
        <v>12760.882352941177</v>
      </c>
      <c r="E73" s="95">
        <v>12959.093999999999</v>
      </c>
      <c r="F73" s="95">
        <v>13016.1</v>
      </c>
      <c r="G73" s="1127">
        <v>-0.43796528914191829</v>
      </c>
      <c r="H73" s="96">
        <v>280.60000000000002</v>
      </c>
      <c r="I73" s="96">
        <v>0.50143266475645931</v>
      </c>
      <c r="J73" s="96">
        <v>-8.1011017498379783</v>
      </c>
      <c r="K73" s="96">
        <v>7.8738408573491032</v>
      </c>
      <c r="L73" s="1128">
        <v>0.36020626443909087</v>
      </c>
    </row>
    <row r="74" spans="1:12" ht="15.75" thickBot="1">
      <c r="A74" s="56" t="s">
        <v>117</v>
      </c>
      <c r="B74" s="57" t="s">
        <v>36</v>
      </c>
      <c r="C74" s="97">
        <v>12653.788235294118</v>
      </c>
      <c r="D74" s="97">
        <v>12632.228431372549</v>
      </c>
      <c r="E74" s="98">
        <v>12906.864</v>
      </c>
      <c r="F74" s="98">
        <v>12884.873</v>
      </c>
      <c r="G74" s="1129">
        <v>0.17067300546928157</v>
      </c>
      <c r="H74" s="99">
        <v>306.60000000000002</v>
      </c>
      <c r="I74" s="99">
        <v>-0.45454545454544715</v>
      </c>
      <c r="J74" s="99">
        <v>12.844036697247708</v>
      </c>
      <c r="K74" s="99">
        <v>2.048975512243878</v>
      </c>
      <c r="L74" s="1130">
        <v>0.4566498402532273</v>
      </c>
    </row>
    <row r="75" spans="1:12">
      <c r="A75" s="4"/>
      <c r="B75" s="4"/>
      <c r="C75" s="1077"/>
      <c r="D75" s="1077"/>
      <c r="E75" s="1077"/>
      <c r="F75" s="1077"/>
      <c r="G75" s="1078"/>
      <c r="H75" s="1078"/>
      <c r="I75" s="1078"/>
      <c r="J75" s="1078"/>
      <c r="K75" s="1078"/>
      <c r="L75" s="80"/>
    </row>
    <row r="76" spans="1:12" ht="13.5" thickBot="1">
      <c r="G76" s="80"/>
      <c r="H76" s="80"/>
      <c r="I76" s="80"/>
      <c r="J76" s="80"/>
      <c r="K76" s="80"/>
      <c r="L76" s="1143"/>
    </row>
    <row r="77" spans="1:12" ht="21" thickBot="1">
      <c r="A77" s="1089" t="s">
        <v>340</v>
      </c>
      <c r="B77" s="1079"/>
      <c r="C77" s="1079"/>
      <c r="D77" s="1079"/>
      <c r="E77" s="1079"/>
      <c r="F77" s="1079"/>
      <c r="G77" s="1080"/>
      <c r="H77" s="1080"/>
      <c r="I77" s="1080"/>
      <c r="J77" s="1080"/>
      <c r="K77" s="1080"/>
      <c r="L77" s="1144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81"/>
      <c r="H78" s="1184" t="s">
        <v>10</v>
      </c>
      <c r="I78" s="1185"/>
      <c r="J78" s="1114" t="s">
        <v>11</v>
      </c>
      <c r="K78" s="1082" t="s">
        <v>12</v>
      </c>
      <c r="L78" s="1083"/>
    </row>
    <row r="79" spans="1:12" ht="15.75">
      <c r="A79" s="29" t="s">
        <v>13</v>
      </c>
      <c r="B79" s="30" t="s">
        <v>14</v>
      </c>
      <c r="C79" s="1084" t="s">
        <v>40</v>
      </c>
      <c r="D79" s="1084" t="s">
        <v>40</v>
      </c>
      <c r="E79" s="1085" t="s">
        <v>41</v>
      </c>
      <c r="F79" s="1086"/>
      <c r="G79" s="1115"/>
      <c r="H79" s="1182" t="s">
        <v>15</v>
      </c>
      <c r="I79" s="1183"/>
      <c r="J79" s="1116" t="s">
        <v>16</v>
      </c>
      <c r="K79" s="1087" t="s">
        <v>17</v>
      </c>
      <c r="L79" s="1088"/>
    </row>
    <row r="80" spans="1:12" ht="26.25" thickBot="1">
      <c r="A80" s="31" t="s">
        <v>18</v>
      </c>
      <c r="B80" s="32" t="s">
        <v>19</v>
      </c>
      <c r="C80" s="980" t="s">
        <v>379</v>
      </c>
      <c r="D80" s="980" t="s">
        <v>376</v>
      </c>
      <c r="E80" s="1074" t="s">
        <v>379</v>
      </c>
      <c r="F80" s="1075" t="s">
        <v>376</v>
      </c>
      <c r="G80" s="1113" t="s">
        <v>20</v>
      </c>
      <c r="H80" s="81" t="s">
        <v>379</v>
      </c>
      <c r="I80" s="994" t="s">
        <v>20</v>
      </c>
      <c r="J80" s="1117" t="s">
        <v>20</v>
      </c>
      <c r="K80" s="1076" t="s">
        <v>379</v>
      </c>
      <c r="L80" s="1118" t="s">
        <v>21</v>
      </c>
    </row>
    <row r="81" spans="1:12" ht="15" thickBot="1">
      <c r="A81" s="33" t="s">
        <v>22</v>
      </c>
      <c r="B81" s="34" t="s">
        <v>23</v>
      </c>
      <c r="C81" s="82">
        <v>12221.752910031899</v>
      </c>
      <c r="D81" s="82">
        <v>12366.780801493489</v>
      </c>
      <c r="E81" s="83">
        <v>12466.187968232538</v>
      </c>
      <c r="F81" s="704">
        <v>12614.116417523359</v>
      </c>
      <c r="G81" s="1119">
        <v>-1.1727214526522107</v>
      </c>
      <c r="H81" s="84">
        <v>323.78731611974081</v>
      </c>
      <c r="I81" s="84">
        <v>-0.12247924953821263</v>
      </c>
      <c r="J81" s="85">
        <v>-9.4794673619517642</v>
      </c>
      <c r="K81" s="84">
        <v>100</v>
      </c>
      <c r="L81" s="1120" t="s">
        <v>23</v>
      </c>
    </row>
    <row r="82" spans="1:12" ht="15" thickBot="1">
      <c r="A82" s="35"/>
      <c r="B82" s="36"/>
      <c r="C82" s="86"/>
      <c r="D82" s="86"/>
      <c r="E82" s="86"/>
      <c r="F82" s="86"/>
      <c r="G82" s="1121"/>
      <c r="H82" s="85"/>
      <c r="I82" s="85"/>
      <c r="J82" s="85"/>
      <c r="K82" s="85"/>
      <c r="L82" s="1122"/>
    </row>
    <row r="83" spans="1:12" ht="15">
      <c r="A83" s="37" t="s">
        <v>108</v>
      </c>
      <c r="B83" s="38" t="s">
        <v>23</v>
      </c>
      <c r="C83" s="87">
        <v>12133.443577430973</v>
      </c>
      <c r="D83" s="87">
        <v>11890.150158269587</v>
      </c>
      <c r="E83" s="88">
        <v>12376.112448979593</v>
      </c>
      <c r="F83" s="88">
        <v>12127.95316143498</v>
      </c>
      <c r="G83" s="1123">
        <v>2.0461761703839803</v>
      </c>
      <c r="H83" s="89">
        <v>245</v>
      </c>
      <c r="I83" s="89">
        <v>-6.6038793586724935</v>
      </c>
      <c r="J83" s="89">
        <v>-76.470588235294116</v>
      </c>
      <c r="K83" s="89">
        <v>4.1148030038061931E-2</v>
      </c>
      <c r="L83" s="1124">
        <v>-0.11715348779413846</v>
      </c>
    </row>
    <row r="84" spans="1:12" ht="15">
      <c r="A84" s="46" t="s">
        <v>109</v>
      </c>
      <c r="B84" s="90" t="s">
        <v>23</v>
      </c>
      <c r="C84" s="91">
        <v>12554.544554942766</v>
      </c>
      <c r="D84" s="91">
        <v>12718.084996480997</v>
      </c>
      <c r="E84" s="92">
        <v>12805.635446041622</v>
      </c>
      <c r="F84" s="92">
        <v>12972.446696410618</v>
      </c>
      <c r="G84" s="1125">
        <v>-1.2858888864438414</v>
      </c>
      <c r="H84" s="93">
        <v>355.35149301143582</v>
      </c>
      <c r="I84" s="93">
        <v>-0.11877975831745928</v>
      </c>
      <c r="J84" s="93">
        <v>-20.70528967254408</v>
      </c>
      <c r="K84" s="93">
        <v>32.383499639954735</v>
      </c>
      <c r="L84" s="1126">
        <v>-4.5845607008591216</v>
      </c>
    </row>
    <row r="85" spans="1:12" ht="15">
      <c r="A85" s="39" t="s">
        <v>110</v>
      </c>
      <c r="B85" s="40" t="s">
        <v>23</v>
      </c>
      <c r="C85" s="94">
        <v>12291.673912187807</v>
      </c>
      <c r="D85" s="94">
        <v>12558.085706140113</v>
      </c>
      <c r="E85" s="95">
        <v>12537.507390431563</v>
      </c>
      <c r="F85" s="95">
        <v>12809.247420262915</v>
      </c>
      <c r="G85" s="1127">
        <v>-2.1214363413847921</v>
      </c>
      <c r="H85" s="96">
        <v>390.30726837060701</v>
      </c>
      <c r="I85" s="96">
        <v>-0.57164289952700154</v>
      </c>
      <c r="J85" s="96">
        <v>8.7749782797567324</v>
      </c>
      <c r="K85" s="96">
        <v>12.879333401913385</v>
      </c>
      <c r="L85" s="1128">
        <v>2.161389459274405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7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8" t="s">
        <v>100</v>
      </c>
    </row>
    <row r="87" spans="1:12" ht="15">
      <c r="A87" s="39" t="s">
        <v>98</v>
      </c>
      <c r="B87" s="40" t="s">
        <v>23</v>
      </c>
      <c r="C87" s="94">
        <v>10803.661996500816</v>
      </c>
      <c r="D87" s="94">
        <v>10700.02461939466</v>
      </c>
      <c r="E87" s="95">
        <v>11019.735236430832</v>
      </c>
      <c r="F87" s="95">
        <v>10914.025111782554</v>
      </c>
      <c r="G87" s="1127">
        <v>0.96857138924992536</v>
      </c>
      <c r="H87" s="96">
        <v>283.3710176991151</v>
      </c>
      <c r="I87" s="96">
        <v>0.43199622367437401</v>
      </c>
      <c r="J87" s="96">
        <v>-1.2021857923497268</v>
      </c>
      <c r="K87" s="96">
        <v>27.898364365805989</v>
      </c>
      <c r="L87" s="1128">
        <v>2.3373251629006901</v>
      </c>
    </row>
    <row r="88" spans="1:12" ht="15.75" thickBot="1">
      <c r="A88" s="41" t="s">
        <v>112</v>
      </c>
      <c r="B88" s="42" t="s">
        <v>23</v>
      </c>
      <c r="C88" s="97">
        <v>13108.391285781807</v>
      </c>
      <c r="D88" s="97">
        <v>13214.234554162182</v>
      </c>
      <c r="E88" s="98">
        <v>13370.559111497443</v>
      </c>
      <c r="F88" s="98">
        <v>13478.519245245425</v>
      </c>
      <c r="G88" s="1129">
        <v>-0.80097918609319674</v>
      </c>
      <c r="H88" s="99">
        <v>295.87067178502878</v>
      </c>
      <c r="I88" s="99">
        <v>0.81213842794217206</v>
      </c>
      <c r="J88" s="99">
        <v>-8.788515406162464</v>
      </c>
      <c r="K88" s="99">
        <v>26.797654562287832</v>
      </c>
      <c r="L88" s="1130">
        <v>0.20299956647816941</v>
      </c>
    </row>
    <row r="89" spans="1:12" ht="15" thickBot="1">
      <c r="A89" s="35"/>
      <c r="B89" s="43"/>
      <c r="C89" s="86"/>
      <c r="D89" s="86"/>
      <c r="E89" s="86"/>
      <c r="F89" s="86"/>
      <c r="G89" s="1121"/>
      <c r="H89" s="85"/>
      <c r="I89" s="85"/>
      <c r="J89" s="85"/>
      <c r="K89" s="85"/>
      <c r="L89" s="1122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31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32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7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3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7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3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 t="s">
        <v>257</v>
      </c>
      <c r="E93" s="106" t="s">
        <v>257</v>
      </c>
      <c r="F93" s="106" t="s">
        <v>257</v>
      </c>
      <c r="G93" s="1134" t="s">
        <v>100</v>
      </c>
      <c r="H93" s="107">
        <v>236.66666666666666</v>
      </c>
      <c r="I93" s="107" t="s">
        <v>100</v>
      </c>
      <c r="J93" s="108" t="s">
        <v>100</v>
      </c>
      <c r="K93" s="108" t="s">
        <v>100</v>
      </c>
      <c r="L93" s="1135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257</v>
      </c>
      <c r="E94" s="95" t="s">
        <v>257</v>
      </c>
      <c r="F94" s="95" t="s">
        <v>257</v>
      </c>
      <c r="G94" s="1127" t="s">
        <v>100</v>
      </c>
      <c r="H94" s="96" t="s">
        <v>257</v>
      </c>
      <c r="I94" s="96" t="s">
        <v>100</v>
      </c>
      <c r="J94" s="104" t="s">
        <v>100</v>
      </c>
      <c r="K94" s="104" t="s">
        <v>100</v>
      </c>
      <c r="L94" s="1133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257</v>
      </c>
      <c r="E95" s="95" t="s">
        <v>257</v>
      </c>
      <c r="F95" s="95" t="s">
        <v>257</v>
      </c>
      <c r="G95" s="1127" t="s">
        <v>100</v>
      </c>
      <c r="H95" s="96" t="s">
        <v>257</v>
      </c>
      <c r="I95" s="96" t="s">
        <v>100</v>
      </c>
      <c r="J95" s="104" t="s">
        <v>100</v>
      </c>
      <c r="K95" s="104" t="s">
        <v>100</v>
      </c>
      <c r="L95" s="1133" t="s">
        <v>100</v>
      </c>
    </row>
    <row r="96" spans="1:12" ht="14.25">
      <c r="A96" s="44" t="s">
        <v>113</v>
      </c>
      <c r="B96" s="48" t="s">
        <v>31</v>
      </c>
      <c r="C96" s="105" t="s">
        <v>257</v>
      </c>
      <c r="D96" s="105">
        <v>11626.275023098246</v>
      </c>
      <c r="E96" s="106" t="s">
        <v>257</v>
      </c>
      <c r="F96" s="106">
        <v>11858.80052356021</v>
      </c>
      <c r="G96" s="1134" t="s">
        <v>100</v>
      </c>
      <c r="H96" s="107" t="s">
        <v>257</v>
      </c>
      <c r="I96" s="107" t="s">
        <v>100</v>
      </c>
      <c r="J96" s="108" t="s">
        <v>100</v>
      </c>
      <c r="K96" s="108" t="s">
        <v>100</v>
      </c>
      <c r="L96" s="1135" t="s">
        <v>100</v>
      </c>
    </row>
    <row r="97" spans="1:12" ht="15">
      <c r="A97" s="46" t="s">
        <v>113</v>
      </c>
      <c r="B97" s="47" t="s">
        <v>32</v>
      </c>
      <c r="C97" s="94" t="s">
        <v>257</v>
      </c>
      <c r="D97" s="94">
        <v>11705.114705882354</v>
      </c>
      <c r="E97" s="95" t="s">
        <v>257</v>
      </c>
      <c r="F97" s="95">
        <v>11939.217000000001</v>
      </c>
      <c r="G97" s="1127" t="s">
        <v>100</v>
      </c>
      <c r="H97" s="96" t="s">
        <v>257</v>
      </c>
      <c r="I97" s="96" t="s">
        <v>100</v>
      </c>
      <c r="J97" s="104" t="s">
        <v>100</v>
      </c>
      <c r="K97" s="104" t="s">
        <v>100</v>
      </c>
      <c r="L97" s="1133" t="s">
        <v>100</v>
      </c>
    </row>
    <row r="98" spans="1:12" ht="15.75" thickBot="1">
      <c r="A98" s="49" t="s">
        <v>113</v>
      </c>
      <c r="B98" s="50" t="s">
        <v>33</v>
      </c>
      <c r="C98" s="1151" t="s">
        <v>100</v>
      </c>
      <c r="D98" s="109" t="s">
        <v>257</v>
      </c>
      <c r="E98" s="1152" t="s">
        <v>100</v>
      </c>
      <c r="F98" s="1152" t="s">
        <v>257</v>
      </c>
      <c r="G98" s="1136" t="s">
        <v>100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133" t="s">
        <v>100</v>
      </c>
    </row>
    <row r="99" spans="1:12" ht="15" thickBot="1">
      <c r="A99" s="35"/>
      <c r="B99" s="43"/>
      <c r="C99" s="86"/>
      <c r="D99" s="86"/>
      <c r="E99" s="86"/>
      <c r="F99" s="86"/>
      <c r="G99" s="1121"/>
      <c r="H99" s="85"/>
      <c r="I99" s="85"/>
      <c r="J99" s="85"/>
      <c r="K99" s="85"/>
      <c r="L99" s="1122"/>
    </row>
    <row r="100" spans="1:12" ht="14.25">
      <c r="A100" s="44" t="s">
        <v>114</v>
      </c>
      <c r="B100" s="45" t="s">
        <v>25</v>
      </c>
      <c r="C100" s="100">
        <v>12980.131906206081</v>
      </c>
      <c r="D100" s="100">
        <v>13152.608338746251</v>
      </c>
      <c r="E100" s="101">
        <v>13239.734544330204</v>
      </c>
      <c r="F100" s="101">
        <v>13415.660505521177</v>
      </c>
      <c r="G100" s="1131">
        <v>-1.3113477425771995</v>
      </c>
      <c r="H100" s="102">
        <v>416.82236024844718</v>
      </c>
      <c r="I100" s="102">
        <v>-2.883414839087135</v>
      </c>
      <c r="J100" s="103">
        <v>-16.145833333333336</v>
      </c>
      <c r="K100" s="103">
        <v>1.6562082090319927</v>
      </c>
      <c r="L100" s="1132">
        <v>-0.13166775707285883</v>
      </c>
    </row>
    <row r="101" spans="1:12" ht="15">
      <c r="A101" s="46" t="s">
        <v>114</v>
      </c>
      <c r="B101" s="47" t="s">
        <v>26</v>
      </c>
      <c r="C101" s="94">
        <v>12955.993137254902</v>
      </c>
      <c r="D101" s="94">
        <v>13215.103921568629</v>
      </c>
      <c r="E101" s="95">
        <v>13215.112999999999</v>
      </c>
      <c r="F101" s="95">
        <v>13479.406000000001</v>
      </c>
      <c r="G101" s="1127">
        <v>-1.9607169633439447</v>
      </c>
      <c r="H101" s="96">
        <v>406</v>
      </c>
      <c r="I101" s="96">
        <v>-3.5858465922583758</v>
      </c>
      <c r="J101" s="104">
        <v>-5</v>
      </c>
      <c r="K101" s="104">
        <v>0.97726571340397073</v>
      </c>
      <c r="L101" s="1133">
        <v>4.6080314391027222E-2</v>
      </c>
    </row>
    <row r="102" spans="1:12" ht="15">
      <c r="A102" s="46" t="s">
        <v>114</v>
      </c>
      <c r="B102" s="47" t="s">
        <v>27</v>
      </c>
      <c r="C102" s="94">
        <v>13012.753921568627</v>
      </c>
      <c r="D102" s="94">
        <v>13087.305882352941</v>
      </c>
      <c r="E102" s="95">
        <v>13273.009</v>
      </c>
      <c r="F102" s="95">
        <v>13349.052</v>
      </c>
      <c r="G102" s="1127">
        <v>-0.56965093850858972</v>
      </c>
      <c r="H102" s="96">
        <v>432.4</v>
      </c>
      <c r="I102" s="96">
        <v>-1.2785388127853934</v>
      </c>
      <c r="J102" s="104">
        <v>-28.260869565217391</v>
      </c>
      <c r="K102" s="104">
        <v>0.67894249562802178</v>
      </c>
      <c r="L102" s="1133">
        <v>-0.17774807146388627</v>
      </c>
    </row>
    <row r="103" spans="1:12" ht="14.25">
      <c r="A103" s="44" t="s">
        <v>114</v>
      </c>
      <c r="B103" s="48" t="s">
        <v>28</v>
      </c>
      <c r="C103" s="105">
        <v>12771.967540892665</v>
      </c>
      <c r="D103" s="105">
        <v>12982.254684991682</v>
      </c>
      <c r="E103" s="106">
        <v>13027.406891710518</v>
      </c>
      <c r="F103" s="106">
        <v>13241.899778691515</v>
      </c>
      <c r="G103" s="1134">
        <v>-1.6198044885232643</v>
      </c>
      <c r="H103" s="107">
        <v>380.45222437137329</v>
      </c>
      <c r="I103" s="107">
        <v>1.1755669767090904</v>
      </c>
      <c r="J103" s="108">
        <v>-25.289017341040466</v>
      </c>
      <c r="K103" s="108">
        <v>10.636765764839009</v>
      </c>
      <c r="L103" s="1135">
        <v>-2.2508401575001287</v>
      </c>
    </row>
    <row r="104" spans="1:12" ht="15">
      <c r="A104" s="46" t="s">
        <v>114</v>
      </c>
      <c r="B104" s="47" t="s">
        <v>29</v>
      </c>
      <c r="C104" s="94">
        <v>12824.96862745098</v>
      </c>
      <c r="D104" s="94">
        <v>13144.564705882352</v>
      </c>
      <c r="E104" s="95">
        <v>13081.468000000001</v>
      </c>
      <c r="F104" s="95">
        <v>13407.456</v>
      </c>
      <c r="G104" s="1127">
        <v>-2.4313933978228186</v>
      </c>
      <c r="H104" s="96">
        <v>367.8</v>
      </c>
      <c r="I104" s="96">
        <v>0.19068373740124994</v>
      </c>
      <c r="J104" s="104">
        <v>-28.297055057618437</v>
      </c>
      <c r="K104" s="104">
        <v>5.7607242053286694</v>
      </c>
      <c r="L104" s="1133">
        <v>-1.5118337609624195</v>
      </c>
    </row>
    <row r="105" spans="1:12" ht="15">
      <c r="A105" s="46" t="s">
        <v>114</v>
      </c>
      <c r="B105" s="47" t="s">
        <v>30</v>
      </c>
      <c r="C105" s="94">
        <v>12713.714705882352</v>
      </c>
      <c r="D105" s="94">
        <v>12783.11568627451</v>
      </c>
      <c r="E105" s="95">
        <v>12967.989</v>
      </c>
      <c r="F105" s="95">
        <v>13038.778</v>
      </c>
      <c r="G105" s="1127">
        <v>-0.54291130656569708</v>
      </c>
      <c r="H105" s="96">
        <v>395.4</v>
      </c>
      <c r="I105" s="96">
        <v>2.0123839009287807</v>
      </c>
      <c r="J105" s="104">
        <v>-21.393034825870647</v>
      </c>
      <c r="K105" s="104">
        <v>4.8760415595103384</v>
      </c>
      <c r="L105" s="1133">
        <v>-0.73900639653771094</v>
      </c>
    </row>
    <row r="106" spans="1:12" ht="14.25">
      <c r="A106" s="44" t="s">
        <v>114</v>
      </c>
      <c r="B106" s="48" t="s">
        <v>31</v>
      </c>
      <c r="C106" s="105">
        <v>12381.187525152583</v>
      </c>
      <c r="D106" s="105">
        <v>12504.043962167645</v>
      </c>
      <c r="E106" s="106">
        <v>12628.811275655635</v>
      </c>
      <c r="F106" s="106">
        <v>12754.124841410998</v>
      </c>
      <c r="G106" s="1134">
        <v>-0.98253362981430159</v>
      </c>
      <c r="H106" s="107">
        <v>336.99462365591398</v>
      </c>
      <c r="I106" s="107">
        <v>-0.34882764836067182</v>
      </c>
      <c r="J106" s="108">
        <v>-18.421052631578945</v>
      </c>
      <c r="K106" s="108">
        <v>20.090525666083735</v>
      </c>
      <c r="L106" s="1135">
        <v>-2.2020527862861314</v>
      </c>
    </row>
    <row r="107" spans="1:12" ht="15">
      <c r="A107" s="46" t="s">
        <v>114</v>
      </c>
      <c r="B107" s="47" t="s">
        <v>32</v>
      </c>
      <c r="C107" s="94">
        <v>12392.568627450981</v>
      </c>
      <c r="D107" s="94">
        <v>12524.217647058822</v>
      </c>
      <c r="E107" s="95">
        <v>12640.42</v>
      </c>
      <c r="F107" s="95">
        <v>12774.701999999999</v>
      </c>
      <c r="G107" s="1127">
        <v>-1.0511556355678531</v>
      </c>
      <c r="H107" s="96">
        <v>330.9</v>
      </c>
      <c r="I107" s="96">
        <v>-0.27124773960218024</v>
      </c>
      <c r="J107" s="104">
        <v>-20.355610055180868</v>
      </c>
      <c r="K107" s="104">
        <v>13.362822754860613</v>
      </c>
      <c r="L107" s="1133">
        <v>-1.8248111030404957</v>
      </c>
    </row>
    <row r="108" spans="1:12" ht="15.75" thickBot="1">
      <c r="A108" s="49" t="s">
        <v>114</v>
      </c>
      <c r="B108" s="50" t="s">
        <v>33</v>
      </c>
      <c r="C108" s="109">
        <v>12359.760784313725</v>
      </c>
      <c r="D108" s="109">
        <v>12463.376470588235</v>
      </c>
      <c r="E108" s="110">
        <v>12606.956</v>
      </c>
      <c r="F108" s="110">
        <v>12712.644</v>
      </c>
      <c r="G108" s="1136">
        <v>-0.83136128094202977</v>
      </c>
      <c r="H108" s="104">
        <v>349.1</v>
      </c>
      <c r="I108" s="104">
        <v>-0.7674815235929473</v>
      </c>
      <c r="J108" s="104">
        <v>-14.285714285714285</v>
      </c>
      <c r="K108" s="104">
        <v>6.7277029112231252</v>
      </c>
      <c r="L108" s="1133">
        <v>-0.37724168324563312</v>
      </c>
    </row>
    <row r="109" spans="1:12" ht="15.75" thickBot="1">
      <c r="A109" s="51"/>
      <c r="B109" s="52"/>
      <c r="C109" s="111"/>
      <c r="D109" s="111"/>
      <c r="E109" s="111"/>
      <c r="F109" s="111"/>
      <c r="G109" s="1137"/>
      <c r="H109" s="112"/>
      <c r="I109" s="112"/>
      <c r="J109" s="112"/>
      <c r="K109" s="112"/>
      <c r="L109" s="1138"/>
    </row>
    <row r="110" spans="1:12" ht="15">
      <c r="A110" s="46" t="s">
        <v>115</v>
      </c>
      <c r="B110" s="53" t="s">
        <v>30</v>
      </c>
      <c r="C110" s="113">
        <v>12488.278431372548</v>
      </c>
      <c r="D110" s="113">
        <v>12726.114705882354</v>
      </c>
      <c r="E110" s="114">
        <v>12738.044</v>
      </c>
      <c r="F110" s="114">
        <v>12980.637000000001</v>
      </c>
      <c r="G110" s="1139">
        <v>-1.8688836302871787</v>
      </c>
      <c r="H110" s="115">
        <v>409.4</v>
      </c>
      <c r="I110" s="115">
        <v>-0.21935169388253328</v>
      </c>
      <c r="J110" s="115">
        <v>1.4732965009208103</v>
      </c>
      <c r="K110" s="115">
        <v>5.6681411377430306</v>
      </c>
      <c r="L110" s="1140">
        <v>0.61180442110274758</v>
      </c>
    </row>
    <row r="111" spans="1:12" ht="15.75" thickBot="1">
      <c r="A111" s="49" t="s">
        <v>115</v>
      </c>
      <c r="B111" s="50" t="s">
        <v>33</v>
      </c>
      <c r="C111" s="109">
        <v>12123.085294117647</v>
      </c>
      <c r="D111" s="109">
        <v>12394.63431372549</v>
      </c>
      <c r="E111" s="110">
        <v>12365.547</v>
      </c>
      <c r="F111" s="110">
        <v>12642.527</v>
      </c>
      <c r="G111" s="1136">
        <v>-2.1908594697879593</v>
      </c>
      <c r="H111" s="104">
        <v>375.3</v>
      </c>
      <c r="I111" s="104">
        <v>-0.37164852667904891</v>
      </c>
      <c r="J111" s="104">
        <v>15.296052631578947</v>
      </c>
      <c r="K111" s="104">
        <v>7.2111922641703536</v>
      </c>
      <c r="L111" s="1133">
        <v>1.5495850381716574</v>
      </c>
    </row>
    <row r="112" spans="1:12" ht="15.75" thickBot="1">
      <c r="A112" s="51"/>
      <c r="B112" s="52"/>
      <c r="C112" s="111"/>
      <c r="D112" s="111"/>
      <c r="E112" s="111"/>
      <c r="F112" s="111"/>
      <c r="G112" s="1137"/>
      <c r="H112" s="112"/>
      <c r="I112" s="112"/>
      <c r="J112" s="112"/>
      <c r="K112" s="112"/>
      <c r="L112" s="1138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31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32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7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3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7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3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7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3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4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5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7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3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7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3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4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5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7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3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6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3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7"/>
      <c r="H123" s="112"/>
      <c r="I123" s="112"/>
      <c r="J123" s="112"/>
      <c r="K123" s="112"/>
      <c r="L123" s="1138"/>
    </row>
    <row r="124" spans="1:12" ht="14.25">
      <c r="A124" s="44" t="s">
        <v>24</v>
      </c>
      <c r="B124" s="45" t="s">
        <v>28</v>
      </c>
      <c r="C124" s="100">
        <v>11756.23157556013</v>
      </c>
      <c r="D124" s="100">
        <v>11623.6275789217</v>
      </c>
      <c r="E124" s="101">
        <v>11991.356207071332</v>
      </c>
      <c r="F124" s="101">
        <v>11856.100130500134</v>
      </c>
      <c r="G124" s="1131">
        <v>1.140814222910018</v>
      </c>
      <c r="H124" s="102">
        <v>337.05583333333328</v>
      </c>
      <c r="I124" s="102">
        <v>-2.8139866717683986</v>
      </c>
      <c r="J124" s="103">
        <v>13.744075829383887</v>
      </c>
      <c r="K124" s="103">
        <v>2.4688818022837156</v>
      </c>
      <c r="L124" s="1132">
        <v>0.50408061036640506</v>
      </c>
    </row>
    <row r="125" spans="1:12" ht="15">
      <c r="A125" s="46" t="s">
        <v>24</v>
      </c>
      <c r="B125" s="47" t="s">
        <v>29</v>
      </c>
      <c r="C125" s="94">
        <v>11512.10294117647</v>
      </c>
      <c r="D125" s="94">
        <v>11619.954901960784</v>
      </c>
      <c r="E125" s="95">
        <v>11742.344999999999</v>
      </c>
      <c r="F125" s="95">
        <v>11852.353999999999</v>
      </c>
      <c r="G125" s="1127">
        <v>-0.92816161245268258</v>
      </c>
      <c r="H125" s="96">
        <v>311.39999999999998</v>
      </c>
      <c r="I125" s="96">
        <v>-6.1199879409104652</v>
      </c>
      <c r="J125" s="104">
        <v>86.956521739130437</v>
      </c>
      <c r="K125" s="104">
        <v>0.44234132290916572</v>
      </c>
      <c r="L125" s="1133">
        <v>0.22816868113618871</v>
      </c>
    </row>
    <row r="126" spans="1:12" ht="15">
      <c r="A126" s="46" t="s">
        <v>24</v>
      </c>
      <c r="B126" s="47" t="s">
        <v>30</v>
      </c>
      <c r="C126" s="94">
        <v>11777.966666666667</v>
      </c>
      <c r="D126" s="94">
        <v>11583.876470588235</v>
      </c>
      <c r="E126" s="95">
        <v>12013.526</v>
      </c>
      <c r="F126" s="95">
        <v>11815.554</v>
      </c>
      <c r="G126" s="1127">
        <v>1.6755202506797375</v>
      </c>
      <c r="H126" s="96">
        <v>334</v>
      </c>
      <c r="I126" s="96">
        <v>-3.9677975848188649</v>
      </c>
      <c r="J126" s="104">
        <v>-8.1300813008130071</v>
      </c>
      <c r="K126" s="104">
        <v>1.1624318485752496</v>
      </c>
      <c r="L126" s="1133">
        <v>1.7073807789329098E-2</v>
      </c>
    </row>
    <row r="127" spans="1:12" ht="15">
      <c r="A127" s="46" t="s">
        <v>24</v>
      </c>
      <c r="B127" s="47" t="s">
        <v>35</v>
      </c>
      <c r="C127" s="94">
        <v>11838.509803921568</v>
      </c>
      <c r="D127" s="94">
        <v>11699.542156862744</v>
      </c>
      <c r="E127" s="95">
        <v>12075.28</v>
      </c>
      <c r="F127" s="95">
        <v>11933.532999999999</v>
      </c>
      <c r="G127" s="1127">
        <v>1.1878041481931731</v>
      </c>
      <c r="H127" s="96">
        <v>354.3</v>
      </c>
      <c r="I127" s="96">
        <v>1.14187838995147</v>
      </c>
      <c r="J127" s="104">
        <v>29.230769230769234</v>
      </c>
      <c r="K127" s="104">
        <v>0.86410863079930056</v>
      </c>
      <c r="L127" s="1133">
        <v>0.25883812144088725</v>
      </c>
    </row>
    <row r="128" spans="1:12" ht="14.25">
      <c r="A128" s="44" t="s">
        <v>24</v>
      </c>
      <c r="B128" s="48" t="s">
        <v>31</v>
      </c>
      <c r="C128" s="105">
        <v>11095.538148791791</v>
      </c>
      <c r="D128" s="105">
        <v>11023.349449550989</v>
      </c>
      <c r="E128" s="106">
        <v>11317.448911767628</v>
      </c>
      <c r="F128" s="106">
        <v>11243.81643854201</v>
      </c>
      <c r="G128" s="1134">
        <v>0.65487082280370246</v>
      </c>
      <c r="H128" s="107">
        <v>299.43372992266512</v>
      </c>
      <c r="I128" s="107">
        <v>1.1711360136314386</v>
      </c>
      <c r="J128" s="108">
        <v>-3.4462952326249283</v>
      </c>
      <c r="K128" s="108">
        <v>17.292459623495525</v>
      </c>
      <c r="L128" s="1135">
        <v>1.0805218266801795</v>
      </c>
    </row>
    <row r="129" spans="1:12" ht="15">
      <c r="A129" s="46" t="s">
        <v>24</v>
      </c>
      <c r="B129" s="47" t="s">
        <v>32</v>
      </c>
      <c r="C129" s="94">
        <v>10968.586274509804</v>
      </c>
      <c r="D129" s="94">
        <v>10778.13431372549</v>
      </c>
      <c r="E129" s="95">
        <v>11187.958000000001</v>
      </c>
      <c r="F129" s="95">
        <v>10993.697</v>
      </c>
      <c r="G129" s="1127">
        <v>1.7670215942826188</v>
      </c>
      <c r="H129" s="96">
        <v>271.3</v>
      </c>
      <c r="I129" s="96">
        <v>0.55596738324684947</v>
      </c>
      <c r="J129" s="104">
        <v>-2.4464831804281344</v>
      </c>
      <c r="K129" s="104">
        <v>6.5631107910708781</v>
      </c>
      <c r="L129" s="1133">
        <v>0.47315828152622785</v>
      </c>
    </row>
    <row r="130" spans="1:12" ht="15">
      <c r="A130" s="46" t="s">
        <v>24</v>
      </c>
      <c r="B130" s="47" t="s">
        <v>33</v>
      </c>
      <c r="C130" s="94">
        <v>11157.691176470587</v>
      </c>
      <c r="D130" s="94">
        <v>11135.091176470587</v>
      </c>
      <c r="E130" s="95">
        <v>11380.844999999999</v>
      </c>
      <c r="F130" s="95">
        <v>11357.793</v>
      </c>
      <c r="G130" s="1127">
        <v>0.20296196629045518</v>
      </c>
      <c r="H130" s="96">
        <v>312.89999999999998</v>
      </c>
      <c r="I130" s="96">
        <v>1.8886356235753676</v>
      </c>
      <c r="J130" s="104">
        <v>-3.1746031746031744</v>
      </c>
      <c r="K130" s="104">
        <v>9.412611871206666</v>
      </c>
      <c r="L130" s="1133">
        <v>0.61290985053435065</v>
      </c>
    </row>
    <row r="131" spans="1:12" ht="15">
      <c r="A131" s="46" t="s">
        <v>24</v>
      </c>
      <c r="B131" s="47" t="s">
        <v>36</v>
      </c>
      <c r="C131" s="94">
        <v>11190.782352941176</v>
      </c>
      <c r="D131" s="94">
        <v>11246.263725490197</v>
      </c>
      <c r="E131" s="95">
        <v>11414.598</v>
      </c>
      <c r="F131" s="95">
        <v>11471.189</v>
      </c>
      <c r="G131" s="1127">
        <v>-0.49333159797123338</v>
      </c>
      <c r="H131" s="96">
        <v>343.4</v>
      </c>
      <c r="I131" s="96">
        <v>0.2920560747663552</v>
      </c>
      <c r="J131" s="104">
        <v>-9.8591549295774641</v>
      </c>
      <c r="K131" s="104">
        <v>1.3167369612179818</v>
      </c>
      <c r="L131" s="1133">
        <v>-5.546305380397909E-3</v>
      </c>
    </row>
    <row r="132" spans="1:12" ht="14.25">
      <c r="A132" s="44" t="s">
        <v>24</v>
      </c>
      <c r="B132" s="48" t="s">
        <v>37</v>
      </c>
      <c r="C132" s="105">
        <v>9588.121280176656</v>
      </c>
      <c r="D132" s="105">
        <v>9441.2850106028218</v>
      </c>
      <c r="E132" s="106">
        <v>9779.8837057801902</v>
      </c>
      <c r="F132" s="106">
        <v>9630.110710814879</v>
      </c>
      <c r="G132" s="1134">
        <v>1.5552572495050554</v>
      </c>
      <c r="H132" s="107">
        <v>232.94652338811633</v>
      </c>
      <c r="I132" s="107">
        <v>-0.71137126678444507</v>
      </c>
      <c r="J132" s="108">
        <v>-0.25220680958385877</v>
      </c>
      <c r="K132" s="108">
        <v>8.1370229400267462</v>
      </c>
      <c r="L132" s="1135">
        <v>0.75272272585410516</v>
      </c>
    </row>
    <row r="133" spans="1:12" ht="15">
      <c r="A133" s="46" t="s">
        <v>24</v>
      </c>
      <c r="B133" s="47" t="s">
        <v>102</v>
      </c>
      <c r="C133" s="116">
        <v>8794.0872549019605</v>
      </c>
      <c r="D133" s="116">
        <v>8630.3147058823524</v>
      </c>
      <c r="E133" s="117">
        <v>8969.9689999999991</v>
      </c>
      <c r="F133" s="117">
        <v>8802.9210000000003</v>
      </c>
      <c r="G133" s="1141">
        <v>1.8976428392348275</v>
      </c>
      <c r="H133" s="118">
        <v>212.5</v>
      </c>
      <c r="I133" s="118">
        <v>-9.4029149036195886E-2</v>
      </c>
      <c r="J133" s="119">
        <v>13.941018766756033</v>
      </c>
      <c r="K133" s="119">
        <v>4.3719781915440796</v>
      </c>
      <c r="L133" s="1142">
        <v>0.89865665322580091</v>
      </c>
    </row>
    <row r="134" spans="1:12" ht="15">
      <c r="A134" s="46" t="s">
        <v>24</v>
      </c>
      <c r="B134" s="47" t="s">
        <v>38</v>
      </c>
      <c r="C134" s="94">
        <v>10074.073529411764</v>
      </c>
      <c r="D134" s="94">
        <v>9915.8009803921577</v>
      </c>
      <c r="E134" s="95">
        <v>10275.555</v>
      </c>
      <c r="F134" s="95">
        <v>10114.117</v>
      </c>
      <c r="G134" s="1127">
        <v>1.5961650433745238</v>
      </c>
      <c r="H134" s="96">
        <v>243.4</v>
      </c>
      <c r="I134" s="96">
        <v>1.3744273219491925</v>
      </c>
      <c r="J134" s="104">
        <v>-10.725552050473187</v>
      </c>
      <c r="K134" s="104">
        <v>2.9112231251928815</v>
      </c>
      <c r="L134" s="1133">
        <v>-4.0634589678149258E-2</v>
      </c>
    </row>
    <row r="135" spans="1:12" ht="15.75" thickBot="1">
      <c r="A135" s="46" t="s">
        <v>24</v>
      </c>
      <c r="B135" s="47" t="s">
        <v>39</v>
      </c>
      <c r="C135" s="94">
        <v>11113.006862745098</v>
      </c>
      <c r="D135" s="94">
        <v>10363.890196078431</v>
      </c>
      <c r="E135" s="95">
        <v>11335.267</v>
      </c>
      <c r="F135" s="95">
        <v>10571.168</v>
      </c>
      <c r="G135" s="1127">
        <v>7.2281416774381047</v>
      </c>
      <c r="H135" s="96">
        <v>302</v>
      </c>
      <c r="I135" s="96">
        <v>1.6492763379333479</v>
      </c>
      <c r="J135" s="104">
        <v>-19.417475728155338</v>
      </c>
      <c r="K135" s="104">
        <v>0.85382162328978495</v>
      </c>
      <c r="L135" s="1133">
        <v>-0.10529933769354682</v>
      </c>
    </row>
    <row r="136" spans="1:12" ht="15.75" thickBot="1">
      <c r="A136" s="51"/>
      <c r="B136" s="52"/>
      <c r="C136" s="111"/>
      <c r="D136" s="111"/>
      <c r="E136" s="111"/>
      <c r="F136" s="111"/>
      <c r="G136" s="1137"/>
      <c r="H136" s="112"/>
      <c r="I136" s="112"/>
      <c r="J136" s="112"/>
      <c r="K136" s="112"/>
      <c r="L136" s="1138"/>
    </row>
    <row r="137" spans="1:12" ht="14.25">
      <c r="A137" s="44" t="s">
        <v>117</v>
      </c>
      <c r="B137" s="48" t="s">
        <v>25</v>
      </c>
      <c r="C137" s="105">
        <v>13831.502792270145</v>
      </c>
      <c r="D137" s="105">
        <v>13756.511587917917</v>
      </c>
      <c r="E137" s="106">
        <v>14108.132848115549</v>
      </c>
      <c r="F137" s="106">
        <v>14031.641819676277</v>
      </c>
      <c r="G137" s="1134">
        <v>0.54513241873099982</v>
      </c>
      <c r="H137" s="107">
        <v>354.47679999999997</v>
      </c>
      <c r="I137" s="107">
        <v>-0.49107182147186201</v>
      </c>
      <c r="J137" s="108">
        <v>12.612612612612612</v>
      </c>
      <c r="K137" s="108">
        <v>1.2858759386894352</v>
      </c>
      <c r="L137" s="1135">
        <v>0.25226014578506795</v>
      </c>
    </row>
    <row r="138" spans="1:12" ht="15">
      <c r="A138" s="46" t="s">
        <v>117</v>
      </c>
      <c r="B138" s="47" t="s">
        <v>26</v>
      </c>
      <c r="C138" s="94">
        <v>13658.142156862745</v>
      </c>
      <c r="D138" s="94">
        <v>13710.068627450981</v>
      </c>
      <c r="E138" s="95">
        <v>13931.305</v>
      </c>
      <c r="F138" s="95">
        <v>13984.27</v>
      </c>
      <c r="G138" s="1127">
        <v>-0.37874697785440459</v>
      </c>
      <c r="H138" s="96">
        <v>333.8</v>
      </c>
      <c r="I138" s="96">
        <v>0.51189400782896377</v>
      </c>
      <c r="J138" s="104">
        <v>0</v>
      </c>
      <c r="K138" s="104">
        <v>0.34975825532352639</v>
      </c>
      <c r="L138" s="1133">
        <v>3.3155219659125601E-2</v>
      </c>
    </row>
    <row r="139" spans="1:12" ht="15">
      <c r="A139" s="46" t="s">
        <v>117</v>
      </c>
      <c r="B139" s="47" t="s">
        <v>27</v>
      </c>
      <c r="C139" s="94">
        <v>13925.858823529412</v>
      </c>
      <c r="D139" s="94">
        <v>13920.886274509803</v>
      </c>
      <c r="E139" s="95">
        <v>14204.376</v>
      </c>
      <c r="F139" s="95">
        <v>14199.304</v>
      </c>
      <c r="G139" s="1127">
        <v>3.5720060645226814E-2</v>
      </c>
      <c r="H139" s="96">
        <v>356.4</v>
      </c>
      <c r="I139" s="96">
        <v>2.3843723068083751</v>
      </c>
      <c r="J139" s="104">
        <v>59.574468085106382</v>
      </c>
      <c r="K139" s="104">
        <v>0.77152556321366106</v>
      </c>
      <c r="L139" s="1133">
        <v>0.33386842567757763</v>
      </c>
    </row>
    <row r="140" spans="1:12" ht="15">
      <c r="A140" s="46" t="s">
        <v>117</v>
      </c>
      <c r="B140" s="47" t="s">
        <v>34</v>
      </c>
      <c r="C140" s="94">
        <v>13742.499019607843</v>
      </c>
      <c r="D140" s="94">
        <v>13574.440196078431</v>
      </c>
      <c r="E140" s="95">
        <v>14017.349</v>
      </c>
      <c r="F140" s="95">
        <v>13845.929</v>
      </c>
      <c r="G140" s="1127">
        <v>1.238053437945551</v>
      </c>
      <c r="H140" s="96">
        <v>389.4</v>
      </c>
      <c r="I140" s="96">
        <v>-1.7411052233156785</v>
      </c>
      <c r="J140" s="104">
        <v>-46.666666666666664</v>
      </c>
      <c r="K140" s="104">
        <v>0.16459212015224772</v>
      </c>
      <c r="L140" s="1133">
        <v>-0.11476349955163534</v>
      </c>
    </row>
    <row r="141" spans="1:12" ht="14.25">
      <c r="A141" s="44" t="s">
        <v>117</v>
      </c>
      <c r="B141" s="48" t="s">
        <v>28</v>
      </c>
      <c r="C141" s="105">
        <v>13467.453013284687</v>
      </c>
      <c r="D141" s="105">
        <v>13602.574091986422</v>
      </c>
      <c r="E141" s="106">
        <v>13736.802073550381</v>
      </c>
      <c r="F141" s="106">
        <v>13874.62557382615</v>
      </c>
      <c r="G141" s="1134">
        <v>-0.99334933070746123</v>
      </c>
      <c r="H141" s="107">
        <v>310.25668202764979</v>
      </c>
      <c r="I141" s="107">
        <v>-0.48659327905069749</v>
      </c>
      <c r="J141" s="108">
        <v>-6.6265060240963862</v>
      </c>
      <c r="K141" s="108">
        <v>11.161403147824297</v>
      </c>
      <c r="L141" s="1135">
        <v>0.34102881129389395</v>
      </c>
    </row>
    <row r="142" spans="1:12" ht="15">
      <c r="A142" s="46" t="s">
        <v>117</v>
      </c>
      <c r="B142" s="47" t="s">
        <v>29</v>
      </c>
      <c r="C142" s="94">
        <v>13389.833333333332</v>
      </c>
      <c r="D142" s="94">
        <v>13516.13137254902</v>
      </c>
      <c r="E142" s="95">
        <v>13657.63</v>
      </c>
      <c r="F142" s="95">
        <v>13786.454</v>
      </c>
      <c r="G142" s="1127">
        <v>-0.9344244720215984</v>
      </c>
      <c r="H142" s="96">
        <v>279.10000000000002</v>
      </c>
      <c r="I142" s="96">
        <v>-3.2246879334257823</v>
      </c>
      <c r="J142" s="104">
        <v>-8.6419753086419746</v>
      </c>
      <c r="K142" s="104">
        <v>2.2837156671124368</v>
      </c>
      <c r="L142" s="1133">
        <v>2.0935147510984464E-2</v>
      </c>
    </row>
    <row r="143" spans="1:12" ht="15">
      <c r="A143" s="46" t="s">
        <v>117</v>
      </c>
      <c r="B143" s="47" t="s">
        <v>30</v>
      </c>
      <c r="C143" s="94">
        <v>13515.416666666666</v>
      </c>
      <c r="D143" s="94">
        <v>13667.727450980392</v>
      </c>
      <c r="E143" s="95">
        <v>13785.725</v>
      </c>
      <c r="F143" s="95">
        <v>13941.082</v>
      </c>
      <c r="G143" s="1127">
        <v>-1.1143826569558946</v>
      </c>
      <c r="H143" s="96">
        <v>310.5</v>
      </c>
      <c r="I143" s="96">
        <v>-0.25698682942499562</v>
      </c>
      <c r="J143" s="104">
        <v>-9.2669432918395582</v>
      </c>
      <c r="K143" s="104">
        <v>6.7482769262421556</v>
      </c>
      <c r="L143" s="1133">
        <v>1.5806491378573817E-2</v>
      </c>
    </row>
    <row r="144" spans="1:12" ht="15">
      <c r="A144" s="46" t="s">
        <v>117</v>
      </c>
      <c r="B144" s="47" t="s">
        <v>35</v>
      </c>
      <c r="C144" s="94">
        <v>13397.561764705883</v>
      </c>
      <c r="D144" s="94">
        <v>13474.359803921569</v>
      </c>
      <c r="E144" s="95">
        <v>13665.513000000001</v>
      </c>
      <c r="F144" s="95">
        <v>13743.847</v>
      </c>
      <c r="G144" s="1127">
        <v>-0.56995686869912721</v>
      </c>
      <c r="H144" s="96">
        <v>342.9</v>
      </c>
      <c r="I144" s="96">
        <v>0.11678832116787656</v>
      </c>
      <c r="J144" s="104">
        <v>5.6122448979591839</v>
      </c>
      <c r="K144" s="104">
        <v>2.1294105544697048</v>
      </c>
      <c r="L144" s="1133">
        <v>0.30428717240433545</v>
      </c>
    </row>
    <row r="145" spans="1:12" ht="14.25">
      <c r="A145" s="44" t="s">
        <v>117</v>
      </c>
      <c r="B145" s="48" t="s">
        <v>31</v>
      </c>
      <c r="C145" s="105">
        <v>12716.12898991164</v>
      </c>
      <c r="D145" s="105">
        <v>12842.668541551793</v>
      </c>
      <c r="E145" s="106">
        <v>12970.451569709872</v>
      </c>
      <c r="F145" s="106">
        <v>13099.52191238283</v>
      </c>
      <c r="G145" s="1134">
        <v>-0.98530575036443968</v>
      </c>
      <c r="H145" s="107">
        <v>279.43010752688173</v>
      </c>
      <c r="I145" s="107">
        <v>1.3659654035589401</v>
      </c>
      <c r="J145" s="108">
        <v>-11.876184459886293</v>
      </c>
      <c r="K145" s="108">
        <v>14.350375475774097</v>
      </c>
      <c r="L145" s="1135">
        <v>-0.39028939060079715</v>
      </c>
    </row>
    <row r="146" spans="1:12" ht="15">
      <c r="A146" s="46" t="s">
        <v>117</v>
      </c>
      <c r="B146" s="47" t="s">
        <v>32</v>
      </c>
      <c r="C146" s="94">
        <v>12464.178431372547</v>
      </c>
      <c r="D146" s="94">
        <v>12653.808823529413</v>
      </c>
      <c r="E146" s="95">
        <v>12713.462</v>
      </c>
      <c r="F146" s="95">
        <v>12906.885</v>
      </c>
      <c r="G146" s="1127">
        <v>-1.4986032648466354</v>
      </c>
      <c r="H146" s="96">
        <v>250.4</v>
      </c>
      <c r="I146" s="96">
        <v>-0.98853301700276786</v>
      </c>
      <c r="J146" s="104">
        <v>-29.189189189189189</v>
      </c>
      <c r="K146" s="104">
        <v>4.0427939512395845</v>
      </c>
      <c r="L146" s="1133">
        <v>-1.1252850132822516</v>
      </c>
    </row>
    <row r="147" spans="1:12" ht="15">
      <c r="A147" s="46" t="s">
        <v>117</v>
      </c>
      <c r="B147" s="47" t="s">
        <v>33</v>
      </c>
      <c r="C147" s="94">
        <v>12807.499019607842</v>
      </c>
      <c r="D147" s="94">
        <v>12948.937254901959</v>
      </c>
      <c r="E147" s="95">
        <v>13063.648999999999</v>
      </c>
      <c r="F147" s="95">
        <v>13207.915999999999</v>
      </c>
      <c r="G147" s="1127">
        <v>-1.0922767831049185</v>
      </c>
      <c r="H147" s="96">
        <v>285.39999999999998</v>
      </c>
      <c r="I147" s="96">
        <v>0.67019400352732883</v>
      </c>
      <c r="J147" s="96">
        <v>-5.8631921824104234</v>
      </c>
      <c r="K147" s="96">
        <v>8.918835510749922</v>
      </c>
      <c r="L147" s="1128">
        <v>0.34261798584071279</v>
      </c>
    </row>
    <row r="148" spans="1:12" ht="15.75" thickBot="1">
      <c r="A148" s="56" t="s">
        <v>117</v>
      </c>
      <c r="B148" s="57" t="s">
        <v>36</v>
      </c>
      <c r="C148" s="97">
        <v>12765.723529411765</v>
      </c>
      <c r="D148" s="97">
        <v>12807.23137254902</v>
      </c>
      <c r="E148" s="98">
        <v>13021.038</v>
      </c>
      <c r="F148" s="98">
        <v>13063.376</v>
      </c>
      <c r="G148" s="1129">
        <v>-0.32409692563392295</v>
      </c>
      <c r="H148" s="99">
        <v>325.60000000000002</v>
      </c>
      <c r="I148" s="99">
        <v>-0.21452650934722298</v>
      </c>
      <c r="J148" s="99">
        <v>26.168224299065418</v>
      </c>
      <c r="K148" s="99">
        <v>1.3887460137845899</v>
      </c>
      <c r="L148" s="1130">
        <v>0.39237763684074045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3"/>
    </row>
    <row r="151" spans="1:12" ht="21" thickBot="1">
      <c r="A151" s="1089" t="s">
        <v>341</v>
      </c>
      <c r="B151" s="1079"/>
      <c r="C151" s="1079"/>
      <c r="D151" s="1079"/>
      <c r="E151" s="1079"/>
      <c r="F151" s="1079"/>
      <c r="G151" s="1080"/>
      <c r="H151" s="1080"/>
      <c r="I151" s="1080"/>
      <c r="J151" s="1080"/>
      <c r="K151" s="1080"/>
      <c r="L151" s="1144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81"/>
      <c r="H152" s="1184" t="s">
        <v>10</v>
      </c>
      <c r="I152" s="1185"/>
      <c r="J152" s="1114" t="s">
        <v>11</v>
      </c>
      <c r="K152" s="1082" t="s">
        <v>12</v>
      </c>
      <c r="L152" s="1083"/>
    </row>
    <row r="153" spans="1:12" ht="15.75">
      <c r="A153" s="29" t="s">
        <v>13</v>
      </c>
      <c r="B153" s="30" t="s">
        <v>14</v>
      </c>
      <c r="C153" s="1084" t="s">
        <v>40</v>
      </c>
      <c r="D153" s="1084" t="s">
        <v>40</v>
      </c>
      <c r="E153" s="1085" t="s">
        <v>41</v>
      </c>
      <c r="F153" s="1086"/>
      <c r="G153" s="1115"/>
      <c r="H153" s="1182" t="s">
        <v>15</v>
      </c>
      <c r="I153" s="1183"/>
      <c r="J153" s="1116" t="s">
        <v>16</v>
      </c>
      <c r="K153" s="1087" t="s">
        <v>17</v>
      </c>
      <c r="L153" s="1088"/>
    </row>
    <row r="154" spans="1:12" ht="26.25" thickBot="1">
      <c r="A154" s="31" t="s">
        <v>18</v>
      </c>
      <c r="B154" s="32" t="s">
        <v>19</v>
      </c>
      <c r="C154" s="980" t="s">
        <v>379</v>
      </c>
      <c r="D154" s="980" t="s">
        <v>376</v>
      </c>
      <c r="E154" s="1074" t="s">
        <v>379</v>
      </c>
      <c r="F154" s="1075" t="s">
        <v>376</v>
      </c>
      <c r="G154" s="1113" t="s">
        <v>20</v>
      </c>
      <c r="H154" s="81" t="s">
        <v>379</v>
      </c>
      <c r="I154" s="994" t="s">
        <v>20</v>
      </c>
      <c r="J154" s="1117" t="s">
        <v>20</v>
      </c>
      <c r="K154" s="1076" t="s">
        <v>379</v>
      </c>
      <c r="L154" s="1118" t="s">
        <v>21</v>
      </c>
    </row>
    <row r="155" spans="1:12" ht="15" thickBot="1">
      <c r="A155" s="33" t="s">
        <v>22</v>
      </c>
      <c r="B155" s="34" t="s">
        <v>23</v>
      </c>
      <c r="C155" s="82">
        <v>12237.489329980917</v>
      </c>
      <c r="D155" s="82">
        <v>12312.734917267218</v>
      </c>
      <c r="E155" s="83">
        <v>12482.239116580537</v>
      </c>
      <c r="F155" s="704">
        <v>12558.989615612563</v>
      </c>
      <c r="G155" s="1119">
        <v>-0.61112001348114187</v>
      </c>
      <c r="H155" s="84">
        <v>324.35248773651017</v>
      </c>
      <c r="I155" s="84">
        <v>0.41436501124374103</v>
      </c>
      <c r="J155" s="85">
        <v>-13.326044703595723</v>
      </c>
      <c r="K155" s="84">
        <v>100</v>
      </c>
      <c r="L155" s="1120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21"/>
      <c r="H156" s="85"/>
      <c r="I156" s="85"/>
      <c r="J156" s="85"/>
      <c r="K156" s="85"/>
      <c r="L156" s="1122"/>
    </row>
    <row r="157" spans="1:12" ht="15">
      <c r="A157" s="37" t="s">
        <v>108</v>
      </c>
      <c r="B157" s="38" t="s">
        <v>23</v>
      </c>
      <c r="C157" s="87">
        <v>12978.775301908843</v>
      </c>
      <c r="D157" s="87">
        <v>12180.691569361828</v>
      </c>
      <c r="E157" s="88">
        <v>13238.350807947019</v>
      </c>
      <c r="F157" s="88">
        <v>12424.305400749065</v>
      </c>
      <c r="G157" s="1123">
        <v>6.5520395783966787</v>
      </c>
      <c r="H157" s="89">
        <v>251.66666666666666</v>
      </c>
      <c r="I157" s="89">
        <v>-15.171716415115533</v>
      </c>
      <c r="J157" s="89">
        <v>-33.333333333333329</v>
      </c>
      <c r="K157" s="89">
        <v>8.4092501751927118E-2</v>
      </c>
      <c r="L157" s="1124">
        <v>-2.5236944312212822E-2</v>
      </c>
    </row>
    <row r="158" spans="1:12" ht="15">
      <c r="A158" s="46" t="s">
        <v>109</v>
      </c>
      <c r="B158" s="90" t="s">
        <v>23</v>
      </c>
      <c r="C158" s="91">
        <v>12647.092059143259</v>
      </c>
      <c r="D158" s="91">
        <v>12735.096796295637</v>
      </c>
      <c r="E158" s="92">
        <v>12900.033900326123</v>
      </c>
      <c r="F158" s="92">
        <v>12989.798732221549</v>
      </c>
      <c r="G158" s="1125">
        <v>-0.69104097566008571</v>
      </c>
      <c r="H158" s="93">
        <v>362.49487467265243</v>
      </c>
      <c r="I158" s="93">
        <v>1.3675425579660827</v>
      </c>
      <c r="J158" s="93">
        <v>-19.609022556390979</v>
      </c>
      <c r="K158" s="93">
        <v>37.463209530483532</v>
      </c>
      <c r="L158" s="1126">
        <v>-2.9279469321014986</v>
      </c>
    </row>
    <row r="159" spans="1:12" ht="15">
      <c r="A159" s="39" t="s">
        <v>110</v>
      </c>
      <c r="B159" s="40" t="s">
        <v>23</v>
      </c>
      <c r="C159" s="94">
        <v>12284.22412736954</v>
      </c>
      <c r="D159" s="94">
        <v>12505.606091440079</v>
      </c>
      <c r="E159" s="95">
        <v>12529.908609916931</v>
      </c>
      <c r="F159" s="95">
        <v>12755.718213268881</v>
      </c>
      <c r="G159" s="1127">
        <v>-1.7702617726147052</v>
      </c>
      <c r="H159" s="96">
        <v>382.8075409836066</v>
      </c>
      <c r="I159" s="96">
        <v>-1.197332232730433</v>
      </c>
      <c r="J159" s="96">
        <v>4.8109965635738838</v>
      </c>
      <c r="K159" s="96">
        <v>8.5494043447792567</v>
      </c>
      <c r="L159" s="1128">
        <v>1.4794334992982074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7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8" t="s">
        <v>100</v>
      </c>
    </row>
    <row r="161" spans="1:12" ht="15">
      <c r="A161" s="39" t="s">
        <v>98</v>
      </c>
      <c r="B161" s="40" t="s">
        <v>23</v>
      </c>
      <c r="C161" s="94">
        <v>10868.973566962461</v>
      </c>
      <c r="D161" s="94">
        <v>10840.543548410296</v>
      </c>
      <c r="E161" s="95">
        <v>11086.35303830171</v>
      </c>
      <c r="F161" s="95">
        <v>11057.354419378502</v>
      </c>
      <c r="G161" s="1127">
        <v>0.26225639355817632</v>
      </c>
      <c r="H161" s="96">
        <v>287.23830297219558</v>
      </c>
      <c r="I161" s="96">
        <v>0.68368982827960634</v>
      </c>
      <c r="J161" s="96">
        <v>-12.683131017161992</v>
      </c>
      <c r="K161" s="96">
        <v>29.236159775753329</v>
      </c>
      <c r="L161" s="1128">
        <v>0.21526570383884547</v>
      </c>
    </row>
    <row r="162" spans="1:12" ht="15.75" thickBot="1">
      <c r="A162" s="41" t="s">
        <v>112</v>
      </c>
      <c r="B162" s="42" t="s">
        <v>23</v>
      </c>
      <c r="C162" s="97">
        <v>13041.822336935085</v>
      </c>
      <c r="D162" s="97">
        <v>13130.225216997851</v>
      </c>
      <c r="E162" s="98">
        <v>13302.658783673787</v>
      </c>
      <c r="F162" s="98">
        <v>13392.829721337808</v>
      </c>
      <c r="G162" s="1129">
        <v>-0.6732777130762615</v>
      </c>
      <c r="H162" s="99">
        <v>290.40028409090911</v>
      </c>
      <c r="I162" s="99">
        <v>-0.12469258554669602</v>
      </c>
      <c r="J162" s="99">
        <v>-8.6663207057602492</v>
      </c>
      <c r="K162" s="99">
        <v>24.667133847231955</v>
      </c>
      <c r="L162" s="1130">
        <v>1.2584846732766586</v>
      </c>
    </row>
    <row r="163" spans="1:12" ht="15" thickBot="1">
      <c r="A163" s="35"/>
      <c r="B163" s="43"/>
      <c r="C163" s="86"/>
      <c r="D163" s="86"/>
      <c r="E163" s="86"/>
      <c r="F163" s="86"/>
      <c r="G163" s="1121"/>
      <c r="H163" s="85"/>
      <c r="I163" s="85"/>
      <c r="J163" s="85"/>
      <c r="K163" s="85"/>
      <c r="L163" s="1122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31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32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7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3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7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3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257</v>
      </c>
      <c r="E167" s="106" t="s">
        <v>100</v>
      </c>
      <c r="F167" s="106" t="s">
        <v>257</v>
      </c>
      <c r="G167" s="1134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135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257</v>
      </c>
      <c r="E168" s="95" t="s">
        <v>100</v>
      </c>
      <c r="F168" s="95" t="s">
        <v>257</v>
      </c>
      <c r="G168" s="1127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33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127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3" t="s">
        <v>100</v>
      </c>
    </row>
    <row r="170" spans="1:12" ht="14.25">
      <c r="A170" s="44" t="s">
        <v>113</v>
      </c>
      <c r="B170" s="48" t="s">
        <v>31</v>
      </c>
      <c r="C170" s="105">
        <v>12978.775301908843</v>
      </c>
      <c r="D170" s="105" t="s">
        <v>257</v>
      </c>
      <c r="E170" s="106">
        <v>13238.350807947019</v>
      </c>
      <c r="F170" s="106" t="s">
        <v>257</v>
      </c>
      <c r="G170" s="1134" t="s">
        <v>100</v>
      </c>
      <c r="H170" s="107">
        <v>251.66666666666666</v>
      </c>
      <c r="I170" s="107" t="s">
        <v>100</v>
      </c>
      <c r="J170" s="108" t="s">
        <v>100</v>
      </c>
      <c r="K170" s="108" t="s">
        <v>100</v>
      </c>
      <c r="L170" s="1135" t="s">
        <v>100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27" t="s">
        <v>100</v>
      </c>
      <c r="H171" s="96" t="s">
        <v>257</v>
      </c>
      <c r="I171" s="96" t="s">
        <v>100</v>
      </c>
      <c r="J171" s="104" t="s">
        <v>100</v>
      </c>
      <c r="K171" s="104" t="s">
        <v>100</v>
      </c>
      <c r="L171" s="1133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136" t="s">
        <v>100</v>
      </c>
      <c r="H172" s="104" t="s">
        <v>257</v>
      </c>
      <c r="I172" s="104" t="s">
        <v>100</v>
      </c>
      <c r="J172" s="104" t="s">
        <v>100</v>
      </c>
      <c r="K172" s="104" t="s">
        <v>100</v>
      </c>
      <c r="L172" s="1133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21"/>
      <c r="H173" s="85"/>
      <c r="I173" s="85"/>
      <c r="J173" s="85"/>
      <c r="K173" s="85"/>
      <c r="L173" s="1122"/>
    </row>
    <row r="174" spans="1:12" ht="14.25">
      <c r="A174" s="44" t="s">
        <v>114</v>
      </c>
      <c r="B174" s="45" t="s">
        <v>25</v>
      </c>
      <c r="C174" s="100">
        <v>13244.999940865673</v>
      </c>
      <c r="D174" s="100">
        <v>13515.683177689287</v>
      </c>
      <c r="E174" s="101">
        <v>13509.899939682988</v>
      </c>
      <c r="F174" s="101">
        <v>13785.996841243074</v>
      </c>
      <c r="G174" s="1131">
        <v>-2.0027344031742169</v>
      </c>
      <c r="H174" s="102">
        <v>434.65609756097564</v>
      </c>
      <c r="I174" s="102">
        <v>4.195277435024928</v>
      </c>
      <c r="J174" s="103">
        <v>-17.587939698492463</v>
      </c>
      <c r="K174" s="103">
        <v>2.2985283812193411</v>
      </c>
      <c r="L174" s="1132">
        <v>-0.11886714842108637</v>
      </c>
    </row>
    <row r="175" spans="1:12" ht="15">
      <c r="A175" s="46" t="s">
        <v>114</v>
      </c>
      <c r="B175" s="47" t="s">
        <v>26</v>
      </c>
      <c r="C175" s="94">
        <v>13457.407843137255</v>
      </c>
      <c r="D175" s="94">
        <v>13570.207843137254</v>
      </c>
      <c r="E175" s="95">
        <v>13726.556</v>
      </c>
      <c r="F175" s="95">
        <v>13841.611999999999</v>
      </c>
      <c r="G175" s="1127">
        <v>-0.8312326627852209</v>
      </c>
      <c r="H175" s="96">
        <v>416.3</v>
      </c>
      <c r="I175" s="96">
        <v>2.3604622571920393</v>
      </c>
      <c r="J175" s="104">
        <v>-5.1020408163265305</v>
      </c>
      <c r="K175" s="104">
        <v>1.3034337771548703</v>
      </c>
      <c r="L175" s="1133">
        <v>0.11295758667867983</v>
      </c>
    </row>
    <row r="176" spans="1:12" ht="15">
      <c r="A176" s="46" t="s">
        <v>114</v>
      </c>
      <c r="B176" s="47" t="s">
        <v>27</v>
      </c>
      <c r="C176" s="94">
        <v>12992.48431372549</v>
      </c>
      <c r="D176" s="94">
        <v>13465.327450980392</v>
      </c>
      <c r="E176" s="95">
        <v>13252.334000000001</v>
      </c>
      <c r="F176" s="95">
        <v>13734.634</v>
      </c>
      <c r="G176" s="1127">
        <v>-3.5115606284084402</v>
      </c>
      <c r="H176" s="96">
        <v>458.7</v>
      </c>
      <c r="I176" s="96">
        <v>7.3484671191200501</v>
      </c>
      <c r="J176" s="104">
        <v>-29.702970297029701</v>
      </c>
      <c r="K176" s="104">
        <v>0.99509460406447081</v>
      </c>
      <c r="L176" s="1133">
        <v>-0.2318247350997662</v>
      </c>
    </row>
    <row r="177" spans="1:12" ht="14.25">
      <c r="A177" s="44" t="s">
        <v>114</v>
      </c>
      <c r="B177" s="48" t="s">
        <v>28</v>
      </c>
      <c r="C177" s="105">
        <v>12929.893608420471</v>
      </c>
      <c r="D177" s="105">
        <v>12975.32441591114</v>
      </c>
      <c r="E177" s="106">
        <v>13188.49148058888</v>
      </c>
      <c r="F177" s="106">
        <v>13234.830904229362</v>
      </c>
      <c r="G177" s="1134">
        <v>-0.35013234378138991</v>
      </c>
      <c r="H177" s="107">
        <v>389.88333333333333</v>
      </c>
      <c r="I177" s="107">
        <v>2.2723020966684278</v>
      </c>
      <c r="J177" s="108">
        <v>-17.31266149870801</v>
      </c>
      <c r="K177" s="108">
        <v>13.454800280308341</v>
      </c>
      <c r="L177" s="1135">
        <v>-0.64869826196571267</v>
      </c>
    </row>
    <row r="178" spans="1:12" ht="15">
      <c r="A178" s="46" t="s">
        <v>114</v>
      </c>
      <c r="B178" s="47" t="s">
        <v>29</v>
      </c>
      <c r="C178" s="94">
        <v>12931.552941176469</v>
      </c>
      <c r="D178" s="94">
        <v>12945.05</v>
      </c>
      <c r="E178" s="95">
        <v>13190.183999999999</v>
      </c>
      <c r="F178" s="95">
        <v>13203.950999999999</v>
      </c>
      <c r="G178" s="1127">
        <v>-0.10426424636080388</v>
      </c>
      <c r="H178" s="96">
        <v>372.5</v>
      </c>
      <c r="I178" s="96">
        <v>1.1129207383279107</v>
      </c>
      <c r="J178" s="104">
        <v>-21.722113502935418</v>
      </c>
      <c r="K178" s="104">
        <v>5.6061667834618074</v>
      </c>
      <c r="L178" s="1133">
        <v>-0.6013162097354714</v>
      </c>
    </row>
    <row r="179" spans="1:12" ht="15">
      <c r="A179" s="46" t="s">
        <v>114</v>
      </c>
      <c r="B179" s="47" t="s">
        <v>30</v>
      </c>
      <c r="C179" s="94">
        <v>12928.796078431371</v>
      </c>
      <c r="D179" s="94">
        <v>12997.729411764705</v>
      </c>
      <c r="E179" s="95">
        <v>13187.371999999999</v>
      </c>
      <c r="F179" s="95">
        <v>13257.683999999999</v>
      </c>
      <c r="G179" s="1127">
        <v>-0.53034904135594052</v>
      </c>
      <c r="H179" s="96">
        <v>402.3</v>
      </c>
      <c r="I179" s="96">
        <v>2.8111423460260672</v>
      </c>
      <c r="J179" s="104">
        <v>-13.846153846153847</v>
      </c>
      <c r="K179" s="104">
        <v>7.8486334968465314</v>
      </c>
      <c r="L179" s="1133">
        <v>-4.7382052230242167E-2</v>
      </c>
    </row>
    <row r="180" spans="1:12" ht="14.25">
      <c r="A180" s="44" t="s">
        <v>114</v>
      </c>
      <c r="B180" s="48" t="s">
        <v>31</v>
      </c>
      <c r="C180" s="105">
        <v>12363.429489911363</v>
      </c>
      <c r="D180" s="105">
        <v>12477.147576505578</v>
      </c>
      <c r="E180" s="106">
        <v>12610.698079709591</v>
      </c>
      <c r="F180" s="106">
        <v>12726.69052803569</v>
      </c>
      <c r="G180" s="1134">
        <v>-0.91141092863520212</v>
      </c>
      <c r="H180" s="107">
        <v>337.88069722401548</v>
      </c>
      <c r="I180" s="107">
        <v>7.7170912399024488E-2</v>
      </c>
      <c r="J180" s="108">
        <v>-21.170483460559797</v>
      </c>
      <c r="K180" s="108">
        <v>21.709880868955853</v>
      </c>
      <c r="L180" s="1135">
        <v>-2.1603815217147009</v>
      </c>
    </row>
    <row r="181" spans="1:12" ht="15">
      <c r="A181" s="46" t="s">
        <v>114</v>
      </c>
      <c r="B181" s="47" t="s">
        <v>32</v>
      </c>
      <c r="C181" s="94">
        <v>12338.671568627451</v>
      </c>
      <c r="D181" s="94">
        <v>12430.169607843136</v>
      </c>
      <c r="E181" s="95">
        <v>12585.445</v>
      </c>
      <c r="F181" s="95">
        <v>12678.772999999999</v>
      </c>
      <c r="G181" s="1127">
        <v>-0.73609646611702506</v>
      </c>
      <c r="H181" s="96">
        <v>327.8</v>
      </c>
      <c r="I181" s="96">
        <v>0.1833740831295913</v>
      </c>
      <c r="J181" s="104">
        <v>-19.263456090651555</v>
      </c>
      <c r="K181" s="104">
        <v>11.983181499649614</v>
      </c>
      <c r="L181" s="1133">
        <v>-0.8812499872308539</v>
      </c>
    </row>
    <row r="182" spans="1:12" ht="15.75" thickBot="1">
      <c r="A182" s="49" t="s">
        <v>114</v>
      </c>
      <c r="B182" s="50" t="s">
        <v>33</v>
      </c>
      <c r="C182" s="109">
        <v>12391.97156862745</v>
      </c>
      <c r="D182" s="109">
        <v>12528.522549019608</v>
      </c>
      <c r="E182" s="110">
        <v>12639.811</v>
      </c>
      <c r="F182" s="110">
        <v>12779.093000000001</v>
      </c>
      <c r="G182" s="1136">
        <v>-1.089920857450533</v>
      </c>
      <c r="H182" s="104">
        <v>350.3</v>
      </c>
      <c r="I182" s="104">
        <v>0.1429388221841052</v>
      </c>
      <c r="J182" s="104">
        <v>-23.399558498896248</v>
      </c>
      <c r="K182" s="104">
        <v>9.7266993693062371</v>
      </c>
      <c r="L182" s="1133">
        <v>-1.2791315344838505</v>
      </c>
    </row>
    <row r="183" spans="1:12" ht="15.75" thickBot="1">
      <c r="A183" s="51"/>
      <c r="B183" s="52"/>
      <c r="C183" s="111"/>
      <c r="D183" s="111"/>
      <c r="E183" s="111"/>
      <c r="F183" s="111"/>
      <c r="G183" s="1137"/>
      <c r="H183" s="112"/>
      <c r="I183" s="112"/>
      <c r="J183" s="112"/>
      <c r="K183" s="112"/>
      <c r="L183" s="1138"/>
    </row>
    <row r="184" spans="1:12" ht="15">
      <c r="A184" s="46" t="s">
        <v>115</v>
      </c>
      <c r="B184" s="53" t="s">
        <v>30</v>
      </c>
      <c r="C184" s="113">
        <v>12607.813725490196</v>
      </c>
      <c r="D184" s="113">
        <v>12677.88725490196</v>
      </c>
      <c r="E184" s="114">
        <v>12859.97</v>
      </c>
      <c r="F184" s="114">
        <v>12931.445</v>
      </c>
      <c r="G184" s="1139">
        <v>-0.55272245290453126</v>
      </c>
      <c r="H184" s="115">
        <v>410.7</v>
      </c>
      <c r="I184" s="115">
        <v>-0.86893555394642108</v>
      </c>
      <c r="J184" s="115">
        <v>-3.8277511961722488</v>
      </c>
      <c r="K184" s="115">
        <v>2.8170988086895585</v>
      </c>
      <c r="L184" s="1140">
        <v>0.27822611675564213</v>
      </c>
    </row>
    <row r="185" spans="1:12" ht="15.75" thickBot="1">
      <c r="A185" s="49" t="s">
        <v>115</v>
      </c>
      <c r="B185" s="50" t="s">
        <v>33</v>
      </c>
      <c r="C185" s="109">
        <v>12107.276470588236</v>
      </c>
      <c r="D185" s="109">
        <v>12398.226470588235</v>
      </c>
      <c r="E185" s="110">
        <v>12349.422</v>
      </c>
      <c r="F185" s="110">
        <v>12646.191000000001</v>
      </c>
      <c r="G185" s="1136">
        <v>-2.3467066091283946</v>
      </c>
      <c r="H185" s="104">
        <v>369.1</v>
      </c>
      <c r="I185" s="104">
        <v>-0.8861439312567011</v>
      </c>
      <c r="J185" s="104">
        <v>9.6514745308310985</v>
      </c>
      <c r="K185" s="104">
        <v>5.7323055360896982</v>
      </c>
      <c r="L185" s="1133">
        <v>1.2012073825425649</v>
      </c>
    </row>
    <row r="186" spans="1:12" ht="15.75" thickBot="1">
      <c r="A186" s="51"/>
      <c r="B186" s="52"/>
      <c r="C186" s="111"/>
      <c r="D186" s="111"/>
      <c r="E186" s="111"/>
      <c r="F186" s="111"/>
      <c r="G186" s="1137"/>
      <c r="H186" s="112"/>
      <c r="I186" s="112"/>
      <c r="J186" s="112"/>
      <c r="K186" s="112"/>
      <c r="L186" s="1138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31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32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7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3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7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3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7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3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4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5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7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3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7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3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4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5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7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3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6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3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7"/>
      <c r="H197" s="112"/>
      <c r="I197" s="112"/>
      <c r="J197" s="112"/>
      <c r="K197" s="112"/>
      <c r="L197" s="1138"/>
    </row>
    <row r="198" spans="1:12" ht="14.25">
      <c r="A198" s="44" t="s">
        <v>24</v>
      </c>
      <c r="B198" s="45" t="s">
        <v>28</v>
      </c>
      <c r="C198" s="100">
        <v>11823.062259696955</v>
      </c>
      <c r="D198" s="100">
        <v>11916.878881339089</v>
      </c>
      <c r="E198" s="101">
        <v>12059.523504890894</v>
      </c>
      <c r="F198" s="101">
        <v>12155.216458965871</v>
      </c>
      <c r="G198" s="1131">
        <v>-0.78725832977159738</v>
      </c>
      <c r="H198" s="102">
        <v>363.1098360655738</v>
      </c>
      <c r="I198" s="102">
        <v>1.5508660473584581</v>
      </c>
      <c r="J198" s="103">
        <v>-25.30612244897959</v>
      </c>
      <c r="K198" s="103">
        <v>2.564821303433777</v>
      </c>
      <c r="L198" s="1132">
        <v>-0.41136917275669882</v>
      </c>
    </row>
    <row r="199" spans="1:12" ht="15">
      <c r="A199" s="46" t="s">
        <v>24</v>
      </c>
      <c r="B199" s="47" t="s">
        <v>29</v>
      </c>
      <c r="C199" s="94">
        <v>11601.74019607843</v>
      </c>
      <c r="D199" s="94">
        <v>11614.057843137254</v>
      </c>
      <c r="E199" s="95">
        <v>11833.775</v>
      </c>
      <c r="F199" s="95">
        <v>11846.339</v>
      </c>
      <c r="G199" s="1127">
        <v>-0.10605808258568579</v>
      </c>
      <c r="H199" s="96">
        <v>329.7</v>
      </c>
      <c r="I199" s="96">
        <v>-2.2241992882562278</v>
      </c>
      <c r="J199" s="104">
        <v>6.25</v>
      </c>
      <c r="K199" s="104">
        <v>0.47652417659425367</v>
      </c>
      <c r="L199" s="1133">
        <v>8.7797257255089467E-2</v>
      </c>
    </row>
    <row r="200" spans="1:12" ht="15">
      <c r="A200" s="46" t="s">
        <v>24</v>
      </c>
      <c r="B200" s="47" t="s">
        <v>30</v>
      </c>
      <c r="C200" s="94">
        <v>11916.524509803921</v>
      </c>
      <c r="D200" s="94">
        <v>11975.808823529413</v>
      </c>
      <c r="E200" s="95">
        <v>12154.855</v>
      </c>
      <c r="F200" s="95">
        <v>12215.325000000001</v>
      </c>
      <c r="G200" s="1127">
        <v>-0.49503390208611858</v>
      </c>
      <c r="H200" s="96">
        <v>358.5</v>
      </c>
      <c r="I200" s="96">
        <v>2.487135506003427</v>
      </c>
      <c r="J200" s="104">
        <v>-30.952380952380953</v>
      </c>
      <c r="K200" s="104">
        <v>1.2193412754029431</v>
      </c>
      <c r="L200" s="1133">
        <v>-0.31127096949501598</v>
      </c>
    </row>
    <row r="201" spans="1:12" ht="15">
      <c r="A201" s="46" t="s">
        <v>24</v>
      </c>
      <c r="B201" s="47" t="s">
        <v>35</v>
      </c>
      <c r="C201" s="94">
        <v>11805.013725490195</v>
      </c>
      <c r="D201" s="94">
        <v>11937.33725490196</v>
      </c>
      <c r="E201" s="95">
        <v>12041.114</v>
      </c>
      <c r="F201" s="95">
        <v>12176.084000000001</v>
      </c>
      <c r="G201" s="1127">
        <v>-1.1084844684054509</v>
      </c>
      <c r="H201" s="96">
        <v>387.9</v>
      </c>
      <c r="I201" s="96">
        <v>3.0826468243422709</v>
      </c>
      <c r="J201" s="104">
        <v>-28.735632183908045</v>
      </c>
      <c r="K201" s="104">
        <v>0.86895585143658016</v>
      </c>
      <c r="L201" s="1133">
        <v>-0.18789546051677253</v>
      </c>
    </row>
    <row r="202" spans="1:12" ht="14.25">
      <c r="A202" s="44" t="s">
        <v>24</v>
      </c>
      <c r="B202" s="48" t="s">
        <v>31</v>
      </c>
      <c r="C202" s="105">
        <v>11254.729788016375</v>
      </c>
      <c r="D202" s="105">
        <v>11289.542027035757</v>
      </c>
      <c r="E202" s="106">
        <v>11479.824383776702</v>
      </c>
      <c r="F202" s="106">
        <v>11515.332867576473</v>
      </c>
      <c r="G202" s="1134">
        <v>-0.30835829244460394</v>
      </c>
      <c r="H202" s="107">
        <v>298.67155835080365</v>
      </c>
      <c r="I202" s="107">
        <v>-0.37073462011489511</v>
      </c>
      <c r="J202" s="108">
        <v>-5.1061007957559683</v>
      </c>
      <c r="K202" s="108">
        <v>20.056061667834619</v>
      </c>
      <c r="L202" s="1135">
        <v>1.7373055939765045</v>
      </c>
    </row>
    <row r="203" spans="1:12" ht="15">
      <c r="A203" s="46" t="s">
        <v>24</v>
      </c>
      <c r="B203" s="47" t="s">
        <v>32</v>
      </c>
      <c r="C203" s="94">
        <v>11007.636274509805</v>
      </c>
      <c r="D203" s="94">
        <v>10930.380392156861</v>
      </c>
      <c r="E203" s="95">
        <v>11227.789000000001</v>
      </c>
      <c r="F203" s="95">
        <v>11148.987999999999</v>
      </c>
      <c r="G203" s="1127">
        <v>0.7067995767867119</v>
      </c>
      <c r="H203" s="96">
        <v>274.39999999999998</v>
      </c>
      <c r="I203" s="96">
        <v>-0.39927404718694115</v>
      </c>
      <c r="J203" s="104">
        <v>-3.800475059382423</v>
      </c>
      <c r="K203" s="104">
        <v>5.6762438682550806</v>
      </c>
      <c r="L203" s="1133">
        <v>0.56205533569920174</v>
      </c>
    </row>
    <row r="204" spans="1:12" ht="15">
      <c r="A204" s="46" t="s">
        <v>24</v>
      </c>
      <c r="B204" s="47" t="s">
        <v>33</v>
      </c>
      <c r="C204" s="94">
        <v>11306.679411764706</v>
      </c>
      <c r="D204" s="94">
        <v>11381.929411764704</v>
      </c>
      <c r="E204" s="95">
        <v>11532.813</v>
      </c>
      <c r="F204" s="95">
        <v>11609.567999999999</v>
      </c>
      <c r="G204" s="1127">
        <v>-0.66113571150967199</v>
      </c>
      <c r="H204" s="96">
        <v>298.60000000000002</v>
      </c>
      <c r="I204" s="96">
        <v>-0.73138297872340041</v>
      </c>
      <c r="J204" s="104">
        <v>-11.15151515151515</v>
      </c>
      <c r="K204" s="104">
        <v>10.273300630693763</v>
      </c>
      <c r="L204" s="1133">
        <v>0.25143474148093503</v>
      </c>
    </row>
    <row r="205" spans="1:12" ht="15">
      <c r="A205" s="46" t="s">
        <v>24</v>
      </c>
      <c r="B205" s="47" t="s">
        <v>36</v>
      </c>
      <c r="C205" s="94">
        <v>11419.893137254901</v>
      </c>
      <c r="D205" s="94">
        <v>11502.560784313724</v>
      </c>
      <c r="E205" s="95">
        <v>11648.290999999999</v>
      </c>
      <c r="F205" s="95">
        <v>11732.611999999999</v>
      </c>
      <c r="G205" s="1127">
        <v>-0.71868906940756183</v>
      </c>
      <c r="H205" s="96">
        <v>332.4</v>
      </c>
      <c r="I205" s="96">
        <v>-0.95351609058404208</v>
      </c>
      <c r="J205" s="104">
        <v>11.83206106870229</v>
      </c>
      <c r="K205" s="104">
        <v>4.1065171688857749</v>
      </c>
      <c r="L205" s="1133">
        <v>0.92381551679636775</v>
      </c>
    </row>
    <row r="206" spans="1:12" ht="14.25">
      <c r="A206" s="44" t="s">
        <v>24</v>
      </c>
      <c r="B206" s="48" t="s">
        <v>37</v>
      </c>
      <c r="C206" s="105">
        <v>8701.734792891808</v>
      </c>
      <c r="D206" s="105">
        <v>8744.8545544074113</v>
      </c>
      <c r="E206" s="106">
        <v>8875.7694887496436</v>
      </c>
      <c r="F206" s="106">
        <v>8919.7516454955603</v>
      </c>
      <c r="G206" s="1134">
        <v>-0.49308723486855682</v>
      </c>
      <c r="H206" s="107">
        <v>223.15889830508479</v>
      </c>
      <c r="I206" s="107">
        <v>3.6975316601833667E-2</v>
      </c>
      <c r="J206" s="108">
        <v>-25.786163522012579</v>
      </c>
      <c r="K206" s="108">
        <v>6.6152768044849335</v>
      </c>
      <c r="L206" s="1135">
        <v>-1.1106707173809554</v>
      </c>
    </row>
    <row r="207" spans="1:12" ht="15">
      <c r="A207" s="46" t="s">
        <v>24</v>
      </c>
      <c r="B207" s="47" t="s">
        <v>102</v>
      </c>
      <c r="C207" s="116">
        <v>8312.2637254901965</v>
      </c>
      <c r="D207" s="116">
        <v>8360.5323529411762</v>
      </c>
      <c r="E207" s="117">
        <v>8478.509</v>
      </c>
      <c r="F207" s="117">
        <v>8527.7430000000004</v>
      </c>
      <c r="G207" s="1141">
        <v>-0.57733916230824933</v>
      </c>
      <c r="H207" s="118">
        <v>205.4</v>
      </c>
      <c r="I207" s="118">
        <v>-0.14584346135147447</v>
      </c>
      <c r="J207" s="119">
        <v>-28.947368421052634</v>
      </c>
      <c r="K207" s="119">
        <v>3.4057463209530487</v>
      </c>
      <c r="L207" s="1142">
        <v>-0.74877262948426893</v>
      </c>
    </row>
    <row r="208" spans="1:12" ht="15">
      <c r="A208" s="46" t="s">
        <v>24</v>
      </c>
      <c r="B208" s="47" t="s">
        <v>38</v>
      </c>
      <c r="C208" s="94">
        <v>8765.149019607843</v>
      </c>
      <c r="D208" s="94">
        <v>8865.7431372549036</v>
      </c>
      <c r="E208" s="95">
        <v>8940.4519999999993</v>
      </c>
      <c r="F208" s="95">
        <v>9043.0580000000009</v>
      </c>
      <c r="G208" s="1127">
        <v>-1.1346383048743198</v>
      </c>
      <c r="H208" s="96">
        <v>234.3</v>
      </c>
      <c r="I208" s="96">
        <v>-1.5546218487394909</v>
      </c>
      <c r="J208" s="104">
        <v>-26.086956521739129</v>
      </c>
      <c r="K208" s="104">
        <v>2.3826208829712687</v>
      </c>
      <c r="L208" s="1133">
        <v>-0.41135384977897438</v>
      </c>
    </row>
    <row r="209" spans="1:12" ht="15.75" thickBot="1">
      <c r="A209" s="46" t="s">
        <v>24</v>
      </c>
      <c r="B209" s="47" t="s">
        <v>39</v>
      </c>
      <c r="C209" s="94">
        <v>9786.5784313725489</v>
      </c>
      <c r="D209" s="94">
        <v>9960.8754901960783</v>
      </c>
      <c r="E209" s="95">
        <v>9982.31</v>
      </c>
      <c r="F209" s="95">
        <v>10160.093000000001</v>
      </c>
      <c r="G209" s="1127">
        <v>-1.7498166601427885</v>
      </c>
      <c r="H209" s="96">
        <v>264.2</v>
      </c>
      <c r="I209" s="96">
        <v>0.72436141822339961</v>
      </c>
      <c r="J209" s="104">
        <v>-7.8125</v>
      </c>
      <c r="K209" s="104">
        <v>0.82690960056061669</v>
      </c>
      <c r="L209" s="1133">
        <v>4.9455761882288285E-2</v>
      </c>
    </row>
    <row r="210" spans="1:12" ht="15.75" thickBot="1">
      <c r="A210" s="51"/>
      <c r="B210" s="52"/>
      <c r="C210" s="111"/>
      <c r="D210" s="111"/>
      <c r="E210" s="111"/>
      <c r="F210" s="111"/>
      <c r="G210" s="1137"/>
      <c r="H210" s="112"/>
      <c r="I210" s="112"/>
      <c r="J210" s="112"/>
      <c r="K210" s="112"/>
      <c r="L210" s="1138"/>
    </row>
    <row r="211" spans="1:12" ht="14.25">
      <c r="A211" s="44" t="s">
        <v>117</v>
      </c>
      <c r="B211" s="48" t="s">
        <v>25</v>
      </c>
      <c r="C211" s="105">
        <v>13810.104080539171</v>
      </c>
      <c r="D211" s="105">
        <v>14025.660260573113</v>
      </c>
      <c r="E211" s="106">
        <v>14086.306162149955</v>
      </c>
      <c r="F211" s="106">
        <v>14306.173465784575</v>
      </c>
      <c r="G211" s="1134">
        <v>-1.5368701082820468</v>
      </c>
      <c r="H211" s="107">
        <v>340.6084615384616</v>
      </c>
      <c r="I211" s="107">
        <v>-1.1160348671036524E-2</v>
      </c>
      <c r="J211" s="108">
        <v>-8.4507042253521121</v>
      </c>
      <c r="K211" s="108">
        <v>1.8220042046250877</v>
      </c>
      <c r="L211" s="1135">
        <v>9.7028500057546374E-2</v>
      </c>
    </row>
    <row r="212" spans="1:12" ht="15">
      <c r="A212" s="46" t="s">
        <v>117</v>
      </c>
      <c r="B212" s="47" t="s">
        <v>26</v>
      </c>
      <c r="C212" s="94">
        <v>12908.048039215686</v>
      </c>
      <c r="D212" s="94">
        <v>13665.924509803921</v>
      </c>
      <c r="E212" s="95">
        <v>13166.209000000001</v>
      </c>
      <c r="F212" s="95">
        <v>13939.243</v>
      </c>
      <c r="G212" s="1127">
        <v>-5.5457387463580314</v>
      </c>
      <c r="H212" s="96">
        <v>315</v>
      </c>
      <c r="I212" s="96">
        <v>-7.516147974163248</v>
      </c>
      <c r="J212" s="104">
        <v>22.222222222222221</v>
      </c>
      <c r="K212" s="104">
        <v>0.30833917309039943</v>
      </c>
      <c r="L212" s="1133">
        <v>8.9680280962119552E-2</v>
      </c>
    </row>
    <row r="213" spans="1:12" ht="15">
      <c r="A213" s="46" t="s">
        <v>117</v>
      </c>
      <c r="B213" s="47" t="s">
        <v>27</v>
      </c>
      <c r="C213" s="94">
        <v>13853.97156862745</v>
      </c>
      <c r="D213" s="94">
        <v>14037.489215686273</v>
      </c>
      <c r="E213" s="95">
        <v>14131.050999999999</v>
      </c>
      <c r="F213" s="95">
        <v>14318.239</v>
      </c>
      <c r="G213" s="1127">
        <v>-1.3073395408471677</v>
      </c>
      <c r="H213" s="96">
        <v>333.5</v>
      </c>
      <c r="I213" s="96">
        <v>0.60331825037707398</v>
      </c>
      <c r="J213" s="104">
        <v>-22.972972972972975</v>
      </c>
      <c r="K213" s="104">
        <v>0.79887876664330759</v>
      </c>
      <c r="L213" s="1133">
        <v>-0.10005223432850974</v>
      </c>
    </row>
    <row r="214" spans="1:12" ht="15">
      <c r="A214" s="46" t="s">
        <v>117</v>
      </c>
      <c r="B214" s="47" t="s">
        <v>34</v>
      </c>
      <c r="C214" s="94">
        <v>14105.48725490196</v>
      </c>
      <c r="D214" s="94">
        <v>14133.792156862746</v>
      </c>
      <c r="E214" s="95">
        <v>14387.597</v>
      </c>
      <c r="F214" s="95">
        <v>14416.468000000001</v>
      </c>
      <c r="G214" s="1127">
        <v>-0.20026403138411575</v>
      </c>
      <c r="H214" s="96">
        <v>359.6</v>
      </c>
      <c r="I214" s="96">
        <v>1.5245623941276212</v>
      </c>
      <c r="J214" s="104">
        <v>2</v>
      </c>
      <c r="K214" s="104">
        <v>0.71478626489138053</v>
      </c>
      <c r="L214" s="1133">
        <v>0.10740045342393634</v>
      </c>
    </row>
    <row r="215" spans="1:12" ht="14.25">
      <c r="A215" s="44" t="s">
        <v>117</v>
      </c>
      <c r="B215" s="48" t="s">
        <v>28</v>
      </c>
      <c r="C215" s="105">
        <v>13488.365130824033</v>
      </c>
      <c r="D215" s="105">
        <v>13535.379054678537</v>
      </c>
      <c r="E215" s="106">
        <v>13758.132433440514</v>
      </c>
      <c r="F215" s="106">
        <v>13806.086635772108</v>
      </c>
      <c r="G215" s="1134">
        <v>-0.34734102136765005</v>
      </c>
      <c r="H215" s="107">
        <v>306.62084507042255</v>
      </c>
      <c r="I215" s="107">
        <v>-0.1208726679174571</v>
      </c>
      <c r="J215" s="108">
        <v>-15.576694411414982</v>
      </c>
      <c r="K215" s="108">
        <v>9.950946040644709</v>
      </c>
      <c r="L215" s="1135">
        <v>-0.26528330823770219</v>
      </c>
    </row>
    <row r="216" spans="1:12" ht="15">
      <c r="A216" s="46" t="s">
        <v>117</v>
      </c>
      <c r="B216" s="47" t="s">
        <v>29</v>
      </c>
      <c r="C216" s="94">
        <v>13257.116666666667</v>
      </c>
      <c r="D216" s="94">
        <v>13282.005882352942</v>
      </c>
      <c r="E216" s="95">
        <v>13522.259</v>
      </c>
      <c r="F216" s="95">
        <v>13547.646000000001</v>
      </c>
      <c r="G216" s="1127">
        <v>-0.1873904883549557</v>
      </c>
      <c r="H216" s="96">
        <v>276.60000000000002</v>
      </c>
      <c r="I216" s="96">
        <v>-0.64655172413791473</v>
      </c>
      <c r="J216" s="104">
        <v>11.688311688311687</v>
      </c>
      <c r="K216" s="104">
        <v>1.2053258584442887</v>
      </c>
      <c r="L216" s="1133">
        <v>0.26995170878442476</v>
      </c>
    </row>
    <row r="217" spans="1:12" ht="15">
      <c r="A217" s="46" t="s">
        <v>117</v>
      </c>
      <c r="B217" s="47" t="s">
        <v>30</v>
      </c>
      <c r="C217" s="94">
        <v>13536.616666666667</v>
      </c>
      <c r="D217" s="94">
        <v>13554.230392156864</v>
      </c>
      <c r="E217" s="95">
        <v>13807.349</v>
      </c>
      <c r="F217" s="95">
        <v>13825.315000000001</v>
      </c>
      <c r="G217" s="1127">
        <v>-0.12995002283854182</v>
      </c>
      <c r="H217" s="96">
        <v>300.8</v>
      </c>
      <c r="I217" s="96">
        <v>0.73677160080374704</v>
      </c>
      <c r="J217" s="104">
        <v>-23.206751054852319</v>
      </c>
      <c r="K217" s="104">
        <v>5.1016117729502453</v>
      </c>
      <c r="L217" s="1133">
        <v>-0.65640571976112483</v>
      </c>
    </row>
    <row r="218" spans="1:12" ht="15">
      <c r="A218" s="46" t="s">
        <v>117</v>
      </c>
      <c r="B218" s="47" t="s">
        <v>35</v>
      </c>
      <c r="C218" s="94">
        <v>13490.946078431372</v>
      </c>
      <c r="D218" s="94">
        <v>13564.411764705883</v>
      </c>
      <c r="E218" s="95">
        <v>13760.764999999999</v>
      </c>
      <c r="F218" s="95">
        <v>13835.7</v>
      </c>
      <c r="G218" s="1127">
        <v>-0.54160613485404641</v>
      </c>
      <c r="H218" s="96">
        <v>324.7</v>
      </c>
      <c r="I218" s="96">
        <v>-1.0965580261955596</v>
      </c>
      <c r="J218" s="104">
        <v>-10.344827586206897</v>
      </c>
      <c r="K218" s="104">
        <v>3.6440084092501754</v>
      </c>
      <c r="L218" s="1133">
        <v>0.12117070273899921</v>
      </c>
    </row>
    <row r="219" spans="1:12" ht="14.25">
      <c r="A219" s="44" t="s">
        <v>117</v>
      </c>
      <c r="B219" s="48" t="s">
        <v>31</v>
      </c>
      <c r="C219" s="105">
        <v>12514.998242850732</v>
      </c>
      <c r="D219" s="105">
        <v>12547.316711289654</v>
      </c>
      <c r="E219" s="106">
        <v>12765.298207707747</v>
      </c>
      <c r="F219" s="106">
        <v>12798.263045515447</v>
      </c>
      <c r="G219" s="1134">
        <v>-0.25757274788355705</v>
      </c>
      <c r="H219" s="107">
        <v>270.78760869565218</v>
      </c>
      <c r="I219" s="107">
        <v>0.73912015412757948</v>
      </c>
      <c r="J219" s="108">
        <v>-2.5423728813559325</v>
      </c>
      <c r="K219" s="108">
        <v>12.894183601962158</v>
      </c>
      <c r="L219" s="1135">
        <v>1.4267394814568135</v>
      </c>
    </row>
    <row r="220" spans="1:12" ht="15">
      <c r="A220" s="46" t="s">
        <v>117</v>
      </c>
      <c r="B220" s="47" t="s">
        <v>32</v>
      </c>
      <c r="C220" s="94">
        <v>12174.033333333333</v>
      </c>
      <c r="D220" s="94">
        <v>12305.559803921569</v>
      </c>
      <c r="E220" s="95">
        <v>12417.513999999999</v>
      </c>
      <c r="F220" s="95">
        <v>12551.671</v>
      </c>
      <c r="G220" s="1127">
        <v>-1.0688377667005537</v>
      </c>
      <c r="H220" s="96">
        <v>243.7</v>
      </c>
      <c r="I220" s="96">
        <v>-0.32719836400818458</v>
      </c>
      <c r="J220" s="104">
        <v>-16.141732283464567</v>
      </c>
      <c r="K220" s="104">
        <v>2.9852838121934129</v>
      </c>
      <c r="L220" s="1133">
        <v>-0.10023611006120348</v>
      </c>
    </row>
    <row r="221" spans="1:12" ht="15">
      <c r="A221" s="46" t="s">
        <v>117</v>
      </c>
      <c r="B221" s="47" t="s">
        <v>33</v>
      </c>
      <c r="C221" s="94">
        <v>12594.320588235294</v>
      </c>
      <c r="D221" s="94">
        <v>12624.944117647057</v>
      </c>
      <c r="E221" s="95">
        <v>12846.207</v>
      </c>
      <c r="F221" s="95">
        <v>12877.442999999999</v>
      </c>
      <c r="G221" s="1127">
        <v>-0.24256368286777871</v>
      </c>
      <c r="H221" s="96">
        <v>271.7</v>
      </c>
      <c r="I221" s="96">
        <v>0.25830258302582609</v>
      </c>
      <c r="J221" s="96">
        <v>-2.4</v>
      </c>
      <c r="K221" s="96">
        <v>6.8395234758234054</v>
      </c>
      <c r="L221" s="1128">
        <v>0.76566536114896344</v>
      </c>
    </row>
    <row r="222" spans="1:12" ht="15.75" thickBot="1">
      <c r="A222" s="56" t="s">
        <v>117</v>
      </c>
      <c r="B222" s="57" t="s">
        <v>36</v>
      </c>
      <c r="C222" s="97">
        <v>12626.101960784314</v>
      </c>
      <c r="D222" s="97">
        <v>12627.349019607844</v>
      </c>
      <c r="E222" s="98">
        <v>12878.624</v>
      </c>
      <c r="F222" s="98">
        <v>12879.896000000001</v>
      </c>
      <c r="G222" s="1129">
        <v>-9.8758561404598613E-3</v>
      </c>
      <c r="H222" s="99">
        <v>295.10000000000002</v>
      </c>
      <c r="I222" s="99">
        <v>-0.13536379018611752</v>
      </c>
      <c r="J222" s="99">
        <v>15.263157894736842</v>
      </c>
      <c r="K222" s="99">
        <v>3.0693763139453401</v>
      </c>
      <c r="L222" s="1130">
        <v>0.76131023036905265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D224" s="80"/>
      <c r="G224" s="80"/>
      <c r="H224" s="80"/>
      <c r="I224" s="80"/>
      <c r="J224" s="80"/>
      <c r="K224" s="80"/>
      <c r="L224" s="1143"/>
    </row>
    <row r="225" spans="1:12" ht="21" thickBot="1">
      <c r="A225" s="1089" t="s">
        <v>329</v>
      </c>
      <c r="B225" s="1079"/>
      <c r="C225" s="1079"/>
      <c r="D225" s="1079"/>
      <c r="E225" s="1079"/>
      <c r="F225" s="1079"/>
      <c r="G225" s="1080"/>
      <c r="H225" s="1080"/>
      <c r="I225" s="1080"/>
      <c r="J225" s="1080"/>
      <c r="K225" s="1080"/>
      <c r="L225" s="1144"/>
    </row>
    <row r="226" spans="1:12" ht="12.75" customHeight="1">
      <c r="A226" s="27"/>
      <c r="B226" s="28"/>
      <c r="C226" s="3" t="s">
        <v>9</v>
      </c>
      <c r="D226" s="3" t="s">
        <v>9</v>
      </c>
      <c r="E226" s="3"/>
      <c r="F226" s="3"/>
      <c r="G226" s="1081"/>
      <c r="H226" s="1184" t="s">
        <v>10</v>
      </c>
      <c r="I226" s="1185"/>
      <c r="J226" s="1114" t="s">
        <v>11</v>
      </c>
      <c r="K226" s="1082" t="s">
        <v>12</v>
      </c>
      <c r="L226" s="1083"/>
    </row>
    <row r="227" spans="1:12" ht="26.25" customHeight="1">
      <c r="A227" s="29" t="s">
        <v>13</v>
      </c>
      <c r="B227" s="30" t="s">
        <v>14</v>
      </c>
      <c r="C227" s="1084" t="s">
        <v>40</v>
      </c>
      <c r="D227" s="1084" t="s">
        <v>40</v>
      </c>
      <c r="E227" s="1085" t="s">
        <v>41</v>
      </c>
      <c r="F227" s="1086"/>
      <c r="G227" s="1115"/>
      <c r="H227" s="1182" t="s">
        <v>15</v>
      </c>
      <c r="I227" s="1183"/>
      <c r="J227" s="1116" t="s">
        <v>16</v>
      </c>
      <c r="K227" s="1087" t="s">
        <v>17</v>
      </c>
      <c r="L227" s="1088"/>
    </row>
    <row r="228" spans="1:12" ht="26.25" thickBot="1">
      <c r="A228" s="31" t="s">
        <v>18</v>
      </c>
      <c r="B228" s="32" t="s">
        <v>19</v>
      </c>
      <c r="C228" s="980" t="s">
        <v>379</v>
      </c>
      <c r="D228" s="980" t="s">
        <v>376</v>
      </c>
      <c r="E228" s="1074" t="s">
        <v>379</v>
      </c>
      <c r="F228" s="1075" t="s">
        <v>376</v>
      </c>
      <c r="G228" s="1113" t="s">
        <v>20</v>
      </c>
      <c r="H228" s="81" t="s">
        <v>379</v>
      </c>
      <c r="I228" s="994" t="s">
        <v>20</v>
      </c>
      <c r="J228" s="1117" t="s">
        <v>20</v>
      </c>
      <c r="K228" s="1076" t="s">
        <v>379</v>
      </c>
      <c r="L228" s="1118" t="s">
        <v>21</v>
      </c>
    </row>
    <row r="229" spans="1:12" ht="15" thickBot="1">
      <c r="A229" s="33" t="s">
        <v>22</v>
      </c>
      <c r="B229" s="34" t="s">
        <v>23</v>
      </c>
      <c r="C229" s="82">
        <v>11138.346763906893</v>
      </c>
      <c r="D229" s="82">
        <v>11034.79433376302</v>
      </c>
      <c r="E229" s="83">
        <v>11361.113699185031</v>
      </c>
      <c r="F229" s="704">
        <v>11256.614451757772</v>
      </c>
      <c r="G229" s="1119">
        <v>0.92833638280060748</v>
      </c>
      <c r="H229" s="84">
        <v>319.90994854202404</v>
      </c>
      <c r="I229" s="84">
        <v>1.3544920082254708</v>
      </c>
      <c r="J229" s="85">
        <v>-25.208466966003851</v>
      </c>
      <c r="K229" s="84">
        <v>100</v>
      </c>
      <c r="L229" s="1120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21"/>
      <c r="H230" s="85"/>
      <c r="I230" s="85"/>
      <c r="J230" s="85"/>
      <c r="K230" s="85"/>
      <c r="L230" s="1122"/>
    </row>
    <row r="231" spans="1:12" ht="15">
      <c r="A231" s="37" t="s">
        <v>108</v>
      </c>
      <c r="B231" s="38" t="s">
        <v>23</v>
      </c>
      <c r="C231" s="87" t="s">
        <v>257</v>
      </c>
      <c r="D231" s="87" t="s">
        <v>257</v>
      </c>
      <c r="E231" s="88" t="s">
        <v>257</v>
      </c>
      <c r="F231" s="88" t="s">
        <v>257</v>
      </c>
      <c r="G231" s="1145" t="s">
        <v>100</v>
      </c>
      <c r="H231" s="89" t="s">
        <v>257</v>
      </c>
      <c r="I231" s="89" t="s">
        <v>100</v>
      </c>
      <c r="J231" s="89" t="s">
        <v>100</v>
      </c>
      <c r="K231" s="89" t="s">
        <v>100</v>
      </c>
      <c r="L231" s="1124" t="s">
        <v>100</v>
      </c>
    </row>
    <row r="232" spans="1:12" ht="15">
      <c r="A232" s="46" t="s">
        <v>109</v>
      </c>
      <c r="B232" s="90" t="s">
        <v>23</v>
      </c>
      <c r="C232" s="91">
        <v>12281.625915152787</v>
      </c>
      <c r="D232" s="91">
        <v>12122.856526516231</v>
      </c>
      <c r="E232" s="92">
        <v>12527.258433455843</v>
      </c>
      <c r="F232" s="92">
        <v>12365.313657046556</v>
      </c>
      <c r="G232" s="1125">
        <v>1.3096697819468641</v>
      </c>
      <c r="H232" s="93">
        <v>378.86118143459919</v>
      </c>
      <c r="I232" s="93">
        <v>4.0271193214950509</v>
      </c>
      <c r="J232" s="93">
        <v>-39.386189258312022</v>
      </c>
      <c r="K232" s="93">
        <v>20.325900514579757</v>
      </c>
      <c r="L232" s="1126">
        <v>-4.7542790877294152</v>
      </c>
    </row>
    <row r="233" spans="1:12" ht="15">
      <c r="A233" s="39" t="s">
        <v>110</v>
      </c>
      <c r="B233" s="40" t="s">
        <v>23</v>
      </c>
      <c r="C233" s="94">
        <v>12543.457523283472</v>
      </c>
      <c r="D233" s="94">
        <v>12350.218701785194</v>
      </c>
      <c r="E233" s="95">
        <v>12794.326673749141</v>
      </c>
      <c r="F233" s="95">
        <v>12597.223075820897</v>
      </c>
      <c r="G233" s="1127">
        <v>1.5646591057561308</v>
      </c>
      <c r="H233" s="96">
        <v>410.96197183098593</v>
      </c>
      <c r="I233" s="96">
        <v>1.8207327841928749</v>
      </c>
      <c r="J233" s="96">
        <v>-14.457831325301203</v>
      </c>
      <c r="K233" s="96">
        <v>6.0891938250428819</v>
      </c>
      <c r="L233" s="1128">
        <v>0.76526823171382485</v>
      </c>
    </row>
    <row r="234" spans="1:12" ht="15">
      <c r="A234" s="39" t="s">
        <v>111</v>
      </c>
      <c r="B234" s="40" t="s">
        <v>23</v>
      </c>
      <c r="C234" s="94" t="s">
        <v>100</v>
      </c>
      <c r="D234" s="94" t="s">
        <v>100</v>
      </c>
      <c r="E234" s="95" t="s">
        <v>100</v>
      </c>
      <c r="F234" s="95" t="s">
        <v>100</v>
      </c>
      <c r="G234" s="1127" t="s">
        <v>100</v>
      </c>
      <c r="H234" s="96" t="s">
        <v>100</v>
      </c>
      <c r="I234" s="96" t="s">
        <v>100</v>
      </c>
      <c r="J234" s="96" t="s">
        <v>100</v>
      </c>
      <c r="K234" s="96" t="s">
        <v>100</v>
      </c>
      <c r="L234" s="1128" t="s">
        <v>100</v>
      </c>
    </row>
    <row r="235" spans="1:12" ht="15">
      <c r="A235" s="39" t="s">
        <v>98</v>
      </c>
      <c r="B235" s="40" t="s">
        <v>23</v>
      </c>
      <c r="C235" s="94">
        <v>9951.6708777031181</v>
      </c>
      <c r="D235" s="94">
        <v>9691.205193590491</v>
      </c>
      <c r="E235" s="95">
        <v>10150.704295257181</v>
      </c>
      <c r="F235" s="95">
        <v>9885.0292974623007</v>
      </c>
      <c r="G235" s="1127">
        <v>2.6876500797330434</v>
      </c>
      <c r="H235" s="96">
        <v>293.9993453355155</v>
      </c>
      <c r="I235" s="96">
        <v>0.60011388330232251</v>
      </c>
      <c r="J235" s="96">
        <v>-18.641810918774969</v>
      </c>
      <c r="K235" s="96">
        <v>52.401372212692962</v>
      </c>
      <c r="L235" s="1128">
        <v>4.2294671453420918</v>
      </c>
    </row>
    <row r="236" spans="1:12" ht="15.75" thickBot="1">
      <c r="A236" s="41" t="s">
        <v>112</v>
      </c>
      <c r="B236" s="42" t="s">
        <v>23</v>
      </c>
      <c r="C236" s="97">
        <v>12103.033780916714</v>
      </c>
      <c r="D236" s="97">
        <v>12012.619625933405</v>
      </c>
      <c r="E236" s="98">
        <v>12345.094456535049</v>
      </c>
      <c r="F236" s="98">
        <v>12270.930534142795</v>
      </c>
      <c r="G236" s="1129">
        <v>0.60438710972977339</v>
      </c>
      <c r="H236" s="99">
        <v>295.66334841628964</v>
      </c>
      <c r="I236" s="99">
        <v>2.1770821784826087</v>
      </c>
      <c r="J236" s="99">
        <v>-33.633633633633636</v>
      </c>
      <c r="K236" s="99">
        <v>18.953687821612348</v>
      </c>
      <c r="L236" s="1130">
        <v>-2.4061582335512171</v>
      </c>
    </row>
    <row r="237" spans="1:12" ht="15" thickBot="1">
      <c r="A237" s="35"/>
      <c r="B237" s="43"/>
      <c r="C237" s="86"/>
      <c r="D237" s="86"/>
      <c r="E237" s="86"/>
      <c r="F237" s="86"/>
      <c r="G237" s="1121"/>
      <c r="H237" s="85"/>
      <c r="I237" s="85"/>
      <c r="J237" s="85"/>
      <c r="K237" s="85"/>
      <c r="L237" s="1122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31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32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27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3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7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3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257</v>
      </c>
      <c r="E241" s="106" t="s">
        <v>100</v>
      </c>
      <c r="F241" s="106" t="s">
        <v>257</v>
      </c>
      <c r="G241" s="1134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5" t="s">
        <v>100</v>
      </c>
    </row>
    <row r="242" spans="1:12" ht="15">
      <c r="A242" s="46" t="s">
        <v>113</v>
      </c>
      <c r="B242" s="47" t="s">
        <v>29</v>
      </c>
      <c r="C242" s="94" t="s">
        <v>100</v>
      </c>
      <c r="D242" s="94" t="s">
        <v>257</v>
      </c>
      <c r="E242" s="95" t="s">
        <v>100</v>
      </c>
      <c r="F242" s="95" t="s">
        <v>257</v>
      </c>
      <c r="G242" s="1127" t="s">
        <v>100</v>
      </c>
      <c r="H242" s="96" t="s">
        <v>100</v>
      </c>
      <c r="I242" s="96" t="s">
        <v>100</v>
      </c>
      <c r="J242" s="104" t="s">
        <v>100</v>
      </c>
      <c r="K242" s="104" t="s">
        <v>100</v>
      </c>
      <c r="L242" s="1133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7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3" t="s">
        <v>100</v>
      </c>
    </row>
    <row r="244" spans="1:12" ht="14.25">
      <c r="A244" s="44" t="s">
        <v>113</v>
      </c>
      <c r="B244" s="48" t="s">
        <v>31</v>
      </c>
      <c r="C244" s="105" t="s">
        <v>257</v>
      </c>
      <c r="D244" s="105" t="s">
        <v>100</v>
      </c>
      <c r="E244" s="106" t="s">
        <v>257</v>
      </c>
      <c r="F244" s="106" t="s">
        <v>100</v>
      </c>
      <c r="G244" s="1134" t="s">
        <v>100</v>
      </c>
      <c r="H244" s="107" t="s">
        <v>257</v>
      </c>
      <c r="I244" s="107" t="s">
        <v>100</v>
      </c>
      <c r="J244" s="108" t="s">
        <v>100</v>
      </c>
      <c r="K244" s="108" t="s">
        <v>100</v>
      </c>
      <c r="L244" s="1135" t="s">
        <v>100</v>
      </c>
    </row>
    <row r="245" spans="1:12" ht="15">
      <c r="A245" s="46" t="s">
        <v>113</v>
      </c>
      <c r="B245" s="47" t="s">
        <v>32</v>
      </c>
      <c r="C245" s="94" t="s">
        <v>257</v>
      </c>
      <c r="D245" s="94" t="s">
        <v>100</v>
      </c>
      <c r="E245" s="95" t="s">
        <v>257</v>
      </c>
      <c r="F245" s="95" t="s">
        <v>100</v>
      </c>
      <c r="G245" s="1127" t="s">
        <v>100</v>
      </c>
      <c r="H245" s="96" t="s">
        <v>257</v>
      </c>
      <c r="I245" s="96" t="s">
        <v>100</v>
      </c>
      <c r="J245" s="104" t="s">
        <v>100</v>
      </c>
      <c r="K245" s="104" t="s">
        <v>100</v>
      </c>
      <c r="L245" s="1133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6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3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21"/>
      <c r="H247" s="85"/>
      <c r="I247" s="85"/>
      <c r="J247" s="85"/>
      <c r="K247" s="85"/>
      <c r="L247" s="1122"/>
    </row>
    <row r="248" spans="1:12" ht="14.25">
      <c r="A248" s="44" t="s">
        <v>114</v>
      </c>
      <c r="B248" s="45" t="s">
        <v>25</v>
      </c>
      <c r="C248" s="100">
        <v>13194.272342448685</v>
      </c>
      <c r="D248" s="100">
        <v>12610.133750973313</v>
      </c>
      <c r="E248" s="101">
        <v>13458.157789297658</v>
      </c>
      <c r="F248" s="101">
        <v>12862.33642599278</v>
      </c>
      <c r="G248" s="1131">
        <v>4.6322949701487817</v>
      </c>
      <c r="H248" s="102">
        <v>472.12105263157889</v>
      </c>
      <c r="I248" s="102">
        <v>13.620372452097687</v>
      </c>
      <c r="J248" s="103">
        <v>-5</v>
      </c>
      <c r="K248" s="103">
        <v>1.6295025728987993</v>
      </c>
      <c r="L248" s="1132">
        <v>0.34662893595203847</v>
      </c>
    </row>
    <row r="249" spans="1:12" ht="15">
      <c r="A249" s="46" t="s">
        <v>114</v>
      </c>
      <c r="B249" s="47" t="s">
        <v>26</v>
      </c>
      <c r="C249" s="94">
        <v>13001.710784313726</v>
      </c>
      <c r="D249" s="94">
        <v>12622.86862745098</v>
      </c>
      <c r="E249" s="95">
        <v>13261.745000000001</v>
      </c>
      <c r="F249" s="95">
        <v>12875.325999999999</v>
      </c>
      <c r="G249" s="1127">
        <v>3.0012366288822645</v>
      </c>
      <c r="H249" s="96">
        <v>436.7</v>
      </c>
      <c r="I249" s="96">
        <v>7.907091672844083</v>
      </c>
      <c r="J249" s="104">
        <v>-40</v>
      </c>
      <c r="K249" s="104">
        <v>0.77186963979416812</v>
      </c>
      <c r="L249" s="1133">
        <v>-0.19028558791590244</v>
      </c>
    </row>
    <row r="250" spans="1:12" ht="15">
      <c r="A250" s="46" t="s">
        <v>114</v>
      </c>
      <c r="B250" s="47" t="s">
        <v>27</v>
      </c>
      <c r="C250" s="94">
        <v>13344.424509803921</v>
      </c>
      <c r="D250" s="94">
        <v>12575.624509803922</v>
      </c>
      <c r="E250" s="95">
        <v>13611.313</v>
      </c>
      <c r="F250" s="95">
        <v>12827.137000000001</v>
      </c>
      <c r="G250" s="1127">
        <v>6.1134140845303158</v>
      </c>
      <c r="H250" s="96">
        <v>504</v>
      </c>
      <c r="I250" s="96">
        <v>12.5</v>
      </c>
      <c r="J250" s="104">
        <v>100</v>
      </c>
      <c r="K250" s="104">
        <v>0.85763293310463129</v>
      </c>
      <c r="L250" s="1133">
        <v>0.53691452386794114</v>
      </c>
    </row>
    <row r="251" spans="1:12" ht="14.25">
      <c r="A251" s="44" t="s">
        <v>114</v>
      </c>
      <c r="B251" s="48" t="s">
        <v>28</v>
      </c>
      <c r="C251" s="105">
        <v>12321.410378488061</v>
      </c>
      <c r="D251" s="105">
        <v>12326.846278214391</v>
      </c>
      <c r="E251" s="106">
        <v>12567.838586057822</v>
      </c>
      <c r="F251" s="106">
        <v>12573.383203778678</v>
      </c>
      <c r="G251" s="1134">
        <v>-4.4098057229255874E-2</v>
      </c>
      <c r="H251" s="107">
        <v>397.95053763440859</v>
      </c>
      <c r="I251" s="107">
        <v>2.0445669119709664</v>
      </c>
      <c r="J251" s="108">
        <v>-18.421052631578945</v>
      </c>
      <c r="K251" s="108">
        <v>7.975986277873071</v>
      </c>
      <c r="L251" s="1135">
        <v>0.66360654727653401</v>
      </c>
    </row>
    <row r="252" spans="1:12" ht="15">
      <c r="A252" s="46" t="s">
        <v>114</v>
      </c>
      <c r="B252" s="47" t="s">
        <v>29</v>
      </c>
      <c r="C252" s="94">
        <v>12209.324509803922</v>
      </c>
      <c r="D252" s="94">
        <v>12302.943137254902</v>
      </c>
      <c r="E252" s="95">
        <v>12453.511</v>
      </c>
      <c r="F252" s="95">
        <v>12549.002</v>
      </c>
      <c r="G252" s="1127">
        <v>-0.76094497395091643</v>
      </c>
      <c r="H252" s="96">
        <v>386.6</v>
      </c>
      <c r="I252" s="96">
        <v>0.12950012950012948</v>
      </c>
      <c r="J252" s="104">
        <v>-26.136363636363637</v>
      </c>
      <c r="K252" s="104">
        <v>5.5746140651801026</v>
      </c>
      <c r="L252" s="1133">
        <v>-7.0029937385644558E-2</v>
      </c>
    </row>
    <row r="253" spans="1:12" ht="15">
      <c r="A253" s="46" t="s">
        <v>114</v>
      </c>
      <c r="B253" s="47" t="s">
        <v>30</v>
      </c>
      <c r="C253" s="94">
        <v>12558.507843137255</v>
      </c>
      <c r="D253" s="94">
        <v>12404.349019607842</v>
      </c>
      <c r="E253" s="95">
        <v>12809.678</v>
      </c>
      <c r="F253" s="95">
        <v>12652.436</v>
      </c>
      <c r="G253" s="1127">
        <v>1.2427804416477601</v>
      </c>
      <c r="H253" s="96">
        <v>424.3</v>
      </c>
      <c r="I253" s="96">
        <v>5.2592408831555417</v>
      </c>
      <c r="J253" s="104">
        <v>7.6923076923076925</v>
      </c>
      <c r="K253" s="104">
        <v>2.4013722126929671</v>
      </c>
      <c r="L253" s="1133">
        <v>0.73363648466217835</v>
      </c>
    </row>
    <row r="254" spans="1:12" ht="14.25">
      <c r="A254" s="44" t="s">
        <v>114</v>
      </c>
      <c r="B254" s="48" t="s">
        <v>31</v>
      </c>
      <c r="C254" s="105">
        <v>12061.154300432794</v>
      </c>
      <c r="D254" s="105">
        <v>11976.508265742708</v>
      </c>
      <c r="E254" s="106">
        <v>12302.377386441451</v>
      </c>
      <c r="F254" s="106">
        <v>12216.038431057563</v>
      </c>
      <c r="G254" s="1134">
        <v>0.70676722139628512</v>
      </c>
      <c r="H254" s="107">
        <v>350.48320000000001</v>
      </c>
      <c r="I254" s="107">
        <v>0.49310671834452635</v>
      </c>
      <c r="J254" s="108">
        <v>-51.361867704280151</v>
      </c>
      <c r="K254" s="108">
        <v>10.720411663807889</v>
      </c>
      <c r="L254" s="1135">
        <v>-5.7645145709579868</v>
      </c>
    </row>
    <row r="255" spans="1:12" ht="15">
      <c r="A255" s="46" t="s">
        <v>114</v>
      </c>
      <c r="B255" s="47" t="s">
        <v>32</v>
      </c>
      <c r="C255" s="94">
        <v>12021.280392156863</v>
      </c>
      <c r="D255" s="94">
        <v>11913.23431372549</v>
      </c>
      <c r="E255" s="95">
        <v>12261.706</v>
      </c>
      <c r="F255" s="95">
        <v>12151.499</v>
      </c>
      <c r="G255" s="1127">
        <v>0.9069416044884695</v>
      </c>
      <c r="H255" s="96">
        <v>347.5</v>
      </c>
      <c r="I255" s="96">
        <v>0.72463768115942029</v>
      </c>
      <c r="J255" s="104">
        <v>-52.820512820512825</v>
      </c>
      <c r="K255" s="104">
        <v>7.8902229845626071</v>
      </c>
      <c r="L255" s="1133">
        <v>-4.6177949756683088</v>
      </c>
    </row>
    <row r="256" spans="1:12" ht="15.75" thickBot="1">
      <c r="A256" s="49" t="s">
        <v>114</v>
      </c>
      <c r="B256" s="50" t="s">
        <v>33</v>
      </c>
      <c r="C256" s="109">
        <v>12168.820588235294</v>
      </c>
      <c r="D256" s="109">
        <v>12166.896078431373</v>
      </c>
      <c r="E256" s="110">
        <v>12412.197</v>
      </c>
      <c r="F256" s="110">
        <v>12410.234</v>
      </c>
      <c r="G256" s="1136">
        <v>1.5817590546638668E-2</v>
      </c>
      <c r="H256" s="104">
        <v>358.8</v>
      </c>
      <c r="I256" s="104">
        <v>-0.49916805324459546</v>
      </c>
      <c r="J256" s="104">
        <v>-46.774193548387096</v>
      </c>
      <c r="K256" s="104">
        <v>2.8301886792452833</v>
      </c>
      <c r="L256" s="1133">
        <v>-1.1467195952896754</v>
      </c>
    </row>
    <row r="257" spans="1:12" ht="15.75" thickBot="1">
      <c r="A257" s="51"/>
      <c r="B257" s="52"/>
      <c r="C257" s="111"/>
      <c r="D257" s="111"/>
      <c r="E257" s="111"/>
      <c r="F257" s="111"/>
      <c r="G257" s="1137"/>
      <c r="H257" s="112"/>
      <c r="I257" s="112"/>
      <c r="J257" s="112"/>
      <c r="K257" s="112"/>
      <c r="L257" s="1138"/>
    </row>
    <row r="258" spans="1:12" ht="15">
      <c r="A258" s="46" t="s">
        <v>115</v>
      </c>
      <c r="B258" s="53" t="s">
        <v>30</v>
      </c>
      <c r="C258" s="113">
        <v>12784.058823529411</v>
      </c>
      <c r="D258" s="113">
        <v>12571.12156862745</v>
      </c>
      <c r="E258" s="114">
        <v>13039.74</v>
      </c>
      <c r="F258" s="114">
        <v>12822.544</v>
      </c>
      <c r="G258" s="1139">
        <v>1.6938604383030382</v>
      </c>
      <c r="H258" s="115">
        <v>419.7</v>
      </c>
      <c r="I258" s="115">
        <v>2.1416403017765906</v>
      </c>
      <c r="J258" s="115">
        <v>8.5714285714285712</v>
      </c>
      <c r="K258" s="115">
        <v>3.2590051457975986</v>
      </c>
      <c r="L258" s="1140">
        <v>1.0139762811407675</v>
      </c>
    </row>
    <row r="259" spans="1:12" ht="15.75" thickBot="1">
      <c r="A259" s="49" t="s">
        <v>115</v>
      </c>
      <c r="B259" s="50" t="s">
        <v>33</v>
      </c>
      <c r="C259" s="109">
        <v>12253.390196078431</v>
      </c>
      <c r="D259" s="109">
        <v>12184.079411764706</v>
      </c>
      <c r="E259" s="110">
        <v>12498.458000000001</v>
      </c>
      <c r="F259" s="110">
        <v>12427.761</v>
      </c>
      <c r="G259" s="1136">
        <v>0.56886353060700245</v>
      </c>
      <c r="H259" s="104">
        <v>400.9</v>
      </c>
      <c r="I259" s="104">
        <v>0.65277429073561788</v>
      </c>
      <c r="J259" s="104">
        <v>-31.25</v>
      </c>
      <c r="K259" s="104">
        <v>2.8301886792452833</v>
      </c>
      <c r="L259" s="1133">
        <v>-0.24870804942694269</v>
      </c>
    </row>
    <row r="260" spans="1:12" ht="15.75" thickBot="1">
      <c r="A260" s="51"/>
      <c r="B260" s="52"/>
      <c r="C260" s="111"/>
      <c r="D260" s="111"/>
      <c r="E260" s="111"/>
      <c r="F260" s="111"/>
      <c r="G260" s="1137"/>
      <c r="H260" s="112"/>
      <c r="I260" s="112"/>
      <c r="J260" s="112"/>
      <c r="K260" s="112"/>
      <c r="L260" s="1138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100</v>
      </c>
      <c r="E261" s="101" t="s">
        <v>100</v>
      </c>
      <c r="F261" s="101" t="s">
        <v>100</v>
      </c>
      <c r="G261" s="1131" t="s">
        <v>100</v>
      </c>
      <c r="H261" s="102" t="s">
        <v>100</v>
      </c>
      <c r="I261" s="102" t="s">
        <v>100</v>
      </c>
      <c r="J261" s="103" t="s">
        <v>100</v>
      </c>
      <c r="K261" s="103" t="s">
        <v>100</v>
      </c>
      <c r="L261" s="1132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27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3" t="s">
        <v>100</v>
      </c>
    </row>
    <row r="263" spans="1:12" ht="15">
      <c r="A263" s="39" t="s">
        <v>116</v>
      </c>
      <c r="B263" s="47" t="s">
        <v>27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7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33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7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3" t="s">
        <v>100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 t="s">
        <v>100</v>
      </c>
      <c r="E265" s="106" t="s">
        <v>100</v>
      </c>
      <c r="F265" s="106" t="s">
        <v>100</v>
      </c>
      <c r="G265" s="1134" t="s">
        <v>100</v>
      </c>
      <c r="H265" s="107" t="s">
        <v>100</v>
      </c>
      <c r="I265" s="107" t="s">
        <v>100</v>
      </c>
      <c r="J265" s="108" t="s">
        <v>100</v>
      </c>
      <c r="K265" s="108" t="s">
        <v>100</v>
      </c>
      <c r="L265" s="1135" t="s">
        <v>100</v>
      </c>
    </row>
    <row r="266" spans="1:12" ht="15">
      <c r="A266" s="39" t="s">
        <v>116</v>
      </c>
      <c r="B266" s="47" t="s">
        <v>30</v>
      </c>
      <c r="C266" s="94" t="s">
        <v>100</v>
      </c>
      <c r="D266" s="94" t="s">
        <v>100</v>
      </c>
      <c r="E266" s="95" t="s">
        <v>100</v>
      </c>
      <c r="F266" s="95" t="s">
        <v>100</v>
      </c>
      <c r="G266" s="1127" t="s">
        <v>100</v>
      </c>
      <c r="H266" s="96" t="s">
        <v>100</v>
      </c>
      <c r="I266" s="96" t="s">
        <v>100</v>
      </c>
      <c r="J266" s="104" t="s">
        <v>100</v>
      </c>
      <c r="K266" s="104" t="s">
        <v>100</v>
      </c>
      <c r="L266" s="1133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7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3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4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5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27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3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6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3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37"/>
      <c r="H271" s="112"/>
      <c r="I271" s="112"/>
      <c r="J271" s="112"/>
      <c r="K271" s="112"/>
      <c r="L271" s="1138"/>
    </row>
    <row r="272" spans="1:12" ht="14.25">
      <c r="A272" s="44" t="s">
        <v>24</v>
      </c>
      <c r="B272" s="45" t="s">
        <v>28</v>
      </c>
      <c r="C272" s="100">
        <v>10421.118864023871</v>
      </c>
      <c r="D272" s="100">
        <v>10425.582783851003</v>
      </c>
      <c r="E272" s="101">
        <v>10629.541241304349</v>
      </c>
      <c r="F272" s="101">
        <v>10634.094439528024</v>
      </c>
      <c r="G272" s="1131">
        <v>-4.2816981263120765E-2</v>
      </c>
      <c r="H272" s="102">
        <v>334.54727272727268</v>
      </c>
      <c r="I272" s="102">
        <v>-1.3062105679555538</v>
      </c>
      <c r="J272" s="103">
        <v>-8.3333333333333321</v>
      </c>
      <c r="K272" s="103">
        <v>4.716981132075472</v>
      </c>
      <c r="L272" s="1132">
        <v>0.86836022123518974</v>
      </c>
    </row>
    <row r="273" spans="1:12" ht="15">
      <c r="A273" s="46" t="s">
        <v>24</v>
      </c>
      <c r="B273" s="47" t="s">
        <v>29</v>
      </c>
      <c r="C273" s="94">
        <v>10608.609803921569</v>
      </c>
      <c r="D273" s="94">
        <v>10036.732352941177</v>
      </c>
      <c r="E273" s="95">
        <v>10820.781999999999</v>
      </c>
      <c r="F273" s="95">
        <v>10237.467000000001</v>
      </c>
      <c r="G273" s="1127">
        <v>5.6978449845064079</v>
      </c>
      <c r="H273" s="96">
        <v>302.5</v>
      </c>
      <c r="I273" s="96">
        <v>-1.7218973359324274</v>
      </c>
      <c r="J273" s="104">
        <v>-11.111111111111111</v>
      </c>
      <c r="K273" s="104">
        <v>0.68610634648370494</v>
      </c>
      <c r="L273" s="1133">
        <v>0.10881320985766263</v>
      </c>
    </row>
    <row r="274" spans="1:12" ht="15">
      <c r="A274" s="46" t="s">
        <v>24</v>
      </c>
      <c r="B274" s="47" t="s">
        <v>30</v>
      </c>
      <c r="C274" s="94">
        <v>10310.522549019608</v>
      </c>
      <c r="D274" s="94">
        <v>10461.061764705883</v>
      </c>
      <c r="E274" s="95">
        <v>10516.733</v>
      </c>
      <c r="F274" s="95">
        <v>10670.282999999999</v>
      </c>
      <c r="G274" s="1127">
        <v>-1.4390433693276858</v>
      </c>
      <c r="H274" s="96">
        <v>330.3</v>
      </c>
      <c r="I274" s="96">
        <v>-2.7671474830732934</v>
      </c>
      <c r="J274" s="104">
        <v>-13.513513513513514</v>
      </c>
      <c r="K274" s="104">
        <v>2.7444253859348198</v>
      </c>
      <c r="L274" s="1133">
        <v>0.37110915758331231</v>
      </c>
    </row>
    <row r="275" spans="1:12" ht="15">
      <c r="A275" s="46" t="s">
        <v>24</v>
      </c>
      <c r="B275" s="47" t="s">
        <v>35</v>
      </c>
      <c r="C275" s="94">
        <v>10553.332352941175</v>
      </c>
      <c r="D275" s="94">
        <v>10551.811764705883</v>
      </c>
      <c r="E275" s="95">
        <v>10764.398999999999</v>
      </c>
      <c r="F275" s="95">
        <v>10762.848</v>
      </c>
      <c r="G275" s="1127">
        <v>1.4410683863597035E-2</v>
      </c>
      <c r="H275" s="96">
        <v>360.7</v>
      </c>
      <c r="I275" s="96">
        <v>1.0081209745169324</v>
      </c>
      <c r="J275" s="104">
        <v>7.1428571428571423</v>
      </c>
      <c r="K275" s="104">
        <v>1.2864493996569468</v>
      </c>
      <c r="L275" s="1133">
        <v>0.38843785379421425</v>
      </c>
    </row>
    <row r="276" spans="1:12" ht="14.25">
      <c r="A276" s="44" t="s">
        <v>24</v>
      </c>
      <c r="B276" s="48" t="s">
        <v>31</v>
      </c>
      <c r="C276" s="105">
        <v>10374.232801661119</v>
      </c>
      <c r="D276" s="105">
        <v>10340.087761793236</v>
      </c>
      <c r="E276" s="106">
        <v>10581.717457694342</v>
      </c>
      <c r="F276" s="106">
        <v>10546.889517029102</v>
      </c>
      <c r="G276" s="1134">
        <v>0.33022001993105665</v>
      </c>
      <c r="H276" s="107">
        <v>315.14499999999998</v>
      </c>
      <c r="I276" s="107">
        <v>-1.482385081686473</v>
      </c>
      <c r="J276" s="108">
        <v>-7.9283887468030692</v>
      </c>
      <c r="K276" s="108">
        <v>30.874785591766724</v>
      </c>
      <c r="L276" s="1135">
        <v>5.7946059894575512</v>
      </c>
    </row>
    <row r="277" spans="1:12" ht="15">
      <c r="A277" s="46" t="s">
        <v>24</v>
      </c>
      <c r="B277" s="47" t="s">
        <v>32</v>
      </c>
      <c r="C277" s="94">
        <v>10494.218627450979</v>
      </c>
      <c r="D277" s="94">
        <v>10211.73137254902</v>
      </c>
      <c r="E277" s="95">
        <v>10704.102999999999</v>
      </c>
      <c r="F277" s="95">
        <v>10415.966</v>
      </c>
      <c r="G277" s="1127">
        <v>2.7663012724887812</v>
      </c>
      <c r="H277" s="96">
        <v>297.60000000000002</v>
      </c>
      <c r="I277" s="96">
        <v>1.1900714042842568</v>
      </c>
      <c r="J277" s="104">
        <v>12.5</v>
      </c>
      <c r="K277" s="104">
        <v>16.20926243567753</v>
      </c>
      <c r="L277" s="1133">
        <v>5.4331238853247399</v>
      </c>
    </row>
    <row r="278" spans="1:12" ht="15">
      <c r="A278" s="46" t="s">
        <v>24</v>
      </c>
      <c r="B278" s="47" t="s">
        <v>33</v>
      </c>
      <c r="C278" s="94">
        <v>10233.167647058823</v>
      </c>
      <c r="D278" s="94">
        <v>10363.932352941176</v>
      </c>
      <c r="E278" s="95">
        <v>10437.831</v>
      </c>
      <c r="F278" s="95">
        <v>10571.210999999999</v>
      </c>
      <c r="G278" s="1127">
        <v>-1.2617286704427639</v>
      </c>
      <c r="H278" s="96">
        <v>331.8</v>
      </c>
      <c r="I278" s="96">
        <v>-0.47990401919615056</v>
      </c>
      <c r="J278" s="104">
        <v>-27.071823204419886</v>
      </c>
      <c r="K278" s="104">
        <v>11.320754716981133</v>
      </c>
      <c r="L278" s="1133">
        <v>-0.28925169738705137</v>
      </c>
    </row>
    <row r="279" spans="1:12" ht="15">
      <c r="A279" s="46" t="s">
        <v>24</v>
      </c>
      <c r="B279" s="47" t="s">
        <v>36</v>
      </c>
      <c r="C279" s="94">
        <v>10331.686274509804</v>
      </c>
      <c r="D279" s="94">
        <v>10660.13137254902</v>
      </c>
      <c r="E279" s="95">
        <v>10538.32</v>
      </c>
      <c r="F279" s="95">
        <v>10873.334000000001</v>
      </c>
      <c r="G279" s="1127">
        <v>-3.0810605100514801</v>
      </c>
      <c r="H279" s="96">
        <v>343.8</v>
      </c>
      <c r="I279" s="96">
        <v>-5.7565789473684212</v>
      </c>
      <c r="J279" s="104">
        <v>-7.1428571428571423</v>
      </c>
      <c r="K279" s="104">
        <v>3.3447684391080617</v>
      </c>
      <c r="L279" s="1133">
        <v>0.65073380151986404</v>
      </c>
    </row>
    <row r="280" spans="1:12" ht="14.25">
      <c r="A280" s="44" t="s">
        <v>24</v>
      </c>
      <c r="B280" s="48" t="s">
        <v>37</v>
      </c>
      <c r="C280" s="105">
        <v>8767.4574235261298</v>
      </c>
      <c r="D280" s="105">
        <v>8393.7909662825587</v>
      </c>
      <c r="E280" s="106">
        <v>8942.8065719966526</v>
      </c>
      <c r="F280" s="106">
        <v>8561.6667856082095</v>
      </c>
      <c r="G280" s="1134">
        <v>4.4517007719702724</v>
      </c>
      <c r="H280" s="107">
        <v>243.78214285714287</v>
      </c>
      <c r="I280" s="107">
        <v>-1.2522695722334931</v>
      </c>
      <c r="J280" s="108">
        <v>-34.666666666666671</v>
      </c>
      <c r="K280" s="108">
        <v>16.809605488850771</v>
      </c>
      <c r="L280" s="1135">
        <v>-2.4334990653506416</v>
      </c>
    </row>
    <row r="281" spans="1:12" ht="15">
      <c r="A281" s="46" t="s">
        <v>24</v>
      </c>
      <c r="B281" s="47" t="s">
        <v>102</v>
      </c>
      <c r="C281" s="116">
        <v>8643.1617647058811</v>
      </c>
      <c r="D281" s="116">
        <v>8056.2049019607839</v>
      </c>
      <c r="E281" s="117">
        <v>8816.0249999999996</v>
      </c>
      <c r="F281" s="117">
        <v>8217.3289999999997</v>
      </c>
      <c r="G281" s="1141">
        <v>7.2857737593322591</v>
      </c>
      <c r="H281" s="118">
        <v>234.3</v>
      </c>
      <c r="I281" s="118">
        <v>-0.25542784163473575</v>
      </c>
      <c r="J281" s="119">
        <v>-25.125628140703515</v>
      </c>
      <c r="K281" s="119">
        <v>12.778730703259006</v>
      </c>
      <c r="L281" s="1142">
        <v>1.41380156387374E-2</v>
      </c>
    </row>
    <row r="282" spans="1:12" ht="15">
      <c r="A282" s="46" t="s">
        <v>24</v>
      </c>
      <c r="B282" s="47" t="s">
        <v>38</v>
      </c>
      <c r="C282" s="94">
        <v>8728.3823529411766</v>
      </c>
      <c r="D282" s="94">
        <v>8810.9803921568637</v>
      </c>
      <c r="E282" s="95">
        <v>8902.9500000000007</v>
      </c>
      <c r="F282" s="95">
        <v>8987.2000000000007</v>
      </c>
      <c r="G282" s="1127">
        <v>-0.93744436531956554</v>
      </c>
      <c r="H282" s="96">
        <v>264.60000000000002</v>
      </c>
      <c r="I282" s="96">
        <v>-0.37650602409638551</v>
      </c>
      <c r="J282" s="104">
        <v>-59.770114942528743</v>
      </c>
      <c r="K282" s="104">
        <v>3.0017152658662094</v>
      </c>
      <c r="L282" s="1133">
        <v>-2.5787850548522004</v>
      </c>
    </row>
    <row r="283" spans="1:12" ht="15.75" thickBot="1">
      <c r="A283" s="46" t="s">
        <v>24</v>
      </c>
      <c r="B283" s="47" t="s">
        <v>39</v>
      </c>
      <c r="C283" s="94">
        <v>10069.672549019608</v>
      </c>
      <c r="D283" s="94">
        <v>9852.4372549019608</v>
      </c>
      <c r="E283" s="95">
        <v>10271.066000000001</v>
      </c>
      <c r="F283" s="95">
        <v>10049.486000000001</v>
      </c>
      <c r="G283" s="1127">
        <v>2.2048888868545111</v>
      </c>
      <c r="H283" s="96">
        <v>300.8</v>
      </c>
      <c r="I283" s="96">
        <v>3.3255736614573574E-2</v>
      </c>
      <c r="J283" s="104">
        <v>-14.285714285714285</v>
      </c>
      <c r="K283" s="104">
        <v>1.0291595197255576</v>
      </c>
      <c r="L283" s="1133">
        <v>0.13114797386282506</v>
      </c>
    </row>
    <row r="284" spans="1:12" ht="15.75" thickBot="1">
      <c r="A284" s="51"/>
      <c r="B284" s="52"/>
      <c r="C284" s="111"/>
      <c r="D284" s="111"/>
      <c r="E284" s="111"/>
      <c r="F284" s="111"/>
      <c r="G284" s="1137"/>
      <c r="H284" s="112"/>
      <c r="I284" s="112"/>
      <c r="J284" s="112"/>
      <c r="K284" s="112"/>
      <c r="L284" s="1138"/>
    </row>
    <row r="285" spans="1:12" ht="14.25">
      <c r="A285" s="44" t="s">
        <v>117</v>
      </c>
      <c r="B285" s="48" t="s">
        <v>25</v>
      </c>
      <c r="C285" s="105">
        <v>12924.790011292476</v>
      </c>
      <c r="D285" s="105">
        <v>12574.307203952447</v>
      </c>
      <c r="E285" s="106">
        <v>13183.285811518326</v>
      </c>
      <c r="F285" s="106">
        <v>12825.793348031495</v>
      </c>
      <c r="G285" s="1134">
        <v>2.7872931816860995</v>
      </c>
      <c r="H285" s="107">
        <v>337.07058823529417</v>
      </c>
      <c r="I285" s="107">
        <v>0.86529713784907181</v>
      </c>
      <c r="J285" s="108">
        <v>-10.526315789473683</v>
      </c>
      <c r="K285" s="108">
        <v>1.4579759862778732</v>
      </c>
      <c r="L285" s="1135">
        <v>0.23924603117845056</v>
      </c>
    </row>
    <row r="286" spans="1:12" ht="15">
      <c r="A286" s="46" t="s">
        <v>117</v>
      </c>
      <c r="B286" s="47" t="s">
        <v>26</v>
      </c>
      <c r="C286" s="94" t="s">
        <v>257</v>
      </c>
      <c r="D286" s="94">
        <v>11828.976470588235</v>
      </c>
      <c r="E286" s="95" t="s">
        <v>257</v>
      </c>
      <c r="F286" s="95">
        <v>12065.556</v>
      </c>
      <c r="G286" s="1153" t="s">
        <v>100</v>
      </c>
      <c r="H286" s="96" t="s">
        <v>257</v>
      </c>
      <c r="I286" s="96" t="s">
        <v>100</v>
      </c>
      <c r="J286" s="104" t="s">
        <v>100</v>
      </c>
      <c r="K286" s="104" t="s">
        <v>100</v>
      </c>
      <c r="L286" s="1133" t="s">
        <v>100</v>
      </c>
    </row>
    <row r="287" spans="1:12" ht="15">
      <c r="A287" s="46" t="s">
        <v>117</v>
      </c>
      <c r="B287" s="47" t="s">
        <v>27</v>
      </c>
      <c r="C287" s="94">
        <v>13074.063725490196</v>
      </c>
      <c r="D287" s="94">
        <v>12610.178431372549</v>
      </c>
      <c r="E287" s="95">
        <v>13335.545</v>
      </c>
      <c r="F287" s="95">
        <v>12862.382</v>
      </c>
      <c r="G287" s="1127">
        <v>3.6786576545464169</v>
      </c>
      <c r="H287" s="96">
        <v>327.8</v>
      </c>
      <c r="I287" s="96">
        <v>-1.7974835230677051</v>
      </c>
      <c r="J287" s="104">
        <v>-30.76923076923077</v>
      </c>
      <c r="K287" s="104">
        <v>0.77186963979416812</v>
      </c>
      <c r="L287" s="1133">
        <v>-6.199822422122625E-2</v>
      </c>
    </row>
    <row r="288" spans="1:12" ht="15">
      <c r="A288" s="46" t="s">
        <v>117</v>
      </c>
      <c r="B288" s="47" t="s">
        <v>34</v>
      </c>
      <c r="C288" s="94">
        <v>13121.404901960785</v>
      </c>
      <c r="D288" s="94">
        <v>13071.970588235294</v>
      </c>
      <c r="E288" s="95">
        <v>13383.833000000001</v>
      </c>
      <c r="F288" s="95">
        <v>13333.41</v>
      </c>
      <c r="G288" s="1127">
        <v>0.3781703255206334</v>
      </c>
      <c r="H288" s="96">
        <v>350</v>
      </c>
      <c r="I288" s="96">
        <v>-2.7777777777777777</v>
      </c>
      <c r="J288" s="104">
        <v>133.33333333333331</v>
      </c>
      <c r="K288" s="104">
        <v>0.60034305317324177</v>
      </c>
      <c r="L288" s="1133">
        <v>0.40791200763122765</v>
      </c>
    </row>
    <row r="289" spans="1:12" ht="14.25">
      <c r="A289" s="44" t="s">
        <v>117</v>
      </c>
      <c r="B289" s="48" t="s">
        <v>28</v>
      </c>
      <c r="C289" s="105">
        <v>12026.613407072229</v>
      </c>
      <c r="D289" s="105">
        <v>12265.330197253468</v>
      </c>
      <c r="E289" s="106">
        <v>12267.145675213675</v>
      </c>
      <c r="F289" s="106">
        <v>12510.636801198538</v>
      </c>
      <c r="G289" s="1134">
        <v>-1.9462728384980081</v>
      </c>
      <c r="H289" s="107">
        <v>306.44642857142856</v>
      </c>
      <c r="I289" s="107">
        <v>1.3998875199222238</v>
      </c>
      <c r="J289" s="108">
        <v>-33.858267716535437</v>
      </c>
      <c r="K289" s="108">
        <v>7.2041166380789026</v>
      </c>
      <c r="L289" s="1135">
        <v>-0.94213095653302759</v>
      </c>
    </row>
    <row r="290" spans="1:12" ht="15">
      <c r="A290" s="46" t="s">
        <v>117</v>
      </c>
      <c r="B290" s="47" t="s">
        <v>29</v>
      </c>
      <c r="C290" s="94">
        <v>11482.005882352942</v>
      </c>
      <c r="D290" s="94">
        <v>11836.026470588235</v>
      </c>
      <c r="E290" s="95">
        <v>11711.646000000001</v>
      </c>
      <c r="F290" s="95">
        <v>12072.746999999999</v>
      </c>
      <c r="G290" s="1127">
        <v>-2.9910425522873858</v>
      </c>
      <c r="H290" s="96">
        <v>282.89999999999998</v>
      </c>
      <c r="I290" s="96">
        <v>0.92757759543345197</v>
      </c>
      <c r="J290" s="104">
        <v>-6.666666666666667</v>
      </c>
      <c r="K290" s="104">
        <v>2.4013722126929671</v>
      </c>
      <c r="L290" s="1133">
        <v>0.47706175727282596</v>
      </c>
    </row>
    <row r="291" spans="1:12" ht="15">
      <c r="A291" s="46" t="s">
        <v>117</v>
      </c>
      <c r="B291" s="47" t="s">
        <v>30</v>
      </c>
      <c r="C291" s="94">
        <v>12181.746078431372</v>
      </c>
      <c r="D291" s="94">
        <v>12338.039215686274</v>
      </c>
      <c r="E291" s="95">
        <v>12425.380999999999</v>
      </c>
      <c r="F291" s="95">
        <v>12584.8</v>
      </c>
      <c r="G291" s="1127">
        <v>-1.2667583116140095</v>
      </c>
      <c r="H291" s="96">
        <v>318.3</v>
      </c>
      <c r="I291" s="96">
        <v>3.8838120104438754</v>
      </c>
      <c r="J291" s="104">
        <v>-41.25</v>
      </c>
      <c r="K291" s="104">
        <v>4.0308747855917666</v>
      </c>
      <c r="L291" s="1133">
        <v>-1.1006197621952767</v>
      </c>
    </row>
    <row r="292" spans="1:12" ht="15">
      <c r="A292" s="46" t="s">
        <v>117</v>
      </c>
      <c r="B292" s="47" t="s">
        <v>35</v>
      </c>
      <c r="C292" s="94" t="s">
        <v>257</v>
      </c>
      <c r="D292" s="94">
        <v>12600.192156862744</v>
      </c>
      <c r="E292" s="95" t="s">
        <v>257</v>
      </c>
      <c r="F292" s="95">
        <v>12852.196</v>
      </c>
      <c r="G292" s="1153" t="s">
        <v>100</v>
      </c>
      <c r="H292" s="96" t="s">
        <v>257</v>
      </c>
      <c r="I292" s="96" t="s">
        <v>100</v>
      </c>
      <c r="J292" s="104" t="s">
        <v>100</v>
      </c>
      <c r="K292" s="104" t="s">
        <v>100</v>
      </c>
      <c r="L292" s="1133" t="s">
        <v>100</v>
      </c>
    </row>
    <row r="293" spans="1:12" ht="14.25">
      <c r="A293" s="44" t="s">
        <v>117</v>
      </c>
      <c r="B293" s="48" t="s">
        <v>31</v>
      </c>
      <c r="C293" s="105">
        <v>12022.08891001928</v>
      </c>
      <c r="D293" s="105">
        <v>11761.469534155958</v>
      </c>
      <c r="E293" s="106">
        <v>12262.530688219666</v>
      </c>
      <c r="F293" s="106">
        <v>12024.498122796824</v>
      </c>
      <c r="G293" s="1134">
        <v>1.9795634128925865</v>
      </c>
      <c r="H293" s="107">
        <v>282.24916666666667</v>
      </c>
      <c r="I293" s="107">
        <v>2.2338843338053129</v>
      </c>
      <c r="J293" s="108">
        <v>-35.828877005347593</v>
      </c>
      <c r="K293" s="108">
        <v>10.291595197255575</v>
      </c>
      <c r="L293" s="1135">
        <v>-1.7032733081966391</v>
      </c>
    </row>
    <row r="294" spans="1:12" ht="15">
      <c r="A294" s="46" t="s">
        <v>117</v>
      </c>
      <c r="B294" s="47" t="s">
        <v>32</v>
      </c>
      <c r="C294" s="94">
        <v>12268.420588235294</v>
      </c>
      <c r="D294" s="94">
        <v>11524.282352941176</v>
      </c>
      <c r="E294" s="95">
        <v>12513.789000000001</v>
      </c>
      <c r="F294" s="95">
        <v>11754.768</v>
      </c>
      <c r="G294" s="1127">
        <v>6.4571329693618855</v>
      </c>
      <c r="H294" s="96">
        <v>255.2</v>
      </c>
      <c r="I294" s="96">
        <v>4.1207670338637268</v>
      </c>
      <c r="J294" s="104">
        <v>-29.268292682926827</v>
      </c>
      <c r="K294" s="104">
        <v>2.4871355060034306</v>
      </c>
      <c r="L294" s="1133">
        <v>-0.14275544973742882</v>
      </c>
    </row>
    <row r="295" spans="1:12" ht="15">
      <c r="A295" s="46" t="s">
        <v>117</v>
      </c>
      <c r="B295" s="47" t="s">
        <v>33</v>
      </c>
      <c r="C295" s="94">
        <v>12105.846078431372</v>
      </c>
      <c r="D295" s="94">
        <v>11862.64411764706</v>
      </c>
      <c r="E295" s="95">
        <v>12347.963</v>
      </c>
      <c r="F295" s="95">
        <v>12099.897000000001</v>
      </c>
      <c r="G295" s="1127">
        <v>2.0501496830923345</v>
      </c>
      <c r="H295" s="96">
        <v>283.3</v>
      </c>
      <c r="I295" s="96">
        <v>1.2147195426938315</v>
      </c>
      <c r="J295" s="96">
        <v>-48.360655737704917</v>
      </c>
      <c r="K295" s="96">
        <v>5.4030874785591765</v>
      </c>
      <c r="L295" s="1128">
        <v>-2.4224417068160644</v>
      </c>
    </row>
    <row r="296" spans="1:12" ht="15.75" thickBot="1">
      <c r="A296" s="56" t="s">
        <v>117</v>
      </c>
      <c r="B296" s="57" t="s">
        <v>36</v>
      </c>
      <c r="C296" s="97">
        <v>11637.179411764706</v>
      </c>
      <c r="D296" s="97">
        <v>11637.179411764706</v>
      </c>
      <c r="E296" s="98">
        <v>11869.923000000001</v>
      </c>
      <c r="F296" s="98">
        <v>12042.790999999999</v>
      </c>
      <c r="G296" s="1129">
        <v>-1.435447978794937</v>
      </c>
      <c r="H296" s="99">
        <v>307.89999999999998</v>
      </c>
      <c r="I296" s="99">
        <v>-0.54909560723515671</v>
      </c>
      <c r="J296" s="99">
        <v>16.666666666666664</v>
      </c>
      <c r="K296" s="99">
        <v>2.5454545454545454</v>
      </c>
      <c r="L296" s="1130">
        <v>0.57662763815347895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698"/>
      <c r="H319" s="80"/>
      <c r="I319" s="80"/>
      <c r="J319" s="80"/>
      <c r="K319" s="80"/>
      <c r="L319" s="80"/>
    </row>
    <row r="320" spans="7:12">
      <c r="G320" s="698"/>
      <c r="H320" s="80"/>
      <c r="I320" s="80"/>
      <c r="J320" s="80"/>
      <c r="K320" s="80"/>
      <c r="L320" s="80"/>
    </row>
    <row r="321" spans="7:12">
      <c r="G321" s="698"/>
      <c r="H321" s="80"/>
      <c r="I321" s="80"/>
      <c r="J321" s="80"/>
      <c r="K321" s="80"/>
      <c r="L321" s="80"/>
    </row>
    <row r="322" spans="7:12">
      <c r="G322" s="698"/>
      <c r="H322" s="80"/>
      <c r="I322" s="80"/>
      <c r="J322" s="80"/>
      <c r="K322" s="80"/>
      <c r="L322" s="80"/>
    </row>
    <row r="323" spans="7:12">
      <c r="G323" s="698"/>
      <c r="H323" s="80"/>
      <c r="I323" s="80"/>
      <c r="J323" s="80"/>
      <c r="K323" s="80"/>
      <c r="L323" s="80"/>
    </row>
    <row r="324" spans="7:12">
      <c r="G324" s="698"/>
      <c r="H324" s="80"/>
      <c r="I324" s="80"/>
      <c r="J324" s="80"/>
      <c r="K324" s="80"/>
      <c r="L324" s="80"/>
    </row>
    <row r="325" spans="7:12">
      <c r="G325" s="698"/>
      <c r="H325" s="80"/>
      <c r="I325" s="80"/>
      <c r="J325" s="80"/>
      <c r="K325" s="80"/>
      <c r="L325" s="80"/>
    </row>
    <row r="326" spans="7:12">
      <c r="G326" s="698"/>
      <c r="H326" s="80"/>
      <c r="I326" s="80"/>
      <c r="J326" s="80"/>
      <c r="K326" s="80"/>
      <c r="L326" s="80"/>
    </row>
    <row r="327" spans="7:12">
      <c r="G327" s="698"/>
      <c r="H327" s="80"/>
      <c r="I327" s="80"/>
      <c r="J327" s="80"/>
      <c r="K327" s="80"/>
      <c r="L327" s="80"/>
    </row>
    <row r="328" spans="7:12">
      <c r="G328" s="698"/>
      <c r="H328" s="80"/>
      <c r="I328" s="80"/>
      <c r="J328" s="80"/>
      <c r="K328" s="80"/>
      <c r="L328" s="80"/>
    </row>
    <row r="329" spans="7:12">
      <c r="G329" s="698"/>
      <c r="H329" s="80"/>
      <c r="I329" s="80"/>
      <c r="J329" s="80"/>
      <c r="K329" s="80"/>
      <c r="L329" s="80"/>
    </row>
    <row r="330" spans="7:12">
      <c r="G330" s="698"/>
      <c r="H330" s="80"/>
      <c r="I330" s="80"/>
      <c r="J330" s="80"/>
      <c r="K330" s="80"/>
      <c r="L330" s="80"/>
    </row>
    <row r="331" spans="7:12">
      <c r="G331" s="698"/>
      <c r="H331" s="80"/>
      <c r="I331" s="80"/>
      <c r="J331" s="80"/>
      <c r="K331" s="80"/>
      <c r="L331" s="80"/>
    </row>
    <row r="332" spans="7:12">
      <c r="G332" s="698"/>
      <c r="H332" s="80"/>
      <c r="I332" s="80"/>
      <c r="J332" s="80"/>
      <c r="K332" s="80"/>
      <c r="L332" s="80"/>
    </row>
    <row r="333" spans="7:12">
      <c r="G333" s="698"/>
      <c r="H333" s="80"/>
      <c r="I333" s="80"/>
      <c r="J333" s="80"/>
      <c r="K333" s="80"/>
      <c r="L333" s="80"/>
    </row>
    <row r="334" spans="7:12">
      <c r="G334" s="698"/>
      <c r="H334" s="80"/>
      <c r="I334" s="80"/>
      <c r="J334" s="80"/>
      <c r="K334" s="80"/>
      <c r="L334" s="80"/>
    </row>
    <row r="335" spans="7:12">
      <c r="G335" s="698"/>
      <c r="H335" s="80"/>
      <c r="I335" s="80"/>
      <c r="J335" s="80"/>
      <c r="K335" s="80"/>
      <c r="L335" s="80"/>
    </row>
    <row r="336" spans="7:12">
      <c r="G336" s="698"/>
      <c r="H336" s="80"/>
      <c r="I336" s="80"/>
      <c r="J336" s="80"/>
      <c r="K336" s="80"/>
      <c r="L336" s="80"/>
    </row>
    <row r="337" spans="7:12">
      <c r="G337" s="698"/>
      <c r="H337" s="80"/>
      <c r="I337" s="80"/>
      <c r="J337" s="80"/>
      <c r="K337" s="80"/>
      <c r="L337" s="80"/>
    </row>
    <row r="338" spans="7:12">
      <c r="G338" s="698"/>
      <c r="H338" s="80"/>
      <c r="I338" s="80"/>
      <c r="J338" s="80"/>
      <c r="K338" s="80"/>
      <c r="L338" s="80"/>
    </row>
    <row r="339" spans="7:12">
      <c r="G339" s="698"/>
      <c r="H339" s="80"/>
      <c r="I339" s="80"/>
      <c r="J339" s="80"/>
      <c r="K339" s="80"/>
      <c r="L339" s="80"/>
    </row>
    <row r="340" spans="7:12">
      <c r="G340" s="698"/>
      <c r="H340" s="80"/>
      <c r="I340" s="80"/>
      <c r="J340" s="80"/>
      <c r="K340" s="80"/>
      <c r="L340" s="80"/>
    </row>
    <row r="341" spans="7:12">
      <c r="G341" s="698"/>
      <c r="H341" s="80"/>
      <c r="I341" s="80"/>
      <c r="J341" s="80"/>
      <c r="K341" s="80"/>
      <c r="L341" s="80"/>
    </row>
    <row r="342" spans="7:12">
      <c r="G342" s="698"/>
      <c r="H342" s="80"/>
      <c r="I342" s="80"/>
      <c r="J342" s="80"/>
      <c r="K342" s="80"/>
      <c r="L342" s="80"/>
    </row>
    <row r="343" spans="7:12">
      <c r="G343" s="698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7" t="s">
        <v>128</v>
      </c>
      <c r="B1" s="1187"/>
      <c r="C1" s="1187"/>
      <c r="D1" s="1187"/>
      <c r="E1" s="1187"/>
      <c r="F1" s="1187"/>
      <c r="G1" s="1187"/>
      <c r="H1" s="1187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88" t="s">
        <v>131</v>
      </c>
      <c r="F2" s="1189"/>
      <c r="G2" s="1190"/>
      <c r="H2" s="911" t="s">
        <v>132</v>
      </c>
    </row>
    <row r="3" spans="1:18" ht="27.75" thickBot="1">
      <c r="A3" s="637"/>
      <c r="B3" s="1149" t="s">
        <v>379</v>
      </c>
      <c r="C3" s="1149" t="s">
        <v>376</v>
      </c>
      <c r="D3" s="925" t="s">
        <v>70</v>
      </c>
      <c r="E3" s="994" t="s">
        <v>379</v>
      </c>
      <c r="F3" s="656" t="s">
        <v>376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13200.556620529265</v>
      </c>
      <c r="C5" s="145">
        <v>12874.447971039446</v>
      </c>
      <c r="D5" s="887">
        <v>2.5329913191104376</v>
      </c>
      <c r="E5" s="928">
        <v>100</v>
      </c>
      <c r="F5" s="929">
        <v>100</v>
      </c>
      <c r="G5" s="677" t="s">
        <v>100</v>
      </c>
      <c r="H5" s="680">
        <v>-18.157395209891394</v>
      </c>
    </row>
    <row r="6" spans="1:18">
      <c r="A6" s="665" t="s">
        <v>135</v>
      </c>
      <c r="B6" s="94">
        <v>10349.627</v>
      </c>
      <c r="C6" s="94">
        <v>10672.504999999999</v>
      </c>
      <c r="D6" s="888">
        <v>-3.0253253570740779</v>
      </c>
      <c r="E6" s="930">
        <v>9.4427264201160934</v>
      </c>
      <c r="F6" s="931">
        <v>14.372400344373334</v>
      </c>
      <c r="G6" s="675">
        <v>-34.299586750567826</v>
      </c>
      <c r="H6" s="676">
        <v>-46.229070438799077</v>
      </c>
    </row>
    <row r="7" spans="1:18">
      <c r="A7" s="665" t="s">
        <v>136</v>
      </c>
      <c r="B7" s="94">
        <v>15721.539000000001</v>
      </c>
      <c r="C7" s="94">
        <v>15250.183999999999</v>
      </c>
      <c r="D7" s="888">
        <v>3.0908151665579995</v>
      </c>
      <c r="E7" s="930">
        <v>12.813363412841245</v>
      </c>
      <c r="F7" s="931">
        <v>9.2830396133060891</v>
      </c>
      <c r="G7" s="675">
        <v>38.02982586086214</v>
      </c>
      <c r="H7" s="676">
        <v>12.967204871780535</v>
      </c>
    </row>
    <row r="8" spans="1:18" ht="13.5" thickBot="1">
      <c r="A8" s="666" t="s">
        <v>137</v>
      </c>
      <c r="B8" s="97">
        <v>13131.333000000001</v>
      </c>
      <c r="C8" s="97">
        <v>13000.103999999999</v>
      </c>
      <c r="D8" s="889">
        <v>1.0094457705876905</v>
      </c>
      <c r="E8" s="932">
        <v>77.743910167042657</v>
      </c>
      <c r="F8" s="933">
        <v>76.34456004232058</v>
      </c>
      <c r="G8" s="678">
        <v>1.8329401910841654</v>
      </c>
      <c r="H8" s="681">
        <v>-16.657269213263319</v>
      </c>
    </row>
    <row r="9" spans="1:18" ht="15">
      <c r="A9" s="638" t="s">
        <v>313</v>
      </c>
      <c r="B9" s="146">
        <v>11038.594503638033</v>
      </c>
      <c r="C9" s="146">
        <v>11070.768867049741</v>
      </c>
      <c r="D9" s="890">
        <v>-0.29062447060447483</v>
      </c>
      <c r="E9" s="934">
        <v>100</v>
      </c>
      <c r="F9" s="935">
        <v>100</v>
      </c>
      <c r="G9" s="679" t="s">
        <v>100</v>
      </c>
      <c r="H9" s="682">
        <v>-32.528877887788781</v>
      </c>
    </row>
    <row r="10" spans="1:18">
      <c r="A10" s="665" t="s">
        <v>135</v>
      </c>
      <c r="B10" s="94">
        <v>9337.5609999999997</v>
      </c>
      <c r="C10" s="94">
        <v>9266.9660000000003</v>
      </c>
      <c r="D10" s="888">
        <v>0.76179193923879018</v>
      </c>
      <c r="E10" s="930">
        <v>3.2213827138926501</v>
      </c>
      <c r="F10" s="931">
        <v>3.0634134842055634</v>
      </c>
      <c r="G10" s="675">
        <v>5.1566408028674244</v>
      </c>
      <c r="H10" s="676">
        <v>-29.04963447479799</v>
      </c>
    </row>
    <row r="11" spans="1:18">
      <c r="A11" s="665" t="s">
        <v>136</v>
      </c>
      <c r="B11" s="94">
        <v>14909.529</v>
      </c>
      <c r="C11" s="94">
        <v>14703.268</v>
      </c>
      <c r="D11" s="888">
        <v>1.4028241884729329</v>
      </c>
      <c r="E11" s="930">
        <v>3.3585185832205102</v>
      </c>
      <c r="F11" s="931">
        <v>4.2026166902404531</v>
      </c>
      <c r="G11" s="675">
        <v>-20.085060552397124</v>
      </c>
      <c r="H11" s="676">
        <v>-46.080493619408216</v>
      </c>
    </row>
    <row r="12" spans="1:18" ht="13.5" thickBot="1">
      <c r="A12" s="667" t="s">
        <v>137</v>
      </c>
      <c r="B12" s="94">
        <v>10958.088</v>
      </c>
      <c r="C12" s="94">
        <v>10965.735000000001</v>
      </c>
      <c r="D12" s="888">
        <v>-6.9735407612903685E-2</v>
      </c>
      <c r="E12" s="930">
        <v>93.420098702886847</v>
      </c>
      <c r="F12" s="931">
        <v>92.733969825553984</v>
      </c>
      <c r="G12" s="675">
        <v>0.73988946943991518</v>
      </c>
      <c r="H12" s="676">
        <v>-32.02966616036759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12947.290405175034</v>
      </c>
      <c r="C14" s="145">
        <v>12800.864534750848</v>
      </c>
      <c r="D14" s="887">
        <v>1.1438748533482206</v>
      </c>
      <c r="E14" s="928">
        <v>100</v>
      </c>
      <c r="F14" s="929">
        <v>100</v>
      </c>
      <c r="G14" s="677" t="s">
        <v>100</v>
      </c>
      <c r="H14" s="680">
        <v>-5.9965446407922895</v>
      </c>
      <c r="P14"/>
      <c r="Q14"/>
      <c r="R14"/>
    </row>
    <row r="15" spans="1:18">
      <c r="A15" s="665" t="s">
        <v>135</v>
      </c>
      <c r="B15" s="94">
        <v>10769.677</v>
      </c>
      <c r="C15" s="94">
        <v>11567.173000000001</v>
      </c>
      <c r="D15" s="888">
        <v>-6.8944762907929267</v>
      </c>
      <c r="E15" s="930">
        <v>3.8262832665229158</v>
      </c>
      <c r="F15" s="931">
        <v>8.198996041301065</v>
      </c>
      <c r="G15" s="675">
        <v>-53.332295231652061</v>
      </c>
      <c r="H15" s="676">
        <v>-56.130744980919189</v>
      </c>
    </row>
    <row r="16" spans="1:18">
      <c r="A16" s="665" t="s">
        <v>136</v>
      </c>
      <c r="B16" s="94">
        <v>15546.227999999999</v>
      </c>
      <c r="C16" s="94">
        <v>14178.895</v>
      </c>
      <c r="D16" s="888">
        <v>9.6434383638499241</v>
      </c>
      <c r="E16" s="930">
        <v>2.7626228274554641</v>
      </c>
      <c r="F16" s="931">
        <v>2.8567930457494999</v>
      </c>
      <c r="G16" s="675">
        <v>-3.2963612269410856</v>
      </c>
      <c r="H16" s="676">
        <v>-9.0952380952380967</v>
      </c>
    </row>
    <row r="17" spans="1:13" ht="13.5" thickBot="1">
      <c r="A17" s="666" t="s">
        <v>137</v>
      </c>
      <c r="B17" s="97">
        <v>12959.626</v>
      </c>
      <c r="C17" s="97">
        <v>12870.326999999999</v>
      </c>
      <c r="D17" s="889">
        <v>0.69383629491310428</v>
      </c>
      <c r="E17" s="932">
        <v>93.41109390602162</v>
      </c>
      <c r="F17" s="933">
        <v>88.944210912949444</v>
      </c>
      <c r="G17" s="678">
        <v>5.0221177378749893</v>
      </c>
      <c r="H17" s="681">
        <v>-1.27558043498211</v>
      </c>
    </row>
    <row r="18" spans="1:13" ht="15">
      <c r="A18" s="638" t="s">
        <v>313</v>
      </c>
      <c r="B18" s="146">
        <v>11155.137343451044</v>
      </c>
      <c r="C18" s="146">
        <v>11148.295000000002</v>
      </c>
      <c r="D18" s="890">
        <v>6.1375694229855983E-2</v>
      </c>
      <c r="E18" s="934">
        <v>100</v>
      </c>
      <c r="F18" s="935">
        <v>100</v>
      </c>
      <c r="G18" s="679" t="s">
        <v>100</v>
      </c>
      <c r="H18" s="682">
        <v>-31.930263807697163</v>
      </c>
    </row>
    <row r="19" spans="1:13">
      <c r="A19" s="665" t="s">
        <v>135</v>
      </c>
      <c r="B19" s="94" t="s">
        <v>257</v>
      </c>
      <c r="C19" s="94" t="s">
        <v>100</v>
      </c>
      <c r="D19" s="888" t="s">
        <v>100</v>
      </c>
      <c r="E19" s="930">
        <v>0.53822402942516312</v>
      </c>
      <c r="F19" s="931">
        <v>0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100</v>
      </c>
      <c r="D20" s="888" t="s">
        <v>100</v>
      </c>
      <c r="E20" s="930">
        <v>0</v>
      </c>
      <c r="F20" s="931">
        <v>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11166.032999999999</v>
      </c>
      <c r="C21" s="94">
        <v>11148.295</v>
      </c>
      <c r="D21" s="888">
        <v>0.15910953199569419</v>
      </c>
      <c r="E21" s="930">
        <v>99.461775970574834</v>
      </c>
      <c r="F21" s="931">
        <v>100</v>
      </c>
      <c r="G21" s="675">
        <v>-0.5382240294251659</v>
      </c>
      <c r="H21" s="676">
        <v>-32.296631484650462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13429.594453709082</v>
      </c>
      <c r="C23" s="145">
        <v>12933.867103771394</v>
      </c>
      <c r="D23" s="887">
        <v>3.832785244817758</v>
      </c>
      <c r="E23" s="928">
        <v>100</v>
      </c>
      <c r="F23" s="929">
        <v>100</v>
      </c>
      <c r="G23" s="677" t="s">
        <v>100</v>
      </c>
      <c r="H23" s="680">
        <v>-20.059130392288623</v>
      </c>
    </row>
    <row r="24" spans="1:13">
      <c r="A24" s="665" t="s">
        <v>135</v>
      </c>
      <c r="B24" s="94">
        <v>10140.615</v>
      </c>
      <c r="C24" s="94">
        <v>10284.232</v>
      </c>
      <c r="D24" s="888">
        <v>-1.3964776368327765</v>
      </c>
      <c r="E24" s="930">
        <v>17.260139988385244</v>
      </c>
      <c r="F24" s="931">
        <v>22.932574248958502</v>
      </c>
      <c r="G24" s="675">
        <v>-24.735270445405298</v>
      </c>
      <c r="H24" s="676">
        <v>-39.832720686164826</v>
      </c>
    </row>
    <row r="25" spans="1:13">
      <c r="A25" s="665" t="s">
        <v>136</v>
      </c>
      <c r="B25" s="94" t="s">
        <v>257</v>
      </c>
      <c r="C25" s="94" t="s">
        <v>257</v>
      </c>
      <c r="D25" s="888" t="s">
        <v>100</v>
      </c>
      <c r="E25" s="930">
        <v>25.427147965889297</v>
      </c>
      <c r="F25" s="931">
        <v>16.76053412825431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13405.277</v>
      </c>
      <c r="C26" s="97">
        <v>13271.707</v>
      </c>
      <c r="D26" s="889">
        <v>1.0064266789494352</v>
      </c>
      <c r="E26" s="932">
        <v>57.312712045725469</v>
      </c>
      <c r="F26" s="933">
        <v>60.306891622787198</v>
      </c>
      <c r="G26" s="678">
        <v>-4.9649045017773163</v>
      </c>
      <c r="H26" s="681">
        <v>-24.028118226201816</v>
      </c>
      <c r="J26" s="129"/>
      <c r="K26" s="122"/>
      <c r="L26" s="122"/>
      <c r="M26" s="122"/>
    </row>
    <row r="27" spans="1:13" ht="15">
      <c r="A27" s="638" t="s">
        <v>313</v>
      </c>
      <c r="B27" s="146">
        <v>11194.574320548243</v>
      </c>
      <c r="C27" s="146">
        <v>11092.782012636018</v>
      </c>
      <c r="D27" s="890">
        <v>0.91764453494417342</v>
      </c>
      <c r="E27" s="934">
        <v>100</v>
      </c>
      <c r="F27" s="935">
        <v>100</v>
      </c>
      <c r="G27" s="679" t="s">
        <v>100</v>
      </c>
      <c r="H27" s="682">
        <v>-27.22362403406402</v>
      </c>
      <c r="J27" s="1186"/>
      <c r="K27" s="1186"/>
      <c r="L27" s="1186"/>
      <c r="M27" s="1186"/>
    </row>
    <row r="28" spans="1:13">
      <c r="A28" s="665" t="s">
        <v>135</v>
      </c>
      <c r="B28" s="94" t="s">
        <v>100</v>
      </c>
      <c r="C28" s="94" t="s">
        <v>257</v>
      </c>
      <c r="D28" s="888" t="s">
        <v>100</v>
      </c>
      <c r="E28" s="930">
        <v>0</v>
      </c>
      <c r="F28" s="931">
        <v>0.2424696420123009</v>
      </c>
      <c r="G28" s="675" t="s">
        <v>100</v>
      </c>
      <c r="H28" s="676" t="s">
        <v>100</v>
      </c>
    </row>
    <row r="29" spans="1:13">
      <c r="A29" s="665" t="s">
        <v>136</v>
      </c>
      <c r="B29" s="94">
        <v>15091.147000000001</v>
      </c>
      <c r="C29" s="94" t="s">
        <v>257</v>
      </c>
      <c r="D29" s="888" t="s">
        <v>100</v>
      </c>
      <c r="E29" s="930">
        <v>5.0111056936995499</v>
      </c>
      <c r="F29" s="931">
        <v>1.9062450717552435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10989.012000000001</v>
      </c>
      <c r="C30" s="94">
        <v>11009.55</v>
      </c>
      <c r="D30" s="888">
        <v>-0.18654713407903728</v>
      </c>
      <c r="E30" s="930">
        <v>94.988894306300452</v>
      </c>
      <c r="F30" s="931">
        <v>97.851285286232454</v>
      </c>
      <c r="G30" s="675">
        <v>-2.9252461749061318</v>
      </c>
      <c r="H30" s="676">
        <v>-29.352512188242873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13308.60241054622</v>
      </c>
      <c r="C32" s="145">
        <v>12889.009702819611</v>
      </c>
      <c r="D32" s="887">
        <v>3.2554301486391095</v>
      </c>
      <c r="E32" s="928">
        <v>100</v>
      </c>
      <c r="F32" s="929">
        <v>100</v>
      </c>
      <c r="G32" s="677" t="s">
        <v>100</v>
      </c>
      <c r="H32" s="680">
        <v>-37.86980668589127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4.1385534401994075</v>
      </c>
      <c r="F33" s="931">
        <v>7.7806258677774229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7.1898233701491261</v>
      </c>
      <c r="F34" s="931">
        <v>5.553775499305778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13170.587</v>
      </c>
      <c r="C35" s="97">
        <v>12848.459000000001</v>
      </c>
      <c r="D35" s="889">
        <v>2.5071333457187261</v>
      </c>
      <c r="E35" s="932">
        <v>88.67162318965147</v>
      </c>
      <c r="F35" s="933">
        <v>86.665598632916797</v>
      </c>
      <c r="G35" s="678">
        <v>2.3146722440947367</v>
      </c>
      <c r="H35" s="681">
        <v>-36.43169634604719</v>
      </c>
    </row>
    <row r="36" spans="1:8" ht="15">
      <c r="A36" s="638" t="s">
        <v>313</v>
      </c>
      <c r="B36" s="146">
        <v>10346.39672248333</v>
      </c>
      <c r="C36" s="146">
        <v>10824.009620651797</v>
      </c>
      <c r="D36" s="890">
        <v>-4.4125320921481785</v>
      </c>
      <c r="E36" s="934">
        <v>100</v>
      </c>
      <c r="F36" s="935">
        <v>100</v>
      </c>
      <c r="G36" s="679" t="s">
        <v>100</v>
      </c>
      <c r="H36" s="682">
        <v>-42.605313509613872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18.411848289430534</v>
      </c>
      <c r="F37" s="931">
        <v>15.918572190332799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10.902830910482018</v>
      </c>
      <c r="F38" s="931">
        <v>19.334399799253475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9926.482</v>
      </c>
      <c r="C39" s="97">
        <v>10090.308999999999</v>
      </c>
      <c r="D39" s="889">
        <v>-1.6236073642541506</v>
      </c>
      <c r="E39" s="932">
        <v>70.685320800087439</v>
      </c>
      <c r="F39" s="933">
        <v>64.747028010413715</v>
      </c>
      <c r="G39" s="678">
        <v>9.1715295236696086</v>
      </c>
      <c r="H39" s="681">
        <v>-37.341342893130502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1"/>
      <c r="B41" s="1191"/>
      <c r="C41" s="1191"/>
      <c r="D41" s="1191"/>
    </row>
    <row r="42" spans="1:8" ht="15">
      <c r="A42" s="130" t="s">
        <v>61</v>
      </c>
      <c r="B42" s="131"/>
    </row>
    <row r="43" spans="1:8" ht="15">
      <c r="A43" s="128" t="s">
        <v>96</v>
      </c>
      <c r="B43" s="1192" t="s">
        <v>62</v>
      </c>
      <c r="C43" s="1193"/>
      <c r="D43" s="1193"/>
      <c r="E43" s="1193"/>
      <c r="F43" s="1193"/>
      <c r="G43" s="1193"/>
      <c r="H43" s="1194"/>
    </row>
    <row r="44" spans="1:8" ht="15">
      <c r="A44" s="128" t="s">
        <v>63</v>
      </c>
      <c r="B44" s="1192" t="s">
        <v>64</v>
      </c>
      <c r="C44" s="1193"/>
      <c r="D44" s="1193"/>
      <c r="E44" s="1193"/>
      <c r="F44" s="1193"/>
      <c r="G44" s="1193"/>
      <c r="H44" s="1194"/>
    </row>
    <row r="45" spans="1:8" ht="15">
      <c r="A45" s="128" t="s">
        <v>65</v>
      </c>
      <c r="B45" s="1192" t="s">
        <v>66</v>
      </c>
      <c r="C45" s="1193"/>
      <c r="D45" s="1193"/>
      <c r="E45" s="1193"/>
      <c r="F45" s="1193"/>
      <c r="G45" s="1193"/>
      <c r="H45" s="119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381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5" t="s">
        <v>141</v>
      </c>
      <c r="B3" s="1197" t="s">
        <v>142</v>
      </c>
      <c r="C3" s="1197"/>
      <c r="D3" s="1198" t="s">
        <v>319</v>
      </c>
      <c r="E3" s="1199"/>
    </row>
    <row r="4" spans="1:8" ht="16.5" thickBot="1">
      <c r="A4" s="1196"/>
      <c r="B4" s="967" t="s">
        <v>143</v>
      </c>
      <c r="C4" s="967" t="s">
        <v>144</v>
      </c>
      <c r="D4" s="968" t="s">
        <v>143</v>
      </c>
      <c r="E4" s="969" t="s">
        <v>144</v>
      </c>
      <c r="G4" s="132" t="s">
        <v>145</v>
      </c>
      <c r="H4" s="133"/>
    </row>
    <row r="5" spans="1:8" ht="17.25" customHeight="1" thickBot="1">
      <c r="A5" s="961" t="s">
        <v>146</v>
      </c>
      <c r="B5" s="962">
        <v>26868.758000000002</v>
      </c>
      <c r="C5" s="962">
        <v>21765.287</v>
      </c>
      <c r="D5" s="963">
        <v>4.4538424851880212</v>
      </c>
      <c r="E5" s="964">
        <v>-0.90914264433657255</v>
      </c>
      <c r="G5" s="134" t="s">
        <v>59</v>
      </c>
      <c r="H5" s="135" t="s">
        <v>60</v>
      </c>
    </row>
    <row r="6" spans="1:8" ht="18" customHeight="1">
      <c r="A6" s="985" t="s">
        <v>147</v>
      </c>
      <c r="B6" s="1053" t="s">
        <v>257</v>
      </c>
      <c r="C6" s="986" t="s">
        <v>257</v>
      </c>
      <c r="D6" s="641" t="s">
        <v>100</v>
      </c>
      <c r="E6" s="1072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27131.756000000001</v>
      </c>
      <c r="C7" s="640">
        <v>22015.339</v>
      </c>
      <c r="D7" s="970">
        <v>5.00254226707683</v>
      </c>
      <c r="E7" s="971">
        <v>1.6173831870431679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72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2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21006.207999999999</v>
      </c>
      <c r="D10" s="641" t="s">
        <v>100</v>
      </c>
      <c r="E10" s="972">
        <v>-1.7587699867081592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2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22149.787</v>
      </c>
      <c r="D12" s="641" t="s">
        <v>100</v>
      </c>
      <c r="E12" s="972">
        <v>-8.4173909893919365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20665.646000000001</v>
      </c>
      <c r="D13" s="1073" t="s">
        <v>100</v>
      </c>
      <c r="E13" s="973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8"/>
    </row>
    <row r="24" spans="1:4" ht="15">
      <c r="D24" s="978"/>
    </row>
    <row r="25" spans="1:4" ht="15">
      <c r="A25" s="979"/>
      <c r="D25" s="978"/>
    </row>
    <row r="26" spans="1:4" ht="15">
      <c r="A26" s="979"/>
      <c r="D26" s="978"/>
    </row>
    <row r="27" spans="1:4" ht="15">
      <c r="A27" s="979"/>
      <c r="D27" s="978"/>
    </row>
    <row r="28" spans="1:4" ht="15">
      <c r="A28" s="979"/>
      <c r="D28" s="978"/>
    </row>
    <row r="29" spans="1:4" ht="15">
      <c r="A29" s="979"/>
      <c r="D29" s="978"/>
    </row>
    <row r="30" spans="1:4" ht="15">
      <c r="A30" s="979"/>
      <c r="D30" s="978"/>
    </row>
    <row r="31" spans="1:4" ht="15">
      <c r="A31" s="979"/>
      <c r="D31" s="978"/>
    </row>
    <row r="32" spans="1:4" ht="15">
      <c r="A32" s="979"/>
      <c r="D32" s="978"/>
    </row>
    <row r="33" spans="1:13" ht="15">
      <c r="A33" s="979"/>
      <c r="D33" s="978"/>
    </row>
    <row r="34" spans="1:13" ht="15">
      <c r="A34" s="979"/>
      <c r="D34" s="978"/>
    </row>
    <row r="35" spans="1:13" ht="15">
      <c r="A35" s="979"/>
      <c r="D35" s="978"/>
      <c r="M35" s="127" t="s">
        <v>123</v>
      </c>
    </row>
    <row r="36" spans="1:13" ht="15">
      <c r="A36" s="979"/>
      <c r="D36" s="978"/>
    </row>
    <row r="37" spans="1:13" ht="15">
      <c r="A37" s="979"/>
      <c r="D37" s="978"/>
    </row>
    <row r="38" spans="1:13" ht="15">
      <c r="A38" s="979"/>
      <c r="D38" s="978"/>
    </row>
    <row r="39" spans="1:13" ht="15">
      <c r="A39" s="979"/>
      <c r="D39" s="978"/>
    </row>
    <row r="40" spans="1:13" ht="15">
      <c r="A40" s="979"/>
      <c r="D40" s="978"/>
    </row>
    <row r="41" spans="1:13" ht="15">
      <c r="A41" s="979"/>
      <c r="D41" s="978"/>
    </row>
    <row r="42" spans="1:13" ht="15">
      <c r="A42" s="979"/>
      <c r="D42" s="978"/>
    </row>
    <row r="43" spans="1:13" ht="15">
      <c r="A43" s="979"/>
      <c r="D43" s="978"/>
    </row>
    <row r="44" spans="1:13" ht="15">
      <c r="A44" s="979"/>
      <c r="D44" s="978"/>
    </row>
    <row r="45" spans="1:13" ht="15">
      <c r="D45" s="978"/>
    </row>
    <row r="46" spans="1:13" ht="15">
      <c r="A46" s="979"/>
      <c r="D46" s="978"/>
    </row>
    <row r="47" spans="1:13" ht="15">
      <c r="A47" s="979"/>
      <c r="D47" s="978"/>
    </row>
    <row r="48" spans="1:13" ht="15">
      <c r="A48" s="979"/>
      <c r="D48" s="978"/>
    </row>
    <row r="49" spans="1:4" ht="15">
      <c r="A49" s="979"/>
      <c r="D49" s="978"/>
    </row>
    <row r="50" spans="1:4" ht="15">
      <c r="A50" s="979"/>
      <c r="D50" s="978"/>
    </row>
    <row r="51" spans="1:4" ht="15">
      <c r="A51" s="979"/>
      <c r="D51" s="978"/>
    </row>
    <row r="52" spans="1:4" ht="15">
      <c r="A52" s="979"/>
      <c r="D52" s="978"/>
    </row>
    <row r="53" spans="1:4" ht="15">
      <c r="A53" s="979"/>
      <c r="D53" s="978"/>
    </row>
    <row r="54" spans="1:4" ht="15">
      <c r="A54" s="979"/>
    </row>
    <row r="55" spans="1:4" ht="15">
      <c r="A55" s="97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N33" sqref="N33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6" t="s">
        <v>315</v>
      </c>
      <c r="B1" s="1206"/>
      <c r="C1" s="1206"/>
      <c r="D1" s="1206"/>
      <c r="E1" s="1206"/>
      <c r="F1" s="1206"/>
      <c r="G1" s="657"/>
      <c r="H1" s="657"/>
    </row>
    <row r="2" spans="1:8" ht="13.5" customHeight="1" thickBot="1"/>
    <row r="3" spans="1:8" ht="27" customHeight="1">
      <c r="A3" s="1200" t="s">
        <v>73</v>
      </c>
      <c r="B3" s="1202" t="s">
        <v>118</v>
      </c>
      <c r="C3" s="1207" t="s">
        <v>82</v>
      </c>
      <c r="D3" s="1208"/>
      <c r="E3" s="1209"/>
      <c r="F3" s="1204" t="s">
        <v>119</v>
      </c>
      <c r="G3" s="1205"/>
      <c r="H3" s="122"/>
    </row>
    <row r="4" spans="1:8" ht="32.25" customHeight="1" thickBot="1">
      <c r="A4" s="1201"/>
      <c r="B4" s="1203"/>
      <c r="C4" s="948">
        <v>43597</v>
      </c>
      <c r="D4" s="949">
        <v>43590</v>
      </c>
      <c r="E4" s="950">
        <v>43233</v>
      </c>
      <c r="F4" s="951" t="s">
        <v>357</v>
      </c>
      <c r="G4" s="952" t="s">
        <v>120</v>
      </c>
      <c r="H4" s="122"/>
    </row>
    <row r="5" spans="1:8" ht="29.25" customHeight="1">
      <c r="A5" s="1018" t="s">
        <v>124</v>
      </c>
      <c r="B5" s="1015" t="s">
        <v>330</v>
      </c>
      <c r="C5" s="953">
        <v>691.51</v>
      </c>
      <c r="D5" s="904">
        <v>713.56</v>
      </c>
      <c r="E5" s="954">
        <v>658</v>
      </c>
      <c r="F5" s="1064">
        <v>-3.0901395818151181</v>
      </c>
      <c r="G5" s="955">
        <v>5.0927051671732508</v>
      </c>
    </row>
    <row r="6" spans="1:8" ht="28.5" customHeight="1" thickBot="1">
      <c r="A6" s="1019" t="s">
        <v>125</v>
      </c>
      <c r="B6" s="1016" t="s">
        <v>330</v>
      </c>
      <c r="C6" s="1065">
        <v>931.36</v>
      </c>
      <c r="D6" s="1066">
        <v>979.9</v>
      </c>
      <c r="E6" s="1067">
        <v>879.1</v>
      </c>
      <c r="F6" s="1068">
        <v>-4.9535666904786169</v>
      </c>
      <c r="G6" s="1057">
        <v>5.9447161870094405</v>
      </c>
    </row>
    <row r="7" spans="1:8" ht="32.25" customHeight="1" thickBot="1">
      <c r="A7" s="1020" t="s">
        <v>121</v>
      </c>
      <c r="B7" s="1017" t="s">
        <v>122</v>
      </c>
      <c r="C7" s="1065"/>
      <c r="D7" s="1069" t="s">
        <v>100</v>
      </c>
      <c r="E7" s="1070" t="s">
        <v>100</v>
      </c>
      <c r="F7" s="1069" t="s">
        <v>100</v>
      </c>
      <c r="G7" s="1112" t="s">
        <v>100</v>
      </c>
    </row>
    <row r="8" spans="1:8" s="122" customFormat="1" ht="15.75">
      <c r="A8" s="1007"/>
      <c r="B8" s="1008"/>
      <c r="C8"/>
      <c r="D8" s="982"/>
      <c r="E8" s="983"/>
      <c r="F8" s="984"/>
      <c r="G8" s="984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V22" sqref="V22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3" t="s">
        <v>89</v>
      </c>
      <c r="C1" s="1213"/>
      <c r="D1" s="1213"/>
      <c r="E1" s="1213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1"/>
    </row>
    <row r="4" spans="2:17" ht="34.5" customHeight="1" thickBot="1">
      <c r="B4" s="725" t="s">
        <v>43</v>
      </c>
      <c r="C4" s="648">
        <v>43595</v>
      </c>
      <c r="D4" s="648">
        <v>43588</v>
      </c>
      <c r="E4" s="726" t="s">
        <v>316</v>
      </c>
      <c r="F4" s="1212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0" t="s">
        <v>355</v>
      </c>
      <c r="H5" s="1210"/>
      <c r="I5" s="1210"/>
      <c r="J5" s="1210"/>
      <c r="K5" s="1210"/>
      <c r="L5" s="1210"/>
      <c r="M5" s="1210"/>
      <c r="N5" s="1210"/>
      <c r="O5" s="1210"/>
      <c r="P5" s="1210"/>
      <c r="Q5" s="1210"/>
    </row>
    <row r="6" spans="2:17" ht="21" customHeight="1">
      <c r="B6" s="958" t="s">
        <v>44</v>
      </c>
      <c r="C6" s="960" t="s">
        <v>100</v>
      </c>
      <c r="D6" s="939" t="s">
        <v>100</v>
      </c>
      <c r="E6" s="940" t="s">
        <v>100</v>
      </c>
      <c r="F6" s="10"/>
      <c r="G6" s="1210"/>
      <c r="H6" s="1210"/>
      <c r="I6" s="1210"/>
      <c r="J6" s="1210"/>
      <c r="K6" s="1210"/>
      <c r="L6" s="1210"/>
      <c r="M6" s="1210"/>
      <c r="N6" s="1210"/>
      <c r="O6" s="1210"/>
      <c r="P6" s="1210"/>
      <c r="Q6" s="1210"/>
    </row>
    <row r="7" spans="2:17" ht="15.75">
      <c r="B7" s="650" t="s">
        <v>45</v>
      </c>
      <c r="C7" s="651" t="s">
        <v>100</v>
      </c>
      <c r="D7" s="651" t="s">
        <v>100</v>
      </c>
      <c r="E7" s="941" t="s">
        <v>100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 t="s">
        <v>257</v>
      </c>
      <c r="D8" s="658" t="s">
        <v>257</v>
      </c>
      <c r="E8" s="1054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 t="s">
        <v>100</v>
      </c>
      <c r="D9" s="659" t="s">
        <v>100</v>
      </c>
      <c r="E9" s="942" t="s">
        <v>100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 t="s">
        <v>100</v>
      </c>
      <c r="D10" s="659" t="s">
        <v>100</v>
      </c>
      <c r="E10" s="942" t="s">
        <v>100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9" t="s">
        <v>354</v>
      </c>
      <c r="C11" s="943" t="s">
        <v>100</v>
      </c>
      <c r="D11" s="943" t="s">
        <v>100</v>
      </c>
      <c r="E11" s="944" t="s">
        <v>100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8" t="s">
        <v>44</v>
      </c>
      <c r="C13" s="939" t="s">
        <v>100</v>
      </c>
      <c r="D13" s="960" t="s">
        <v>100</v>
      </c>
      <c r="E13" s="940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 t="s">
        <v>100</v>
      </c>
      <c r="D14" s="651" t="s">
        <v>100</v>
      </c>
      <c r="E14" s="94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 t="s">
        <v>257</v>
      </c>
      <c r="E15" s="1071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100</v>
      </c>
      <c r="D16" s="659" t="s">
        <v>100</v>
      </c>
      <c r="E16" s="94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100</v>
      </c>
      <c r="D17" s="659" t="s">
        <v>100</v>
      </c>
      <c r="E17" s="942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9" t="s">
        <v>354</v>
      </c>
      <c r="C18" s="943" t="s">
        <v>100</v>
      </c>
      <c r="D18" s="943" t="s">
        <v>100</v>
      </c>
      <c r="E18" s="94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8" t="s">
        <v>44</v>
      </c>
      <c r="C20" s="939" t="s">
        <v>100</v>
      </c>
      <c r="D20" s="939" t="s">
        <v>100</v>
      </c>
      <c r="E20" s="940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 t="s">
        <v>100</v>
      </c>
      <c r="D21" s="651" t="s">
        <v>100</v>
      </c>
      <c r="E21" s="94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 t="s">
        <v>257</v>
      </c>
      <c r="E22" s="1054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100</v>
      </c>
      <c r="D23" s="659" t="s">
        <v>100</v>
      </c>
      <c r="E23" s="94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100</v>
      </c>
      <c r="D24" s="659" t="s">
        <v>100</v>
      </c>
      <c r="E24" s="94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 t="s">
        <v>100</v>
      </c>
      <c r="D25" s="668" t="s">
        <v>100</v>
      </c>
      <c r="E25" s="947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2019-05-17T06:15:08Z</dcterms:modified>
</cp:coreProperties>
</file>