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.klimczak\Desktop\"/>
    </mc:Choice>
  </mc:AlternateContent>
  <bookViews>
    <workbookView xWindow="360" yWindow="720" windowWidth="12120" windowHeight="7770" tabRatio="910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WarmińskoMazurski!$A$6:$C$66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CENTRALA!$A$1:$C$67</definedName>
    <definedName name="_xlnm.Print_Area" localSheetId="3">Dolnośląski!$A$1:$C$67</definedName>
    <definedName name="_xlnm.Print_Area" localSheetId="4">KujawskoPomorski!$A$1:$C$67</definedName>
    <definedName name="_xlnm.Print_Area" localSheetId="5">Lubelski!$A$1:$C$67</definedName>
    <definedName name="_xlnm.Print_Area" localSheetId="6">Lubuski!$A$1:$C$67</definedName>
    <definedName name="_xlnm.Print_Area" localSheetId="7">Łódzki!$A$1:$C$67</definedName>
    <definedName name="_xlnm.Print_Area" localSheetId="8">Małopolski!$A$1:$C$67</definedName>
    <definedName name="_xlnm.Print_Area" localSheetId="9">Mazowiecki!$A$1:$C$67</definedName>
    <definedName name="_xlnm.Print_Area" localSheetId="0">NFZ!$A$1:$C$96</definedName>
    <definedName name="_xlnm.Print_Area" localSheetId="10">Opolski!$A$1:$C$67</definedName>
    <definedName name="_xlnm.Print_Area" localSheetId="11">Podkarpacki!$A$1:$C$67</definedName>
    <definedName name="_xlnm.Print_Area" localSheetId="12">Podlaski!$A$1:$C$67</definedName>
    <definedName name="_xlnm.Print_Area" localSheetId="13">Pomorski!$A$1:$C$67</definedName>
    <definedName name="_xlnm.Print_Area" localSheetId="2">'Razem OW'!$A$1:$C$67</definedName>
    <definedName name="_xlnm.Print_Area" localSheetId="14">Śląski!$A$1:$C$67</definedName>
    <definedName name="_xlnm.Print_Area" localSheetId="15">Świętokrzyski!$A$1:$C$67</definedName>
    <definedName name="_xlnm.Print_Area" localSheetId="16">WarmińskoMazurski!$A$1:$C$67</definedName>
    <definedName name="_xlnm.Print_Area" localSheetId="17">Wielkopolski!$A$1:$C$67</definedName>
    <definedName name="_xlnm.Print_Area" localSheetId="18">Zachodniopomorski!$A$1:$C$67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62913" fullPrecision="0"/>
</workbook>
</file>

<file path=xl/calcChain.xml><?xml version="1.0" encoding="utf-8"?>
<calcChain xmlns="http://schemas.openxmlformats.org/spreadsheetml/2006/main">
  <c r="C56" i="3" l="1"/>
  <c r="C55" i="3"/>
  <c r="C52" i="3"/>
  <c r="C43" i="3" l="1"/>
  <c r="C42" i="3"/>
  <c r="C22" i="23" l="1"/>
  <c r="C43" i="22"/>
  <c r="C43" i="5"/>
  <c r="C43" i="6"/>
  <c r="C43" i="7"/>
  <c r="C43" i="8"/>
  <c r="C43" i="9"/>
  <c r="C43" i="10"/>
  <c r="C43" i="11"/>
  <c r="C43" i="12"/>
  <c r="C43" i="13"/>
  <c r="C43" i="14"/>
  <c r="C43" i="15"/>
  <c r="C43" i="16"/>
  <c r="C43" i="17"/>
  <c r="C43" i="18"/>
  <c r="C43" i="19"/>
  <c r="C34" i="9" l="1"/>
  <c r="C9" i="9"/>
  <c r="C19" i="9"/>
  <c r="C19" i="19"/>
  <c r="C7" i="19"/>
  <c r="C22" i="12" l="1"/>
  <c r="C21" i="3"/>
  <c r="C21" i="5"/>
  <c r="C21" i="6"/>
  <c r="C21" i="7"/>
  <c r="C21" i="8"/>
  <c r="C21" i="9"/>
  <c r="C21" i="10"/>
  <c r="C21" i="11"/>
  <c r="C21" i="12"/>
  <c r="C21" i="13"/>
  <c r="C21" i="14"/>
  <c r="C21" i="15"/>
  <c r="C21" i="16"/>
  <c r="C21" i="17"/>
  <c r="C21" i="18"/>
  <c r="C21" i="19"/>
  <c r="C58" i="3" l="1"/>
  <c r="C58" i="5"/>
  <c r="C56" i="5"/>
  <c r="C55" i="5"/>
  <c r="C58" i="6"/>
  <c r="C56" i="6"/>
  <c r="C55" i="6"/>
  <c r="C58" i="7"/>
  <c r="C56" i="7"/>
  <c r="C55" i="7"/>
  <c r="C58" i="8"/>
  <c r="C56" i="8"/>
  <c r="C55" i="8"/>
  <c r="C58" i="9"/>
  <c r="C56" i="9"/>
  <c r="C55" i="9"/>
  <c r="C58" i="10"/>
  <c r="C56" i="10"/>
  <c r="C55" i="10"/>
  <c r="C58" i="11"/>
  <c r="C56" i="11"/>
  <c r="C55" i="11"/>
  <c r="C58" i="12"/>
  <c r="C56" i="12"/>
  <c r="C55" i="12"/>
  <c r="C58" i="13"/>
  <c r="C56" i="13"/>
  <c r="C55" i="13"/>
  <c r="C58" i="14"/>
  <c r="C56" i="14"/>
  <c r="C55" i="14"/>
  <c r="C58" i="15"/>
  <c r="C56" i="15"/>
  <c r="C55" i="15"/>
  <c r="C58" i="16"/>
  <c r="C56" i="16"/>
  <c r="C55" i="16"/>
  <c r="C58" i="17"/>
  <c r="C56" i="17"/>
  <c r="C55" i="17"/>
  <c r="C58" i="18"/>
  <c r="C56" i="18"/>
  <c r="C55" i="18"/>
  <c r="C58" i="22" l="1"/>
  <c r="C56" i="22"/>
  <c r="C55" i="22"/>
  <c r="C57" i="18"/>
  <c r="C52" i="22"/>
  <c r="C52" i="5"/>
  <c r="C52" i="6"/>
  <c r="C52" i="7"/>
  <c r="C52" i="8"/>
  <c r="C52" i="9"/>
  <c r="C52" i="10"/>
  <c r="C52" i="11"/>
  <c r="C52" i="12"/>
  <c r="C52" i="13"/>
  <c r="C52" i="14"/>
  <c r="C52" i="15"/>
  <c r="C52" i="16"/>
  <c r="C52" i="17"/>
  <c r="C52" i="18"/>
  <c r="C58" i="19"/>
  <c r="C56" i="19"/>
  <c r="C55" i="19"/>
  <c r="C52" i="19"/>
  <c r="C69" i="19" l="1"/>
  <c r="C84" i="23" l="1"/>
  <c r="C42" i="19"/>
  <c r="C42" i="5"/>
  <c r="C63" i="5"/>
  <c r="C42" i="9"/>
  <c r="C63" i="9"/>
  <c r="C66" i="22"/>
  <c r="C33" i="22" l="1"/>
  <c r="C6" i="22" s="1"/>
  <c r="C8" i="23" l="1"/>
  <c r="C7" i="23"/>
  <c r="C67" i="13" l="1"/>
  <c r="C66" i="13"/>
  <c r="C65" i="13"/>
  <c r="C64" i="13"/>
  <c r="C63" i="13"/>
  <c r="C61" i="13"/>
  <c r="C60" i="13"/>
  <c r="C59" i="13"/>
  <c r="C57" i="13"/>
  <c r="C54" i="13" s="1"/>
  <c r="C53" i="13"/>
  <c r="C51" i="13"/>
  <c r="C50" i="13"/>
  <c r="C49" i="13"/>
  <c r="C48" i="13"/>
  <c r="C47" i="13"/>
  <c r="C46" i="13"/>
  <c r="C45" i="13"/>
  <c r="C44" i="13"/>
  <c r="C42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3" i="13"/>
  <c r="C22" i="13"/>
  <c r="C20" i="13"/>
  <c r="C19" i="13"/>
  <c r="C18" i="13"/>
  <c r="C17" i="13"/>
  <c r="C16" i="13"/>
  <c r="C15" i="13"/>
  <c r="C14" i="13"/>
  <c r="C13" i="13"/>
  <c r="C12" i="13"/>
  <c r="C11" i="13"/>
  <c r="C10" i="13"/>
  <c r="C8" i="13"/>
  <c r="C7" i="13"/>
  <c r="C67" i="15"/>
  <c r="C66" i="15"/>
  <c r="C65" i="15"/>
  <c r="C64" i="15"/>
  <c r="C63" i="15"/>
  <c r="C61" i="15"/>
  <c r="C60" i="15"/>
  <c r="C59" i="15"/>
  <c r="C57" i="15"/>
  <c r="C53" i="15"/>
  <c r="C51" i="15"/>
  <c r="C50" i="15"/>
  <c r="C49" i="15"/>
  <c r="C48" i="15"/>
  <c r="C47" i="15"/>
  <c r="C46" i="15"/>
  <c r="C45" i="15"/>
  <c r="C44" i="15"/>
  <c r="C42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3" i="15"/>
  <c r="C22" i="15"/>
  <c r="C20" i="15"/>
  <c r="C19" i="15"/>
  <c r="C18" i="15"/>
  <c r="C17" i="15"/>
  <c r="C16" i="15"/>
  <c r="C15" i="15"/>
  <c r="C14" i="15"/>
  <c r="C13" i="15"/>
  <c r="C12" i="15"/>
  <c r="C11" i="15"/>
  <c r="C10" i="15"/>
  <c r="C8" i="15"/>
  <c r="C7" i="15"/>
  <c r="C24" i="13" l="1"/>
  <c r="C40" i="13"/>
  <c r="C24" i="15"/>
  <c r="C62" i="13"/>
  <c r="C54" i="15"/>
  <c r="C41" i="15" s="1"/>
  <c r="C62" i="15"/>
  <c r="C41" i="13"/>
  <c r="C40" i="15"/>
  <c r="C67" i="16"/>
  <c r="C66" i="16"/>
  <c r="C62" i="16" s="1"/>
  <c r="C65" i="16"/>
  <c r="C64" i="16"/>
  <c r="C63" i="16"/>
  <c r="C61" i="16"/>
  <c r="C60" i="16"/>
  <c r="C59" i="16"/>
  <c r="C57" i="16"/>
  <c r="C53" i="16"/>
  <c r="C51" i="16"/>
  <c r="C50" i="16"/>
  <c r="C49" i="16"/>
  <c r="C48" i="16"/>
  <c r="C47" i="16"/>
  <c r="C46" i="16"/>
  <c r="C45" i="16"/>
  <c r="C44" i="16"/>
  <c r="C42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3" i="16"/>
  <c r="C22" i="16"/>
  <c r="C20" i="16"/>
  <c r="C19" i="16"/>
  <c r="C18" i="16"/>
  <c r="C17" i="16"/>
  <c r="C16" i="16"/>
  <c r="C15" i="16"/>
  <c r="C14" i="16"/>
  <c r="C13" i="16"/>
  <c r="C12" i="16"/>
  <c r="C11" i="16"/>
  <c r="C10" i="16"/>
  <c r="C8" i="16"/>
  <c r="C7" i="16"/>
  <c r="C24" i="16" l="1"/>
  <c r="C40" i="16" s="1"/>
  <c r="C54" i="16"/>
  <c r="C41" i="16" s="1"/>
  <c r="C67" i="17"/>
  <c r="C66" i="17"/>
  <c r="C65" i="17"/>
  <c r="C64" i="17"/>
  <c r="C63" i="17"/>
  <c r="C61" i="17"/>
  <c r="C60" i="17"/>
  <c r="C59" i="17"/>
  <c r="C57" i="17"/>
  <c r="C54" i="17" s="1"/>
  <c r="C53" i="17"/>
  <c r="C51" i="17"/>
  <c r="C50" i="17"/>
  <c r="C49" i="17"/>
  <c r="C48" i="17"/>
  <c r="C47" i="17"/>
  <c r="C46" i="17"/>
  <c r="C45" i="17"/>
  <c r="C44" i="17"/>
  <c r="C42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3" i="17"/>
  <c r="C22" i="17"/>
  <c r="C20" i="17"/>
  <c r="C19" i="17"/>
  <c r="C18" i="17"/>
  <c r="C17" i="17"/>
  <c r="C16" i="17"/>
  <c r="C15" i="17"/>
  <c r="C14" i="17"/>
  <c r="C13" i="17"/>
  <c r="C12" i="17"/>
  <c r="C11" i="17"/>
  <c r="C10" i="17"/>
  <c r="C8" i="17"/>
  <c r="C7" i="17"/>
  <c r="C41" i="17" l="1"/>
  <c r="C24" i="17"/>
  <c r="C40" i="17" s="1"/>
  <c r="C62" i="17"/>
  <c r="C67" i="7"/>
  <c r="C66" i="7"/>
  <c r="C65" i="7"/>
  <c r="C64" i="7"/>
  <c r="C63" i="7"/>
  <c r="C61" i="7"/>
  <c r="C60" i="7"/>
  <c r="C59" i="7"/>
  <c r="C57" i="7"/>
  <c r="C53" i="7"/>
  <c r="C51" i="7"/>
  <c r="C50" i="7"/>
  <c r="C49" i="7"/>
  <c r="C48" i="7"/>
  <c r="C47" i="7"/>
  <c r="C46" i="7"/>
  <c r="C45" i="7"/>
  <c r="C44" i="7"/>
  <c r="C42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3" i="7"/>
  <c r="C22" i="7"/>
  <c r="C20" i="7"/>
  <c r="C19" i="7"/>
  <c r="C18" i="7"/>
  <c r="C17" i="7"/>
  <c r="C16" i="7"/>
  <c r="C15" i="7"/>
  <c r="C14" i="7"/>
  <c r="C13" i="7"/>
  <c r="C12" i="7"/>
  <c r="C11" i="7"/>
  <c r="C10" i="7"/>
  <c r="C8" i="7"/>
  <c r="C7" i="7"/>
  <c r="C24" i="7" l="1"/>
  <c r="C62" i="7"/>
  <c r="C54" i="7"/>
  <c r="C41" i="7" s="1"/>
  <c r="C40" i="7"/>
  <c r="C67" i="9"/>
  <c r="C66" i="9"/>
  <c r="C65" i="9"/>
  <c r="C64" i="9"/>
  <c r="C61" i="9"/>
  <c r="C60" i="9"/>
  <c r="C59" i="9"/>
  <c r="C57" i="9"/>
  <c r="C54" i="9" s="1"/>
  <c r="C53" i="9"/>
  <c r="C51" i="9"/>
  <c r="C50" i="9"/>
  <c r="C49" i="9"/>
  <c r="C48" i="9"/>
  <c r="C47" i="9"/>
  <c r="C46" i="9"/>
  <c r="C45" i="9"/>
  <c r="C44" i="9"/>
  <c r="C38" i="9"/>
  <c r="C37" i="9"/>
  <c r="C36" i="9"/>
  <c r="C35" i="9"/>
  <c r="C33" i="9"/>
  <c r="C32" i="9"/>
  <c r="C31" i="9"/>
  <c r="C30" i="9"/>
  <c r="C29" i="9"/>
  <c r="C28" i="9"/>
  <c r="C27" i="9"/>
  <c r="C26" i="9"/>
  <c r="C25" i="9"/>
  <c r="C23" i="9"/>
  <c r="C22" i="9"/>
  <c r="C20" i="9"/>
  <c r="C18" i="9"/>
  <c r="C17" i="9"/>
  <c r="C16" i="9"/>
  <c r="C15" i="9"/>
  <c r="C14" i="9"/>
  <c r="C13" i="9"/>
  <c r="C12" i="9"/>
  <c r="C11" i="9"/>
  <c r="C10" i="9"/>
  <c r="C8" i="9"/>
  <c r="C7" i="9"/>
  <c r="C62" i="9" l="1"/>
  <c r="C24" i="9"/>
  <c r="C40" i="9" s="1"/>
  <c r="C41" i="9"/>
  <c r="C67" i="6"/>
  <c r="C66" i="6"/>
  <c r="C65" i="6"/>
  <c r="C64" i="6"/>
  <c r="C63" i="6"/>
  <c r="C61" i="6"/>
  <c r="C60" i="6"/>
  <c r="C59" i="6"/>
  <c r="C57" i="6"/>
  <c r="C54" i="6" s="1"/>
  <c r="C53" i="6"/>
  <c r="C51" i="6"/>
  <c r="C50" i="6"/>
  <c r="C49" i="6"/>
  <c r="C48" i="6"/>
  <c r="C47" i="6"/>
  <c r="C46" i="6"/>
  <c r="C45" i="6"/>
  <c r="C44" i="6"/>
  <c r="C42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3" i="6"/>
  <c r="C22" i="6"/>
  <c r="C20" i="6"/>
  <c r="C19" i="6"/>
  <c r="C18" i="6"/>
  <c r="C17" i="6"/>
  <c r="C16" i="6"/>
  <c r="C15" i="6"/>
  <c r="C14" i="6"/>
  <c r="C13" i="6"/>
  <c r="C12" i="6"/>
  <c r="C11" i="6"/>
  <c r="C10" i="6"/>
  <c r="C8" i="6"/>
  <c r="C7" i="6"/>
  <c r="C24" i="6" l="1"/>
  <c r="C40" i="6" s="1"/>
  <c r="C62" i="6"/>
  <c r="C41" i="6"/>
  <c r="C67" i="8"/>
  <c r="C66" i="8"/>
  <c r="C65" i="8"/>
  <c r="C64" i="8"/>
  <c r="C63" i="8"/>
  <c r="C61" i="8"/>
  <c r="C60" i="8"/>
  <c r="C59" i="8"/>
  <c r="C57" i="8"/>
  <c r="C53" i="8"/>
  <c r="C51" i="8"/>
  <c r="C50" i="8"/>
  <c r="C49" i="8"/>
  <c r="C48" i="8"/>
  <c r="C47" i="8"/>
  <c r="C46" i="8"/>
  <c r="C45" i="8"/>
  <c r="C44" i="8"/>
  <c r="C42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 s="1"/>
  <c r="C23" i="8"/>
  <c r="C22" i="8"/>
  <c r="C20" i="8"/>
  <c r="C19" i="8"/>
  <c r="C18" i="8"/>
  <c r="C17" i="8"/>
  <c r="C16" i="8"/>
  <c r="C15" i="8"/>
  <c r="C14" i="8"/>
  <c r="C13" i="8"/>
  <c r="C12" i="8"/>
  <c r="C11" i="8"/>
  <c r="C10" i="8"/>
  <c r="C8" i="8"/>
  <c r="C7" i="8"/>
  <c r="C62" i="8" l="1"/>
  <c r="C54" i="8"/>
  <c r="C41" i="8" s="1"/>
  <c r="C40" i="8"/>
  <c r="C67" i="18"/>
  <c r="C66" i="18"/>
  <c r="C65" i="18"/>
  <c r="C64" i="18"/>
  <c r="C63" i="18"/>
  <c r="C61" i="18"/>
  <c r="C60" i="18"/>
  <c r="C59" i="18"/>
  <c r="C54" i="18"/>
  <c r="C53" i="18"/>
  <c r="C51" i="18"/>
  <c r="C50" i="18"/>
  <c r="C49" i="18"/>
  <c r="C48" i="18"/>
  <c r="C47" i="18"/>
  <c r="C46" i="18"/>
  <c r="C45" i="18"/>
  <c r="C44" i="18"/>
  <c r="C42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3" i="18"/>
  <c r="C22" i="18"/>
  <c r="C20" i="18"/>
  <c r="C19" i="18"/>
  <c r="C18" i="18"/>
  <c r="C17" i="18"/>
  <c r="C16" i="18"/>
  <c r="C15" i="18"/>
  <c r="C14" i="18"/>
  <c r="C13" i="18"/>
  <c r="C12" i="18"/>
  <c r="C11" i="18"/>
  <c r="C10" i="18"/>
  <c r="C8" i="18"/>
  <c r="C7" i="18"/>
  <c r="C24" i="18" l="1"/>
  <c r="C40" i="18" s="1"/>
  <c r="C41" i="18"/>
  <c r="C62" i="18"/>
  <c r="C67" i="10"/>
  <c r="C66" i="10"/>
  <c r="C65" i="10"/>
  <c r="C64" i="10"/>
  <c r="C63" i="10"/>
  <c r="C61" i="10"/>
  <c r="C60" i="10"/>
  <c r="C59" i="10"/>
  <c r="C57" i="10"/>
  <c r="C53" i="10"/>
  <c r="C51" i="10"/>
  <c r="C50" i="10"/>
  <c r="C49" i="10"/>
  <c r="C48" i="10"/>
  <c r="C47" i="10"/>
  <c r="C46" i="10"/>
  <c r="C45" i="10"/>
  <c r="C44" i="10"/>
  <c r="C42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3" i="10"/>
  <c r="C22" i="10"/>
  <c r="C20" i="10"/>
  <c r="C19" i="10"/>
  <c r="C18" i="10"/>
  <c r="C17" i="10"/>
  <c r="C16" i="10"/>
  <c r="C15" i="10"/>
  <c r="C14" i="10"/>
  <c r="C13" i="10"/>
  <c r="C12" i="10"/>
  <c r="C11" i="10"/>
  <c r="C10" i="10"/>
  <c r="C8" i="10"/>
  <c r="C7" i="10"/>
  <c r="C24" i="10" l="1"/>
  <c r="C54" i="10"/>
  <c r="C41" i="10" s="1"/>
  <c r="C62" i="10"/>
  <c r="C40" i="10"/>
  <c r="C67" i="11"/>
  <c r="C66" i="11"/>
  <c r="C65" i="11"/>
  <c r="C64" i="11"/>
  <c r="C63" i="11"/>
  <c r="C61" i="11"/>
  <c r="C60" i="11"/>
  <c r="C59" i="11"/>
  <c r="C57" i="11"/>
  <c r="C54" i="11" s="1"/>
  <c r="C53" i="11"/>
  <c r="C51" i="11"/>
  <c r="C50" i="11"/>
  <c r="C49" i="11"/>
  <c r="C48" i="11"/>
  <c r="C47" i="11"/>
  <c r="C46" i="11"/>
  <c r="C45" i="11"/>
  <c r="C44" i="11"/>
  <c r="C42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3" i="11"/>
  <c r="C22" i="11"/>
  <c r="C20" i="11"/>
  <c r="C19" i="11"/>
  <c r="C18" i="11"/>
  <c r="C17" i="11"/>
  <c r="C16" i="11"/>
  <c r="C15" i="11"/>
  <c r="C14" i="11"/>
  <c r="C13" i="11"/>
  <c r="C12" i="11"/>
  <c r="C11" i="11"/>
  <c r="C10" i="11"/>
  <c r="C8" i="11"/>
  <c r="C7" i="11"/>
  <c r="C67" i="19"/>
  <c r="C66" i="19"/>
  <c r="C65" i="19"/>
  <c r="C64" i="19"/>
  <c r="C63" i="19"/>
  <c r="C61" i="19"/>
  <c r="C60" i="19"/>
  <c r="C59" i="19"/>
  <c r="C57" i="19"/>
  <c r="C53" i="19"/>
  <c r="C51" i="19"/>
  <c r="C50" i="19"/>
  <c r="C49" i="19"/>
  <c r="C48" i="19"/>
  <c r="C47" i="19"/>
  <c r="C46" i="19"/>
  <c r="C45" i="19"/>
  <c r="C44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3" i="19"/>
  <c r="C22" i="19"/>
  <c r="C20" i="19"/>
  <c r="C18" i="19"/>
  <c r="C17" i="19"/>
  <c r="C16" i="19"/>
  <c r="C15" i="19"/>
  <c r="C14" i="19"/>
  <c r="C13" i="19"/>
  <c r="C12" i="19"/>
  <c r="C11" i="19"/>
  <c r="C10" i="19"/>
  <c r="C8" i="19"/>
  <c r="C62" i="11" l="1"/>
  <c r="C24" i="19"/>
  <c r="C40" i="19" s="1"/>
  <c r="C24" i="11"/>
  <c r="C41" i="11"/>
  <c r="C54" i="19"/>
  <c r="C41" i="19" s="1"/>
  <c r="C62" i="19"/>
  <c r="C40" i="11"/>
  <c r="C67" i="5"/>
  <c r="C66" i="5"/>
  <c r="C65" i="5"/>
  <c r="C64" i="5"/>
  <c r="C61" i="5"/>
  <c r="C60" i="5"/>
  <c r="C59" i="5"/>
  <c r="C57" i="5"/>
  <c r="C54" i="5" s="1"/>
  <c r="C53" i="5"/>
  <c r="C51" i="5"/>
  <c r="C50" i="5"/>
  <c r="C49" i="5"/>
  <c r="C48" i="5"/>
  <c r="C47" i="5"/>
  <c r="C46" i="5"/>
  <c r="C45" i="5"/>
  <c r="C44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3" i="5"/>
  <c r="C22" i="5"/>
  <c r="C20" i="5"/>
  <c r="C19" i="5"/>
  <c r="C18" i="5"/>
  <c r="C17" i="5"/>
  <c r="C16" i="5"/>
  <c r="C15" i="5"/>
  <c r="C14" i="5"/>
  <c r="C13" i="5"/>
  <c r="C12" i="5"/>
  <c r="C11" i="5"/>
  <c r="C10" i="5"/>
  <c r="C8" i="5"/>
  <c r="C7" i="5"/>
  <c r="C24" i="5" l="1"/>
  <c r="C40" i="5" s="1"/>
  <c r="C62" i="5"/>
  <c r="C41" i="5"/>
  <c r="C67" i="3"/>
  <c r="C66" i="3"/>
  <c r="C65" i="3"/>
  <c r="C64" i="3"/>
  <c r="C63" i="3"/>
  <c r="C61" i="3"/>
  <c r="C60" i="3"/>
  <c r="C59" i="3"/>
  <c r="C57" i="3"/>
  <c r="C54" i="3" s="1"/>
  <c r="C53" i="3"/>
  <c r="C51" i="3"/>
  <c r="C50" i="3"/>
  <c r="C49" i="3"/>
  <c r="C48" i="3"/>
  <c r="C47" i="3"/>
  <c r="C46" i="3"/>
  <c r="C45" i="3"/>
  <c r="C44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3" i="3"/>
  <c r="C22" i="3"/>
  <c r="C20" i="3"/>
  <c r="C19" i="3"/>
  <c r="C18" i="3"/>
  <c r="C17" i="3"/>
  <c r="C16" i="3"/>
  <c r="C15" i="3"/>
  <c r="C14" i="3"/>
  <c r="C13" i="3"/>
  <c r="C12" i="3"/>
  <c r="C11" i="3"/>
  <c r="C10" i="3"/>
  <c r="C8" i="3"/>
  <c r="C7" i="3"/>
  <c r="C24" i="3" l="1"/>
  <c r="C40" i="3" s="1"/>
  <c r="C62" i="3"/>
  <c r="C41" i="3"/>
  <c r="C67" i="14" l="1"/>
  <c r="C66" i="14"/>
  <c r="C65" i="14"/>
  <c r="C64" i="14"/>
  <c r="C63" i="14"/>
  <c r="C61" i="14"/>
  <c r="C60" i="14"/>
  <c r="C59" i="14"/>
  <c r="C57" i="14"/>
  <c r="C53" i="14"/>
  <c r="C51" i="14"/>
  <c r="C50" i="14"/>
  <c r="C49" i="14"/>
  <c r="C48" i="14"/>
  <c r="C47" i="14"/>
  <c r="C46" i="14"/>
  <c r="C45" i="14"/>
  <c r="C44" i="14"/>
  <c r="C42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3" i="14"/>
  <c r="C22" i="14"/>
  <c r="C20" i="14"/>
  <c r="C19" i="14"/>
  <c r="C18" i="14"/>
  <c r="C17" i="14"/>
  <c r="C16" i="14"/>
  <c r="C15" i="14"/>
  <c r="C14" i="14"/>
  <c r="C13" i="14"/>
  <c r="C12" i="14"/>
  <c r="C11" i="14"/>
  <c r="C10" i="14"/>
  <c r="C8" i="14"/>
  <c r="C7" i="14"/>
  <c r="C24" i="14" l="1"/>
  <c r="C54" i="14"/>
  <c r="C62" i="14"/>
  <c r="C40" i="14" l="1"/>
  <c r="C41" i="14"/>
  <c r="C64" i="12"/>
  <c r="C65" i="12"/>
  <c r="C66" i="12"/>
  <c r="C67" i="12"/>
  <c r="C63" i="12"/>
  <c r="C57" i="12"/>
  <c r="C59" i="12"/>
  <c r="C60" i="12"/>
  <c r="C61" i="12"/>
  <c r="C44" i="12"/>
  <c r="C45" i="12"/>
  <c r="C46" i="12"/>
  <c r="C47" i="12"/>
  <c r="C48" i="12"/>
  <c r="C49" i="12"/>
  <c r="C50" i="12"/>
  <c r="C51" i="12"/>
  <c r="C53" i="12"/>
  <c r="C42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25" i="12"/>
  <c r="C8" i="12"/>
  <c r="C10" i="12"/>
  <c r="C11" i="12"/>
  <c r="C12" i="12"/>
  <c r="C13" i="12"/>
  <c r="C14" i="12"/>
  <c r="C15" i="12"/>
  <c r="C16" i="12"/>
  <c r="C17" i="12"/>
  <c r="C18" i="12"/>
  <c r="C19" i="12"/>
  <c r="C20" i="12"/>
  <c r="C23" i="12"/>
  <c r="C7" i="12"/>
  <c r="A1" i="20" l="1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3"/>
  <c r="A1" i="22"/>
  <c r="C54" i="22" l="1"/>
  <c r="C41" i="22" s="1"/>
  <c r="C62" i="22"/>
  <c r="C24" i="12" l="1"/>
  <c r="C62" i="12"/>
  <c r="C54" i="12"/>
  <c r="C24" i="23" l="1"/>
  <c r="C65" i="20" l="1"/>
  <c r="C66" i="20"/>
  <c r="C63" i="20"/>
  <c r="C60" i="20"/>
  <c r="C64" i="20"/>
  <c r="C56" i="20"/>
  <c r="C57" i="20"/>
  <c r="C55" i="20"/>
  <c r="C52" i="20"/>
  <c r="C53" i="20"/>
  <c r="C8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7" i="20"/>
  <c r="C39" i="20"/>
  <c r="C7" i="20"/>
  <c r="C60" i="23" l="1"/>
  <c r="C36" i="20" l="1"/>
  <c r="C61" i="20" l="1"/>
  <c r="C58" i="20" l="1"/>
  <c r="C46" i="20"/>
  <c r="C48" i="20"/>
  <c r="C43" i="20"/>
  <c r="C50" i="20"/>
  <c r="C42" i="20"/>
  <c r="C45" i="20"/>
  <c r="C51" i="20"/>
  <c r="C49" i="20"/>
  <c r="C59" i="20"/>
  <c r="C47" i="20"/>
  <c r="C56" i="23" l="1"/>
  <c r="C40" i="12" l="1"/>
  <c r="C41" i="12"/>
  <c r="C40" i="20" l="1"/>
  <c r="C28" i="23" l="1"/>
  <c r="C55" i="23" l="1"/>
  <c r="C42" i="23" l="1"/>
  <c r="C38" i="23"/>
  <c r="C48" i="23"/>
  <c r="C50" i="23"/>
  <c r="C46" i="23"/>
  <c r="C39" i="23"/>
  <c r="C53" i="23"/>
  <c r="C33" i="23"/>
  <c r="C47" i="23"/>
  <c r="C41" i="23"/>
  <c r="C31" i="23"/>
  <c r="C44" i="23"/>
  <c r="C40" i="23"/>
  <c r="C52" i="23"/>
  <c r="C12" i="23"/>
  <c r="C32" i="23"/>
  <c r="C37" i="23"/>
  <c r="C45" i="23"/>
  <c r="C51" i="23"/>
  <c r="C36" i="23"/>
  <c r="C35" i="23"/>
  <c r="C49" i="23"/>
  <c r="C43" i="23"/>
  <c r="C34" i="23"/>
  <c r="C9" i="23"/>
  <c r="C29" i="23" l="1"/>
  <c r="C57" i="23"/>
  <c r="C81" i="23"/>
  <c r="C61" i="23"/>
  <c r="C87" i="23"/>
  <c r="C58" i="23"/>
  <c r="C80" i="23"/>
  <c r="C77" i="23"/>
  <c r="C79" i="23"/>
  <c r="C75" i="23" l="1"/>
  <c r="C74" i="23"/>
  <c r="C78" i="23"/>
  <c r="C86" i="23"/>
  <c r="C88" i="23"/>
  <c r="C54" i="23"/>
  <c r="C54" i="20"/>
  <c r="C62" i="20"/>
  <c r="C76" i="23" l="1"/>
  <c r="C72" i="23"/>
  <c r="C73" i="23"/>
  <c r="C65" i="23"/>
  <c r="C83" i="23"/>
  <c r="C68" i="23"/>
  <c r="C70" i="23"/>
  <c r="C71" i="23"/>
  <c r="C69" i="23"/>
  <c r="C64" i="23"/>
  <c r="C67" i="23"/>
  <c r="C44" i="20"/>
  <c r="C41" i="20" l="1"/>
  <c r="C66" i="23"/>
  <c r="C16" i="23" l="1"/>
  <c r="C17" i="23" l="1"/>
  <c r="C6" i="23"/>
  <c r="C15" i="23" l="1"/>
  <c r="C26" i="23"/>
  <c r="C19" i="23" l="1"/>
  <c r="C91" i="23"/>
  <c r="C82" i="23" l="1"/>
  <c r="C63" i="23" l="1"/>
  <c r="C92" i="23" l="1"/>
  <c r="C90" i="23" l="1"/>
  <c r="C95" i="23" l="1"/>
  <c r="C38" i="20" l="1"/>
  <c r="C59" i="23" l="1"/>
  <c r="C89" i="23" l="1"/>
  <c r="C85" i="23" l="1"/>
  <c r="C67" i="20" l="1"/>
  <c r="C93" i="23" l="1"/>
  <c r="C9" i="18" l="1"/>
  <c r="C9" i="17"/>
  <c r="C9" i="16"/>
  <c r="C9" i="15"/>
  <c r="C9" i="14"/>
  <c r="C9" i="13"/>
  <c r="C9" i="12"/>
  <c r="C9" i="11"/>
  <c r="C9" i="10"/>
  <c r="C9" i="8"/>
  <c r="C9" i="7"/>
  <c r="C9" i="6"/>
  <c r="C9" i="5"/>
  <c r="C9" i="3"/>
  <c r="C6" i="16" l="1"/>
  <c r="C6" i="9"/>
  <c r="C6" i="17"/>
  <c r="C6" i="10"/>
  <c r="C6" i="14"/>
  <c r="C6" i="18"/>
  <c r="C6" i="3"/>
  <c r="C6" i="8"/>
  <c r="C6" i="12"/>
  <c r="C6" i="5"/>
  <c r="C6" i="13"/>
  <c r="C6" i="6"/>
  <c r="C6" i="7"/>
  <c r="C6" i="11"/>
  <c r="C6" i="15"/>
  <c r="C9" i="19" l="1"/>
  <c r="C6" i="19" l="1"/>
  <c r="C9" i="20"/>
  <c r="C30" i="23" l="1"/>
  <c r="C6" i="20"/>
  <c r="C27" i="23" l="1"/>
  <c r="C25" i="23" l="1"/>
  <c r="C96" i="23"/>
  <c r="C62" i="23" l="1"/>
  <c r="C94" i="23" l="1"/>
</calcChain>
</file>

<file path=xl/sharedStrings.xml><?xml version="1.0" encoding="utf-8"?>
<sst xmlns="http://schemas.openxmlformats.org/spreadsheetml/2006/main" count="2506" uniqueCount="208">
  <si>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</si>
  <si>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</si>
  <si>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</si>
  <si>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</si>
  <si>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</si>
  <si>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</si>
  <si>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</si>
  <si>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</si>
  <si>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</si>
  <si>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</si>
  <si>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</si>
  <si>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</si>
  <si>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</si>
  <si>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</si>
  <si>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</si>
  <si>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</si>
  <si>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</si>
  <si>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</si>
  <si>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</si>
  <si>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</si>
  <si>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</si>
  <si>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</si>
  <si>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</si>
  <si>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</si>
  <si>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</si>
  <si>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</si>
  <si>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</si>
  <si>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</si>
  <si>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</si>
  <si>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</si>
  <si>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</si>
  <si>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</si>
  <si>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</si>
  <si>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</si>
  <si>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</si>
  <si>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</si>
  <si>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</si>
  <si>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</si>
  <si>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</si>
  <si>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</si>
  <si>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</si>
  <si>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</si>
  <si>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</si>
  <si>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</si>
  <si>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</si>
  <si>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</si>
  <si>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</si>
  <si>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</si>
  <si>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</si>
  <si>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</si>
  <si>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</si>
  <si>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</si>
  <si>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</si>
  <si>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</si>
  <si>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</si>
  <si>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</si>
  <si>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</si>
  <si>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</si>
  <si>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</si>
  <si>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</si>
  <si>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</si>
  <si>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</si>
  <si>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</si>
  <si>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</si>
  <si>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</si>
  <si>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</si>
  <si>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</si>
  <si>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</si>
  <si>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</si>
  <si>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</si>
  <si>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</si>
  <si>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</si>
  <si>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</si>
  <si>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</si>
  <si>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</si>
  <si>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</si>
  <si>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</si>
  <si>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</si>
  <si>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</si>
  <si>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</si>
  <si>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</si>
  <si>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</si>
  <si>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</si>
  <si>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</si>
  <si>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</si>
  <si>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</si>
  <si>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</si>
  <si>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</si>
  <si>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</si>
  <si>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</si>
  <si>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</si>
  <si>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</si>
  <si>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</si>
  <si>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</si>
  <si>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</si>
  <si>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</si>
  <si>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</si>
  <si>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</si>
  <si>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</si>
  <si>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</si>
  <si>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</si>
  <si>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</si>
  <si>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</si>
  <si>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</si>
  <si>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</si>
  <si>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</si>
  <si>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</si>
  <si>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</si>
  <si>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</si>
  <si>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</si>
  <si>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</si>
  <si>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</si>
  <si>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</si>
  <si>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</si>
  <si>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</si>
  <si>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</si>
  <si>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</si>
  <si>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</si>
  <si>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</si>
  <si>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</si>
  <si>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</si>
  <si>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</si>
  <si>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</si>
  <si>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</si>
  <si>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</si>
  <si>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</si>
  <si>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</si>
  <si>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</si>
  <si>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</si>
  <si>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</si>
  <si>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</si>
  <si>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</si>
  <si>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</si>
  <si>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</si>
  <si>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</si>
  <si>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</si>
  <si>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</si>
  <si>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</si>
  <si>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</si>
  <si>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</si>
  <si>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</si>
  <si>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</si>
  <si>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</si>
  <si>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</si>
  <si>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</si>
  <si>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</si>
  <si>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</si>
  <si>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</si>
  <si>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</si>
  <si>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</si>
  <si>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</si>
  <si>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</si>
  <si>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</si>
  <si>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</si>
  <si>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</si>
  <si>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</si>
  <si>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</si>
  <si>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</si>
  <si>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</si>
  <si>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</si>
  <si>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</si>
  <si>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</si>
  <si>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B2.19</t>
  </si>
  <si>
    <t>rezerwa na koszty świadczeń opieki zdrowotnej udzielone w ramach transgranicznej opieki zdrowotnej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</si>
  <si>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</si>
  <si>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</si>
  <si>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</si>
  <si>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</si>
  <si>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Koszty administracyjne (D1 + … + D8)</t>
  </si>
  <si>
    <t>podatki i opłaty, z tego:</t>
  </si>
  <si>
    <t>ubezpieczenie społeczne i inne świadczenia, z tego:</t>
  </si>
  <si>
    <t>Pozostałe koszty (F1+ … +F4)</t>
  </si>
  <si>
    <t>Przychody finansowe (G1 + G2)</t>
  </si>
  <si>
    <t>Koszty administracyjne ( D1+...+D8 )</t>
  </si>
  <si>
    <t>podatki i opłaty, z tego</t>
  </si>
  <si>
    <t>B2.20</t>
  </si>
  <si>
    <t>B5</t>
  </si>
  <si>
    <t>rezerwa na dofinansowanie programów polityki zdrowotnej na podstawie art. 48d ustawy</t>
  </si>
  <si>
    <t>Koszty finansowania leku, środka spożywczego specjalnego przeznaczenia żywieniowego oraz wyrobu medycznego w części finansowanej z budżetu państwa zgodnie z art. 43a ust. 3 ustawy</t>
  </si>
  <si>
    <t>WYNIK NA DZIAŁALNOŚCI (A - B)</t>
  </si>
  <si>
    <t xml:space="preserve"> PRZYCHODY - ogółem</t>
  </si>
  <si>
    <t xml:space="preserve"> KOSZTY - ogółem</t>
  </si>
  <si>
    <t>B2.21</t>
  </si>
  <si>
    <t>koszty świadczeń opieki zdrowotnej w ramach programów pilotażowych, o których mowa w art. 48e ustawy</t>
  </si>
  <si>
    <t>Koszty świadczeń opieki zdrowotnej  (B2.1+...+B2.21)</t>
  </si>
  <si>
    <t>Odpis dla Agencji Oceny Technologii Medycznych i Taryfikacji, o którym mowa w art. 31t ust. 5-9 ustawy</t>
  </si>
  <si>
    <t>Koszty świadczeń opieki zdrowotnej  (B2.1 + … + B2.21)</t>
  </si>
  <si>
    <t>programy lekowe, w tym:</t>
  </si>
  <si>
    <t>A5</t>
  </si>
  <si>
    <t>dotacja podmiotowa z budżetu państwa, o której mowa w art. 97 ust. 8a ustawy</t>
  </si>
  <si>
    <t>B6</t>
  </si>
  <si>
    <t>Koszty zadania, o którym mowa w art. 97 ust. 3 pkt 4c ustawy</t>
  </si>
  <si>
    <t>Koszty realizacji zadań (B1 + B2 + B3 + B4 + B5 + B6)</t>
  </si>
  <si>
    <t>Całkowity budżet na refundację (B2.3.1.1+B2.3.2.1+B2.14+B2.16.1)</t>
  </si>
  <si>
    <t>WYNIK FINANSOWY OGÓŁEM NETTO (C - D + E - F + G - H)</t>
  </si>
  <si>
    <t>Przychody netto z działalności (1-2+3-4-5) + A1 + A2 + A3 + A4 + A5</t>
  </si>
  <si>
    <t>Składka należna brutto w roku planowania równa przypisowi składki (1.1 + 1.2)</t>
  </si>
  <si>
    <t>dotacje z budżetu państwa na finansowanie zadań, o których mowa w art. 97 ust. 3 pkt 2b i 2c ustawy</t>
  </si>
  <si>
    <t>w tys. zł</t>
  </si>
  <si>
    <t>Plan finansowy Narodowego Funduszu Zdrowia na rok 2020</t>
  </si>
  <si>
    <t>Plan finansowy Centrali NFZ na rok 2020</t>
  </si>
  <si>
    <t>Plan finansowy
OW NFZ łącznie
na rok 2020</t>
  </si>
  <si>
    <t>Plan finansowy oddziału wojewódzkiego NFZ na rok 2020</t>
  </si>
  <si>
    <t>Przychody i koszty Narodowego Funduszu Zdrowia - łącznie</t>
  </si>
  <si>
    <t>Koszty Centrali Narodowego Funduszu Zdrowia</t>
  </si>
  <si>
    <t>Koszty OW NFZ - łącznie</t>
  </si>
  <si>
    <t>Kiosk medyczny</t>
  </si>
  <si>
    <t xml:space="preserve">ROCZNY PLAN FINANSOWY NARODOWEGO FUNDUSZU ZDROWIA NA ROK 2020 zatwierdzony 13 listopada 2019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</si>
</sst>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  <charset val="238"/>
    </font>
    <font>
      <b/>
      <sz val="12"/>
      <name val="Times New Roman CE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 CE"/>
      <charset val="238"/>
    </font>
    <font>
      <b/>
      <sz val="14"/>
      <name val="Times New Roman"/>
      <family val="1"/>
    </font>
    <font>
      <i/>
      <sz val="14"/>
      <name val="Times New Roman CE"/>
      <charset val="238"/>
    </font>
    <font>
      <b/>
      <sz val="14"/>
      <color theme="0"/>
      <name val="Times New Roman"/>
      <family val="1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sz val="14"/>
      <name val="Times New Roman"/>
      <family val="1"/>
    </font>
    <font>
      <sz val="14"/>
      <name val="Times New Roman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" fillId="0" borderId="0"/>
    <xf numFmtId="0" fontId="5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/>
    <xf numFmtId="10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0" fontId="14" fillId="0" borderId="1" xfId="15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/>
    </xf>
    <xf numFmtId="49" fontId="8" fillId="0" borderId="1" xfId="15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3" fontId="8" fillId="0" borderId="1" xfId="15" applyNumberFormat="1" applyFont="1" applyFill="1" applyBorder="1" applyAlignment="1" applyProtection="1">
      <alignment horizontal="center" vertical="center" wrapText="1"/>
    </xf>
    <xf numFmtId="0" fontId="12" fillId="0" borderId="1" xfId="17" applyFont="1" applyFill="1" applyBorder="1" applyAlignment="1" applyProtection="1">
      <alignment horizontal="center" vertical="center" wrapText="1"/>
    </xf>
    <xf numFmtId="0" fontId="12" fillId="0" borderId="1" xfId="17" applyFont="1" applyFill="1" applyBorder="1" applyAlignment="1" applyProtection="1">
      <alignment horizontal="left" vertical="center" wrapText="1" indent="1"/>
    </xf>
    <xf numFmtId="3" fontId="8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12" fillId="0" borderId="1" xfId="17" applyFont="1" applyFill="1" applyBorder="1" applyAlignment="1" applyProtection="1">
      <alignment horizontal="left" vertical="center" wrapText="1" indent="2"/>
    </xf>
    <xf numFmtId="0" fontId="12" fillId="0" borderId="1" xfId="17" quotePrefix="1" applyFont="1" applyFill="1" applyBorder="1" applyAlignment="1" applyProtection="1">
      <alignment horizontal="center" vertical="center" wrapText="1"/>
    </xf>
    <xf numFmtId="0" fontId="12" fillId="0" borderId="1" xfId="17" quotePrefix="1" applyFont="1" applyFill="1" applyBorder="1" applyAlignment="1" applyProtection="1">
      <alignment horizontal="left" vertical="center" wrapText="1" indent="1"/>
    </xf>
    <xf numFmtId="0" fontId="13" fillId="0" borderId="1" xfId="17" applyFont="1" applyFill="1" applyBorder="1" applyAlignment="1" applyProtection="1">
      <alignment horizontal="center" vertical="center" wrapText="1"/>
    </xf>
    <xf numFmtId="0" fontId="15" fillId="0" borderId="0" xfId="0" applyFont="1" applyFill="1"/>
    <xf numFmtId="0" fontId="12" fillId="0" borderId="1" xfId="16" applyFont="1" applyFill="1" applyBorder="1" applyAlignment="1" applyProtection="1">
      <alignment horizontal="center" vertical="center" wrapText="1"/>
    </xf>
    <xf numFmtId="0" fontId="12" fillId="0" borderId="1" xfId="16" applyFont="1" applyFill="1" applyBorder="1" applyAlignment="1" applyProtection="1">
      <alignment horizontal="left" vertical="center" wrapText="1" indent="1"/>
    </xf>
    <xf numFmtId="0" fontId="12" fillId="0" borderId="2" xfId="17" applyFont="1" applyFill="1" applyBorder="1" applyAlignment="1" applyProtection="1">
      <alignment horizontal="left" vertical="center" wrapText="1" indent="1"/>
    </xf>
    <xf numFmtId="0" fontId="12" fillId="0" borderId="2" xfId="16" applyFont="1" applyFill="1" applyBorder="1" applyAlignment="1" applyProtection="1">
      <alignment horizontal="left" vertical="center" wrapText="1" indent="1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Alignment="1">
      <alignment horizontal="center" vertical="center"/>
    </xf>
    <xf numFmtId="0" fontId="19" fillId="0" borderId="0" xfId="0" applyFont="1" applyFill="1" applyAlignment="1" applyProtection="1">
      <alignment vertical="center"/>
      <protection locked="0"/>
    </xf>
    <xf numFmtId="0" fontId="19" fillId="0" borderId="1" xfId="17" applyFont="1" applyFill="1" applyBorder="1" applyAlignment="1" applyProtection="1">
      <alignment horizontal="center" vertical="center" wrapText="1"/>
    </xf>
    <xf numFmtId="0" fontId="9" fillId="0" borderId="1" xfId="17" applyFont="1" applyFill="1" applyBorder="1" applyAlignment="1" applyProtection="1">
      <alignment horizontal="left" vertical="center" wrapText="1" indent="2"/>
    </xf>
    <xf numFmtId="3" fontId="9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17" applyFont="1" applyFill="1" applyBorder="1" applyAlignment="1" applyProtection="1">
      <alignment horizontal="center" vertical="center" wrapText="1"/>
    </xf>
    <xf numFmtId="0" fontId="9" fillId="0" borderId="1" xfId="17" applyFont="1" applyFill="1" applyBorder="1" applyAlignment="1" applyProtection="1">
      <alignment horizontal="left" vertical="center" wrapText="1" indent="3"/>
    </xf>
    <xf numFmtId="0" fontId="20" fillId="0" borderId="1" xfId="17" applyFont="1" applyFill="1" applyBorder="1" applyAlignment="1" applyProtection="1">
      <alignment horizontal="center" vertical="center" wrapText="1"/>
    </xf>
    <xf numFmtId="0" fontId="19" fillId="0" borderId="1" xfId="15" applyFont="1" applyFill="1" applyBorder="1" applyAlignment="1" applyProtection="1">
      <alignment horizontal="left" vertical="center" wrapText="1" indent="2"/>
    </xf>
    <xf numFmtId="0" fontId="20" fillId="0" borderId="1" xfId="17" applyFont="1" applyFill="1" applyBorder="1" applyAlignment="1" applyProtection="1">
      <alignment horizontal="left" vertical="center" wrapText="1" indent="2"/>
    </xf>
    <xf numFmtId="0" fontId="11" fillId="0" borderId="1" xfId="17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1"/>
    </xf>
    <xf numFmtId="3" fontId="8" fillId="0" borderId="1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20" fillId="0" borderId="1" xfId="16" applyFont="1" applyFill="1" applyBorder="1" applyAlignment="1" applyProtection="1">
      <alignment horizontal="left" vertical="center" wrapText="1" indent="2"/>
    </xf>
    <xf numFmtId="0" fontId="20" fillId="0" borderId="1" xfId="16" applyFont="1" applyFill="1" applyBorder="1" applyAlignment="1" applyProtection="1">
      <alignment horizontal="left" vertical="center" wrapText="1" indent="3"/>
    </xf>
    <xf numFmtId="0" fontId="20" fillId="0" borderId="1" xfId="16" applyFont="1" applyFill="1" applyBorder="1" applyAlignment="1" applyProtection="1">
      <alignment horizontal="left" vertical="center" wrapText="1" indent="4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horizontal="right" vertical="center"/>
    </xf>
    <xf numFmtId="4" fontId="19" fillId="0" borderId="0" xfId="0" applyNumberFormat="1" applyFont="1" applyFill="1" applyAlignment="1" applyProtection="1">
      <alignment vertical="center"/>
      <protection locked="0"/>
    </xf>
    <xf numFmtId="10" fontId="16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 applyProtection="1">
      <alignment horizontal="center" vertical="center"/>
      <protection locked="0"/>
    </xf>
    <xf numFmtId="0" fontId="19" fillId="0" borderId="1" xfId="17" applyFont="1" applyFill="1" applyBorder="1" applyAlignment="1" applyProtection="1">
      <alignment horizontal="left" vertical="center" wrapText="1" indent="2"/>
    </xf>
    <xf numFmtId="3" fontId="9" fillId="0" borderId="1" xfId="0" applyNumberFormat="1" applyFont="1" applyFill="1" applyBorder="1" applyAlignment="1" applyProtection="1">
      <alignment vertical="center"/>
      <protection locked="0"/>
    </xf>
    <xf numFmtId="0" fontId="19" fillId="0" borderId="1" xfId="17" applyFont="1" applyFill="1" applyBorder="1" applyAlignment="1" applyProtection="1">
      <alignment horizontal="left" vertical="center" wrapText="1" indent="3"/>
    </xf>
    <xf numFmtId="3" fontId="8" fillId="0" borderId="1" xfId="0" applyNumberFormat="1" applyFont="1" applyFill="1" applyBorder="1" applyAlignment="1" applyProtection="1">
      <alignment vertical="center"/>
    </xf>
    <xf numFmtId="3" fontId="19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4" fillId="0" borderId="1" xfId="15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49" fontId="8" fillId="0" borderId="1" xfId="15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17" applyFont="1" applyFill="1" applyBorder="1" applyAlignment="1" applyProtection="1">
      <alignment horizontal="center" vertical="center" wrapText="1"/>
      <protection locked="0"/>
    </xf>
    <xf numFmtId="0" fontId="8" fillId="0" borderId="1" xfId="17" applyFont="1" applyFill="1" applyBorder="1" applyAlignment="1" applyProtection="1">
      <alignment horizontal="left" vertical="center" wrapText="1" indent="1"/>
    </xf>
    <xf numFmtId="3" fontId="8" fillId="0" borderId="1" xfId="0" applyNumberFormat="1" applyFont="1" applyFill="1" applyBorder="1" applyAlignment="1">
      <alignment vertical="center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168" fontId="16" fillId="0" borderId="0" xfId="18" applyNumberFormat="1" applyFont="1" applyFill="1" applyBorder="1" applyAlignment="1" applyProtection="1">
      <alignment vertical="center"/>
      <protection locked="0"/>
    </xf>
    <xf numFmtId="0" fontId="8" fillId="0" borderId="1" xfId="15" applyFont="1" applyFill="1" applyBorder="1" applyAlignment="1" applyProtection="1">
      <alignment horizontal="center" vertical="center" wrapText="1"/>
      <protection locked="0"/>
    </xf>
    <xf numFmtId="168" fontId="10" fillId="0" borderId="0" xfId="18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1" fillId="0" borderId="1" xfId="17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0" fontId="11" fillId="0" borderId="1" xfId="17" quotePrefix="1" applyFont="1" applyFill="1" applyBorder="1" applyAlignment="1" applyProtection="1">
      <alignment horizontal="center" vertical="center" wrapText="1"/>
    </xf>
    <xf numFmtId="0" fontId="11" fillId="0" borderId="1" xfId="16" applyFont="1" applyFill="1" applyBorder="1" applyAlignment="1" applyProtection="1">
      <alignment horizontal="left" vertical="center" wrapText="1" indent="2"/>
    </xf>
    <xf numFmtId="0" fontId="11" fillId="0" borderId="1" xfId="16" quotePrefix="1" applyFont="1" applyFill="1" applyBorder="1" applyAlignment="1" applyProtection="1">
      <alignment horizontal="left" vertical="center" wrapText="1" indent="2"/>
    </xf>
    <xf numFmtId="0" fontId="19" fillId="0" borderId="0" xfId="0" applyFont="1" applyFill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 applyProtection="1">
      <alignment horizontal="left" vertical="top" wrapText="1"/>
      <protection locked="0"/>
    </xf>
  </cellXfs>
  <cellStyles count="20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Normal_laroux" xfId="13"/>
    <cellStyle name="normální_laroux" xfId="14"/>
    <cellStyle name="Normalny" xfId="0" builtinId="0"/>
    <cellStyle name="Normalny_03PlFin_0403" xfId="15"/>
    <cellStyle name="Normalny_WfMgkr1" xfId="16"/>
    <cellStyle name="Normalny_Wzór z 09.10.2001" xfId="17"/>
    <cellStyle name="Procentowy" xfId="18" builtinId="5"/>
    <cellStyle name="Styl 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Kujawsko-Pomorsk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Lubelsk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Lubusk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&#321;&#243;dzk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Ma&#322;opolski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Mazowiecki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Opolski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Podkarpack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Podlaski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Pomorsk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&#346;l&#261;ski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&#346;wi&#281;tokrzyski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Warmi&#324;sko-Mazurski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Wielkopolski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Zachodniopomorsk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rcin\Baza\Prognozy\Progn%20przychod&#243;w%20i%20koszt&#243;w%202020-2022\Prognoza%20przychod&#243;w%202020-2022\Aktualizacja%20IX.2019\Prognoza%20przychod&#243;w%20ze%20sk&#322;adek%202020-2022_18.09.2019-tylko%20nowe%20wska&#378;nik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rcin\Baza\Prognozy\Progn%20przychod&#243;w%20i%20koszt&#243;w%202020-2022\Prognoza%20przychod&#243;w%202020-2022\Ustalenie%20kwoty%20dotacji%20na%20lata%20obj&#281;te%20prognoz&#261;%20-%2031.05.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rcin\Baza\Prognozy\Progn%20przychod&#243;w%20i%20koszt&#243;w%202020-2022\Dane%20wej&#347;ciowe\Prognoza%20D-H%20OWNFZ%202020-2022_10.05.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lan%20finansowy%20-%20autokorekta\Dane%20dodatkowe\Fundusz%20wynagrodze&#324;%202019-21.10.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rojekt%20planu%20finansowego\Z%20OW%20NFZ\Dolno&#347;l&#261;sk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Y%20FINANSOWE\2020\Plan%20finansowy%20-%20autokorekta\&#346;wiadczenia%202020-autokorek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jawsko-Pomor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626058</v>
          </cell>
        </row>
        <row r="9">
          <cell r="A9" t="str">
            <v>B2.2</v>
          </cell>
          <cell r="B9" t="str">
            <v>ambulatoryjna opieka specjalistyczna</v>
          </cell>
          <cell r="C9">
            <v>232073</v>
          </cell>
        </row>
        <row r="10">
          <cell r="A10" t="str">
            <v>B2.3</v>
          </cell>
          <cell r="B10" t="str">
            <v>leczenie szpitalne, w tym:</v>
          </cell>
          <cell r="C10">
            <v>2376601</v>
          </cell>
        </row>
        <row r="11">
          <cell r="A11" t="str">
            <v>B2.3.1</v>
          </cell>
          <cell r="B11" t="str">
            <v>programy lekowe, w tym:</v>
          </cell>
          <cell r="C11">
            <v>210655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187901</v>
          </cell>
        </row>
        <row r="13">
          <cell r="A13" t="str">
            <v>B2.3.2</v>
          </cell>
          <cell r="B13" t="str">
            <v>chemioterapia, w tym:</v>
          </cell>
          <cell r="C13">
            <v>82136</v>
          </cell>
        </row>
        <row r="14">
          <cell r="A14" t="str">
            <v>B2.3.2.1</v>
          </cell>
          <cell r="B14" t="str">
            <v>leki stosowane w chemioterapii</v>
          </cell>
          <cell r="C14">
            <v>37355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146258</v>
          </cell>
        </row>
        <row r="16">
          <cell r="A16" t="str">
            <v>B2.5</v>
          </cell>
          <cell r="B16" t="str">
            <v>rehabilitacja lecznicza</v>
          </cell>
          <cell r="C16">
            <v>138023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83582</v>
          </cell>
        </row>
        <row r="18">
          <cell r="A18" t="str">
            <v>B2.7</v>
          </cell>
          <cell r="B18" t="str">
            <v>opieka paliatywna i hospicyjna</v>
          </cell>
          <cell r="C18">
            <v>51167</v>
          </cell>
        </row>
        <row r="19">
          <cell r="A19" t="str">
            <v>B2.8</v>
          </cell>
          <cell r="B19" t="str">
            <v>leczenie stomatologiczne</v>
          </cell>
          <cell r="C19">
            <v>100850</v>
          </cell>
        </row>
        <row r="20">
          <cell r="A20" t="str">
            <v>B2.9</v>
          </cell>
          <cell r="B20" t="str">
            <v>lecznictwo uzdrowiskowe</v>
          </cell>
          <cell r="C20">
            <v>43732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16550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13575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113711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60500</v>
          </cell>
        </row>
        <row r="25">
          <cell r="A25" t="str">
            <v>B2.14</v>
          </cell>
          <cell r="B25" t="str">
            <v>refundacja, z tego:</v>
          </cell>
          <cell r="C25">
            <v>490515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489453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555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507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33483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256023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446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600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18597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127584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47010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1191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715771</v>
          </cell>
        </row>
        <row r="42">
          <cell r="A42" t="str">
            <v>D</v>
          </cell>
          <cell r="B42" t="str">
            <v>Koszty administracyjne ( D1+...+D8 )</v>
          </cell>
          <cell r="C42">
            <v>38608</v>
          </cell>
        </row>
        <row r="43">
          <cell r="A43" t="str">
            <v>D1</v>
          </cell>
          <cell r="B43" t="str">
            <v>zużycie materiałów i energii</v>
          </cell>
          <cell r="C43">
            <v>1578</v>
          </cell>
        </row>
        <row r="44">
          <cell r="A44" t="str">
            <v>D2</v>
          </cell>
          <cell r="B44" t="str">
            <v>usługi obce</v>
          </cell>
          <cell r="C44">
            <v>8243</v>
          </cell>
        </row>
        <row r="45">
          <cell r="A45" t="str">
            <v>D3</v>
          </cell>
          <cell r="B45" t="str">
            <v>podatki i opłaty, z tego:</v>
          </cell>
          <cell r="C45">
            <v>287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51</v>
          </cell>
        </row>
        <row r="47">
          <cell r="A47" t="str">
            <v>D3.1.1</v>
          </cell>
          <cell r="B47" t="str">
            <v>podatek od nieruchomości</v>
          </cell>
          <cell r="C47">
            <v>51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41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180</v>
          </cell>
        </row>
        <row r="52">
          <cell r="A52" t="str">
            <v>D3.6</v>
          </cell>
          <cell r="B52" t="str">
            <v>inne</v>
          </cell>
          <cell r="C52">
            <v>15</v>
          </cell>
        </row>
        <row r="53">
          <cell r="A53" t="str">
            <v>D4</v>
          </cell>
          <cell r="B53" t="str">
            <v>wynagrodzenia, w tym:</v>
          </cell>
          <cell r="C53">
            <v>16484</v>
          </cell>
        </row>
        <row r="54">
          <cell r="A54" t="str">
            <v>D4.1</v>
          </cell>
          <cell r="B54" t="str">
            <v>wynagrodzenia bezosobowe</v>
          </cell>
          <cell r="C54">
            <v>0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3688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2830</v>
          </cell>
        </row>
        <row r="57">
          <cell r="A57" t="str">
            <v>D5.2</v>
          </cell>
          <cell r="B57" t="str">
            <v>składki na Fundusz Pracy</v>
          </cell>
          <cell r="C57">
            <v>404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454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8000</v>
          </cell>
        </row>
        <row r="62">
          <cell r="A62" t="str">
            <v>D8</v>
          </cell>
          <cell r="B62" t="str">
            <v>pozostałe koszty administracyjne</v>
          </cell>
          <cell r="C62">
            <v>328</v>
          </cell>
        </row>
        <row r="63">
          <cell r="A63" t="str">
            <v>F</v>
          </cell>
          <cell r="B63" t="str">
            <v>Pozostałe koszty (F1+...+F4)</v>
          </cell>
          <cell r="C63">
            <v>22905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18305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4600</v>
          </cell>
        </row>
        <row r="68">
          <cell r="A68" t="str">
            <v>H</v>
          </cell>
          <cell r="B68" t="str">
            <v>Koszty finansowe</v>
          </cell>
          <cell r="C68">
            <v>5000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bel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672716</v>
          </cell>
        </row>
        <row r="9">
          <cell r="A9" t="str">
            <v>B2.2</v>
          </cell>
          <cell r="B9" t="str">
            <v>ambulatoryjna opieka specjalistyczna</v>
          </cell>
          <cell r="C9">
            <v>231405</v>
          </cell>
        </row>
        <row r="10">
          <cell r="A10" t="str">
            <v>B2.3</v>
          </cell>
          <cell r="B10" t="str">
            <v>leczenie szpitalne, w tym:</v>
          </cell>
          <cell r="C10">
            <v>2434512</v>
          </cell>
        </row>
        <row r="11">
          <cell r="A11" t="str">
            <v>B2.3.1</v>
          </cell>
          <cell r="B11" t="str">
            <v>programy lekowe, w tym:</v>
          </cell>
          <cell r="C11">
            <v>229105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208570</v>
          </cell>
        </row>
        <row r="13">
          <cell r="A13" t="str">
            <v>B2.3.2</v>
          </cell>
          <cell r="B13" t="str">
            <v>chemioterapia, w tym:</v>
          </cell>
          <cell r="C13">
            <v>97538</v>
          </cell>
        </row>
        <row r="14">
          <cell r="A14" t="str">
            <v>B2.3.2.1</v>
          </cell>
          <cell r="B14" t="str">
            <v>leki stosowane w chemioterapii</v>
          </cell>
          <cell r="C14">
            <v>43552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168874</v>
          </cell>
        </row>
        <row r="16">
          <cell r="A16" t="str">
            <v>B2.5</v>
          </cell>
          <cell r="B16" t="str">
            <v>rehabilitacja lecznicza</v>
          </cell>
          <cell r="C16">
            <v>141000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102483</v>
          </cell>
        </row>
        <row r="18">
          <cell r="A18" t="str">
            <v>B2.7</v>
          </cell>
          <cell r="B18" t="str">
            <v>opieka paliatywna i hospicyjna</v>
          </cell>
          <cell r="C18">
            <v>34216</v>
          </cell>
        </row>
        <row r="19">
          <cell r="A19" t="str">
            <v>B2.8</v>
          </cell>
          <cell r="B19" t="str">
            <v>leczenie stomatologiczne</v>
          </cell>
          <cell r="C19">
            <v>126738</v>
          </cell>
        </row>
        <row r="20">
          <cell r="A20" t="str">
            <v>B2.9</v>
          </cell>
          <cell r="B20" t="str">
            <v>lecznictwo uzdrowiskowe</v>
          </cell>
          <cell r="C20">
            <v>47500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8682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12600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145633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62426</v>
          </cell>
        </row>
        <row r="25">
          <cell r="A25" t="str">
            <v>B2.14</v>
          </cell>
          <cell r="B25" t="str">
            <v>refundacja, z tego:</v>
          </cell>
          <cell r="C25">
            <v>440316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437816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2200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300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33072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344852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5000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1000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20000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131949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44122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1250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692438</v>
          </cell>
        </row>
        <row r="42">
          <cell r="A42" t="str">
            <v>D</v>
          </cell>
          <cell r="B42" t="str">
            <v>Koszty administracyjne ( D1+...+D8 )</v>
          </cell>
          <cell r="C42">
            <v>27678</v>
          </cell>
        </row>
        <row r="43">
          <cell r="A43" t="str">
            <v>D1</v>
          </cell>
          <cell r="B43" t="str">
            <v>zużycie materiałów i energii</v>
          </cell>
          <cell r="C43">
            <v>1087</v>
          </cell>
        </row>
        <row r="44">
          <cell r="A44" t="str">
            <v>D2</v>
          </cell>
          <cell r="B44" t="str">
            <v>usługi obce</v>
          </cell>
          <cell r="C44">
            <v>3406</v>
          </cell>
        </row>
        <row r="45">
          <cell r="A45" t="str">
            <v>D3</v>
          </cell>
          <cell r="B45" t="str">
            <v>podatki i opłaty, z tego:</v>
          </cell>
          <cell r="C45">
            <v>284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34</v>
          </cell>
        </row>
        <row r="47">
          <cell r="A47" t="str">
            <v>D3.1.1</v>
          </cell>
          <cell r="B47" t="str">
            <v>podatek od nieruchomości</v>
          </cell>
          <cell r="C47">
            <v>34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0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236</v>
          </cell>
        </row>
        <row r="52">
          <cell r="A52" t="str">
            <v>D3.6</v>
          </cell>
          <cell r="B52" t="str">
            <v>inne</v>
          </cell>
          <cell r="C52">
            <v>14</v>
          </cell>
        </row>
        <row r="53">
          <cell r="A53" t="str">
            <v>D4</v>
          </cell>
          <cell r="B53" t="str">
            <v>wynagrodzenia, w tym:</v>
          </cell>
          <cell r="C53">
            <v>16341</v>
          </cell>
        </row>
        <row r="54">
          <cell r="A54" t="str">
            <v>D4.1</v>
          </cell>
          <cell r="B54" t="str">
            <v>wynagrodzenia bezosobowe</v>
          </cell>
          <cell r="C54">
            <v>144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3657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2806</v>
          </cell>
        </row>
        <row r="57">
          <cell r="A57" t="str">
            <v>D5.2</v>
          </cell>
          <cell r="B57" t="str">
            <v>składki na Fundusz Pracy</v>
          </cell>
          <cell r="C57">
            <v>400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451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2500</v>
          </cell>
        </row>
        <row r="62">
          <cell r="A62" t="str">
            <v>D8</v>
          </cell>
          <cell r="B62" t="str">
            <v>pozostałe koszty administracyjne</v>
          </cell>
          <cell r="C62">
            <v>403</v>
          </cell>
        </row>
        <row r="63">
          <cell r="A63" t="str">
            <v>F</v>
          </cell>
          <cell r="B63" t="str">
            <v>Pozostałe koszty (F1+...+F4)</v>
          </cell>
          <cell r="C63">
            <v>15800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15000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800</v>
          </cell>
        </row>
        <row r="68">
          <cell r="A68" t="str">
            <v>H</v>
          </cell>
          <cell r="B68" t="str">
            <v>Koszty finansowe</v>
          </cell>
          <cell r="C68">
            <v>1000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bu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346798</v>
          </cell>
        </row>
        <row r="9">
          <cell r="A9" t="str">
            <v>B2.2</v>
          </cell>
          <cell r="B9" t="str">
            <v>ambulatoryjna opieka specjalistyczna</v>
          </cell>
          <cell r="C9">
            <v>114695</v>
          </cell>
        </row>
        <row r="10">
          <cell r="A10" t="str">
            <v>B2.3</v>
          </cell>
          <cell r="B10" t="str">
            <v>leczenie szpitalne, w tym:</v>
          </cell>
          <cell r="C10">
            <v>922315</v>
          </cell>
        </row>
        <row r="11">
          <cell r="A11" t="str">
            <v>B2.3.1</v>
          </cell>
          <cell r="B11" t="str">
            <v>programy lekowe, w tym:</v>
          </cell>
          <cell r="C11">
            <v>72730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64100</v>
          </cell>
        </row>
        <row r="13">
          <cell r="A13" t="str">
            <v>B2.3.2</v>
          </cell>
          <cell r="B13" t="str">
            <v>chemioterapia, w tym:</v>
          </cell>
          <cell r="C13">
            <v>27500</v>
          </cell>
        </row>
        <row r="14">
          <cell r="A14" t="str">
            <v>B2.3.2.1</v>
          </cell>
          <cell r="B14" t="str">
            <v>leki stosowane w chemioterapii</v>
          </cell>
          <cell r="C14">
            <v>10600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76986</v>
          </cell>
        </row>
        <row r="16">
          <cell r="A16" t="str">
            <v>B2.5</v>
          </cell>
          <cell r="B16" t="str">
            <v>rehabilitacja lecznicza</v>
          </cell>
          <cell r="C16">
            <v>58529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39694</v>
          </cell>
        </row>
        <row r="18">
          <cell r="A18" t="str">
            <v>B2.7</v>
          </cell>
          <cell r="B18" t="str">
            <v>opieka paliatywna i hospicyjna</v>
          </cell>
          <cell r="C18">
            <v>20013</v>
          </cell>
        </row>
        <row r="19">
          <cell r="A19" t="str">
            <v>B2.8</v>
          </cell>
          <cell r="B19" t="str">
            <v>leczenie stomatologiczne</v>
          </cell>
          <cell r="C19">
            <v>39769</v>
          </cell>
        </row>
        <row r="20">
          <cell r="A20" t="str">
            <v>B2.9</v>
          </cell>
          <cell r="B20" t="str">
            <v>lecznictwo uzdrowiskowe</v>
          </cell>
          <cell r="C20">
            <v>15425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8883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6022</v>
          </cell>
        </row>
        <row r="23">
          <cell r="A23" t="str">
            <v>B2.12</v>
          </cell>
          <cell r="B23" t="str">
            <v>świadczenia opieki zdrowotnej kontraktowane odrębnie</v>
          </cell>
          <cell r="C23">
            <v>66793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36769</v>
          </cell>
        </row>
        <row r="25">
          <cell r="A25" t="str">
            <v>B2.14</v>
          </cell>
          <cell r="B25" t="str">
            <v>refundacja, z tego:</v>
          </cell>
          <cell r="C25">
            <v>207923</v>
          </cell>
        </row>
        <row r="26">
          <cell r="A26" t="str">
            <v>B2.14.1</v>
          </cell>
          <cell r="B26" t="str">
            <v>refundacja leków, środków spożywczych specjalnego przeznaczenia żywieniowego oraz wyrobów medycznych dostępnych w aptece na receptę</v>
          </cell>
          <cell r="C26">
            <v>207373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250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300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opieki zdrowotnej oraz refundacji leków, w tym:</v>
          </cell>
          <cell r="C30">
            <v>29979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294294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1000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1000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24000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76147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18594</v>
          </cell>
        </row>
        <row r="40">
          <cell r="A40" t="str">
            <v>B6</v>
          </cell>
          <cell r="B40" t="str">
            <v>Koszty zadania, o którym mowa w art. 97 ust. 3 pkt 4c ustawy</v>
          </cell>
          <cell r="C40">
            <v>574</v>
          </cell>
        </row>
        <row r="41">
          <cell r="A41" t="str">
            <v>Bn</v>
          </cell>
          <cell r="B41" t="str">
            <v>Całkowity budżet na refundację
(B2.3.1.1+B2.3.2.1+B2.14+B2.16.1)</v>
          </cell>
          <cell r="C41">
            <v>282623</v>
          </cell>
        </row>
        <row r="42">
          <cell r="A42" t="str">
            <v>D</v>
          </cell>
          <cell r="B42" t="str">
            <v>Koszty administracyjne ( D1+...+D8 )</v>
          </cell>
          <cell r="C42">
            <v>17903</v>
          </cell>
        </row>
        <row r="43">
          <cell r="A43" t="str">
            <v>D1</v>
          </cell>
          <cell r="B43" t="str">
            <v>zużycie materiałów i energii</v>
          </cell>
          <cell r="C43">
            <v>911</v>
          </cell>
        </row>
        <row r="44">
          <cell r="A44" t="str">
            <v>D2</v>
          </cell>
          <cell r="B44" t="str">
            <v>usługi obce</v>
          </cell>
          <cell r="C44">
            <v>2521</v>
          </cell>
        </row>
        <row r="45">
          <cell r="A45" t="str">
            <v>D3</v>
          </cell>
          <cell r="B45" t="str">
            <v>podatki i opłaty, z tego</v>
          </cell>
          <cell r="C45">
            <v>84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15</v>
          </cell>
        </row>
        <row r="47">
          <cell r="A47" t="str">
            <v>D3.1.1</v>
          </cell>
          <cell r="B47" t="str">
            <v>podatek od nieruchomości</v>
          </cell>
          <cell r="C47">
            <v>15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0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53</v>
          </cell>
        </row>
        <row r="52">
          <cell r="A52" t="str">
            <v>D3.6</v>
          </cell>
          <cell r="B52" t="str">
            <v>inne</v>
          </cell>
          <cell r="C52">
            <v>16</v>
          </cell>
        </row>
        <row r="53">
          <cell r="A53" t="str">
            <v>D4</v>
          </cell>
          <cell r="B53" t="str">
            <v>wynagrodzenia, w tym:</v>
          </cell>
          <cell r="C53">
            <v>10448</v>
          </cell>
        </row>
        <row r="54">
          <cell r="A54" t="str">
            <v>D4.1</v>
          </cell>
          <cell r="B54" t="str">
            <v>wynagrodzenia bezosobowe</v>
          </cell>
          <cell r="C54">
            <v>0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2410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1792</v>
          </cell>
        </row>
        <row r="57">
          <cell r="A57" t="str">
            <v>D5.2</v>
          </cell>
          <cell r="B57" t="str">
            <v>składki na Fundusz Pracy</v>
          </cell>
          <cell r="C57">
            <v>256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362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1342</v>
          </cell>
        </row>
        <row r="62">
          <cell r="A62" t="str">
            <v>D8</v>
          </cell>
          <cell r="B62" t="str">
            <v>pozostałe koszty administracyjne</v>
          </cell>
          <cell r="C62">
            <v>187</v>
          </cell>
        </row>
        <row r="63">
          <cell r="A63" t="str">
            <v>F</v>
          </cell>
          <cell r="B63" t="str">
            <v>Pozostałe koszty (F1+...+F4)</v>
          </cell>
          <cell r="C63">
            <v>1536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161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1375</v>
          </cell>
        </row>
        <row r="68">
          <cell r="A68" t="str">
            <v>H</v>
          </cell>
          <cell r="B68" t="str">
            <v>Koszty finansowe</v>
          </cell>
          <cell r="C68">
            <v>286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Łódz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832442</v>
          </cell>
        </row>
        <row r="9">
          <cell r="A9" t="str">
            <v>B2.2</v>
          </cell>
          <cell r="B9" t="str">
            <v>ambulatoryjna opieka specjalistyczna</v>
          </cell>
          <cell r="C9">
            <v>305579</v>
          </cell>
        </row>
        <row r="10">
          <cell r="A10" t="str">
            <v>B2.3</v>
          </cell>
          <cell r="B10" t="str">
            <v>leczenie szpitalne, w tym:</v>
          </cell>
          <cell r="C10">
            <v>3025131</v>
          </cell>
        </row>
        <row r="11">
          <cell r="A11" t="str">
            <v>B2.3.1</v>
          </cell>
          <cell r="B11" t="str">
            <v>programy lekowe, w tym:</v>
          </cell>
          <cell r="C11">
            <v>285650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252239</v>
          </cell>
        </row>
        <row r="13">
          <cell r="A13" t="str">
            <v>B2.3.2</v>
          </cell>
          <cell r="B13" t="str">
            <v>chemioterapia, w tym:</v>
          </cell>
          <cell r="C13">
            <v>91766</v>
          </cell>
        </row>
        <row r="14">
          <cell r="A14" t="str">
            <v>B2.3.2.1</v>
          </cell>
          <cell r="B14" t="str">
            <v>leki stosowane w chemioterapii</v>
          </cell>
          <cell r="C14">
            <v>36058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141326</v>
          </cell>
        </row>
        <row r="16">
          <cell r="A16" t="str">
            <v>B2.5</v>
          </cell>
          <cell r="B16" t="str">
            <v>rehabilitacja lecznicza</v>
          </cell>
          <cell r="C16">
            <v>143324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90438</v>
          </cell>
        </row>
        <row r="18">
          <cell r="A18" t="str">
            <v>B2.7</v>
          </cell>
          <cell r="B18" t="str">
            <v>opieka paliatywna i hospicyjna</v>
          </cell>
          <cell r="C18">
            <v>39070</v>
          </cell>
        </row>
        <row r="19">
          <cell r="A19" t="str">
            <v>B2.8</v>
          </cell>
          <cell r="B19" t="str">
            <v>leczenie stomatologiczne</v>
          </cell>
          <cell r="C19">
            <v>122477</v>
          </cell>
        </row>
        <row r="20">
          <cell r="A20" t="str">
            <v>B2.9</v>
          </cell>
          <cell r="B20" t="str">
            <v>lecznictwo uzdrowiskowe</v>
          </cell>
          <cell r="C20">
            <v>48300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2607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12501</v>
          </cell>
        </row>
        <row r="23">
          <cell r="A23" t="str">
            <v>B2.12</v>
          </cell>
          <cell r="B23" t="str">
            <v>świadczenia opieki zdrowotnej kontraktowane odrębnie</v>
          </cell>
          <cell r="C23">
            <v>143481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78000</v>
          </cell>
        </row>
        <row r="25">
          <cell r="A25" t="str">
            <v>B2.14</v>
          </cell>
          <cell r="B25" t="str">
            <v>refundacja, z tego:</v>
          </cell>
          <cell r="C25">
            <v>648545</v>
          </cell>
        </row>
        <row r="26">
          <cell r="A26" t="str">
            <v>B2.14.1</v>
          </cell>
          <cell r="B26" t="str">
            <v>refundacja leków, środków spożywczych specjalnego przeznaczenia żywieniowego oraz wyrobów medycznych dostępnych w aptece na receptę</v>
          </cell>
          <cell r="C26">
            <v>646506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916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1123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opieki zdrowotnej oraz refundacji leków, w tym:</v>
          </cell>
          <cell r="C30">
            <v>45212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14922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416486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1000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5500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58595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143496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61755</v>
          </cell>
        </row>
        <row r="40">
          <cell r="A40" t="str">
            <v>B6</v>
          </cell>
          <cell r="B40" t="str">
            <v>Koszty zadania, o którym mowa w art. 97 ust. 3 pkt 4c ustawy</v>
          </cell>
          <cell r="C40">
            <v>1527</v>
          </cell>
        </row>
        <row r="41">
          <cell r="A41" t="str">
            <v>Bn</v>
          </cell>
          <cell r="B41" t="str">
            <v>Całkowity budżet na refundację
(B2.3.1.1+B2.3.2.1+B2.14+B2.16.1)</v>
          </cell>
          <cell r="C41">
            <v>951764</v>
          </cell>
        </row>
        <row r="42">
          <cell r="A42" t="str">
            <v>D</v>
          </cell>
          <cell r="B42" t="str">
            <v>Koszty administracyjne ( D1+...+D8 )</v>
          </cell>
          <cell r="C42">
            <v>34877</v>
          </cell>
        </row>
        <row r="43">
          <cell r="A43" t="str">
            <v>D1</v>
          </cell>
          <cell r="B43" t="str">
            <v>zużycie materiałów i energii</v>
          </cell>
          <cell r="C43">
            <v>1450</v>
          </cell>
        </row>
        <row r="44">
          <cell r="A44" t="str">
            <v>D2</v>
          </cell>
          <cell r="B44" t="str">
            <v>usługi obce</v>
          </cell>
          <cell r="C44">
            <v>6570</v>
          </cell>
        </row>
        <row r="45">
          <cell r="A45" t="str">
            <v>D3</v>
          </cell>
          <cell r="B45" t="str">
            <v>podatki i opłaty, z tego</v>
          </cell>
          <cell r="C45">
            <v>288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11</v>
          </cell>
        </row>
        <row r="47">
          <cell r="A47" t="str">
            <v>D3.1.1</v>
          </cell>
          <cell r="B47" t="str">
            <v>podatek od nieruchomości</v>
          </cell>
          <cell r="C47">
            <v>11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13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260</v>
          </cell>
        </row>
        <row r="52">
          <cell r="A52" t="str">
            <v>D3.6</v>
          </cell>
          <cell r="B52" t="str">
            <v>inne</v>
          </cell>
          <cell r="C52">
            <v>4</v>
          </cell>
        </row>
        <row r="53">
          <cell r="A53" t="str">
            <v>D4</v>
          </cell>
          <cell r="B53" t="str">
            <v>wynagrodzenia, w tym:</v>
          </cell>
          <cell r="C53">
            <v>19400</v>
          </cell>
        </row>
        <row r="54">
          <cell r="A54" t="str">
            <v>D4.1</v>
          </cell>
          <cell r="B54" t="str">
            <v>wynagrodzenia bezosobowe</v>
          </cell>
          <cell r="C54">
            <v>90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4352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3332</v>
          </cell>
        </row>
        <row r="57">
          <cell r="A57" t="str">
            <v>D5.2</v>
          </cell>
          <cell r="B57" t="str">
            <v>składki na Fundusz Pracy</v>
          </cell>
          <cell r="C57">
            <v>475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545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2520</v>
          </cell>
        </row>
        <row r="62">
          <cell r="A62" t="str">
            <v>D8</v>
          </cell>
          <cell r="B62" t="str">
            <v>pozostałe koszty administracyjne</v>
          </cell>
          <cell r="C62">
            <v>297</v>
          </cell>
        </row>
        <row r="63">
          <cell r="A63" t="str">
            <v>F</v>
          </cell>
          <cell r="B63" t="str">
            <v>Pozostałe koszty (F1+...+F4)</v>
          </cell>
          <cell r="C63">
            <v>33000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31000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2000</v>
          </cell>
        </row>
        <row r="68">
          <cell r="A68" t="str">
            <v>H</v>
          </cell>
          <cell r="B68" t="str">
            <v>Koszty finansowe</v>
          </cell>
          <cell r="C68">
            <v>5000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łopol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1126353</v>
          </cell>
        </row>
        <row r="9">
          <cell r="A9" t="str">
            <v>B2.2</v>
          </cell>
          <cell r="B9" t="str">
            <v>ambulatoryjna opieka specjalistyczna</v>
          </cell>
          <cell r="C9">
            <v>425726</v>
          </cell>
        </row>
        <row r="10">
          <cell r="A10" t="str">
            <v>B2.3</v>
          </cell>
          <cell r="B10" t="str">
            <v>leczenie szpitalne, w tym:</v>
          </cell>
          <cell r="C10">
            <v>3750478</v>
          </cell>
        </row>
        <row r="11">
          <cell r="A11" t="str">
            <v>B2.3.1</v>
          </cell>
          <cell r="B11" t="str">
            <v>programy lekowe, w tym:</v>
          </cell>
          <cell r="C11">
            <v>378033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340607</v>
          </cell>
        </row>
        <row r="13">
          <cell r="A13" t="str">
            <v>B2.3.2</v>
          </cell>
          <cell r="B13" t="str">
            <v>chemioterapia, w tym:</v>
          </cell>
          <cell r="C13">
            <v>102260</v>
          </cell>
        </row>
        <row r="14">
          <cell r="A14" t="str">
            <v>B2.3.2.1</v>
          </cell>
          <cell r="B14" t="str">
            <v>leki stosowane w chemioterapii</v>
          </cell>
          <cell r="C14">
            <v>56062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211272</v>
          </cell>
        </row>
        <row r="16">
          <cell r="A16" t="str">
            <v>B2.5</v>
          </cell>
          <cell r="B16" t="str">
            <v>rehabilitacja lecznicza</v>
          </cell>
          <cell r="C16">
            <v>272240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208272</v>
          </cell>
        </row>
        <row r="18">
          <cell r="A18" t="str">
            <v>B2.7</v>
          </cell>
          <cell r="B18" t="str">
            <v>opieka paliatywna i hospicyjna</v>
          </cell>
          <cell r="C18">
            <v>78462</v>
          </cell>
        </row>
        <row r="19">
          <cell r="A19" t="str">
            <v>B2.8</v>
          </cell>
          <cell r="B19" t="str">
            <v>leczenie stomatologiczne</v>
          </cell>
          <cell r="C19">
            <v>211942</v>
          </cell>
        </row>
        <row r="20">
          <cell r="A20" t="str">
            <v>B2.9</v>
          </cell>
          <cell r="B20" t="str">
            <v>lecznictwo uzdrowiskowe</v>
          </cell>
          <cell r="C20">
            <v>62944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6750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16995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248216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103800</v>
          </cell>
        </row>
        <row r="25">
          <cell r="A25" t="str">
            <v>B2.14</v>
          </cell>
          <cell r="B25" t="str">
            <v>refundacja, z tego:</v>
          </cell>
          <cell r="C25">
            <v>692188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688188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3000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1000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63174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424642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700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61397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170800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76436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1969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1088857</v>
          </cell>
        </row>
        <row r="42">
          <cell r="A42" t="str">
            <v>D</v>
          </cell>
          <cell r="B42" t="str">
            <v>Koszty administracyjne ( D1+...+D8 )</v>
          </cell>
          <cell r="C42">
            <v>45559</v>
          </cell>
        </row>
        <row r="43">
          <cell r="A43" t="str">
            <v>D1</v>
          </cell>
          <cell r="B43" t="str">
            <v>zużycie materiałów i energii</v>
          </cell>
          <cell r="C43">
            <v>1958</v>
          </cell>
        </row>
        <row r="44">
          <cell r="A44" t="str">
            <v>D2</v>
          </cell>
          <cell r="B44" t="str">
            <v>usługi obce</v>
          </cell>
          <cell r="C44">
            <v>9950</v>
          </cell>
        </row>
        <row r="45">
          <cell r="A45" t="str">
            <v>D3</v>
          </cell>
          <cell r="B45" t="str">
            <v>podatki i opłaty, z tego:</v>
          </cell>
          <cell r="C45">
            <v>254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27</v>
          </cell>
        </row>
        <row r="47">
          <cell r="A47" t="str">
            <v>D3.1.1</v>
          </cell>
          <cell r="B47" t="str">
            <v>podatek od nieruchomości</v>
          </cell>
          <cell r="C47">
            <v>27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57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103</v>
          </cell>
        </row>
        <row r="52">
          <cell r="A52" t="str">
            <v>D3.6</v>
          </cell>
          <cell r="B52" t="str">
            <v>inne</v>
          </cell>
          <cell r="C52">
            <v>67</v>
          </cell>
        </row>
        <row r="53">
          <cell r="A53" t="str">
            <v>D4</v>
          </cell>
          <cell r="B53" t="str">
            <v>wynagrodzenia, w tym:</v>
          </cell>
          <cell r="C53">
            <v>23765</v>
          </cell>
        </row>
        <row r="54">
          <cell r="A54" t="str">
            <v>D4.1</v>
          </cell>
          <cell r="B54" t="str">
            <v>wynagrodzenia bezosobowe</v>
          </cell>
          <cell r="C54">
            <v>24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5324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4078</v>
          </cell>
        </row>
        <row r="57">
          <cell r="A57" t="str">
            <v>D5.2</v>
          </cell>
          <cell r="B57" t="str">
            <v>składki na Fundusz Pracy</v>
          </cell>
          <cell r="C57">
            <v>583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663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4000</v>
          </cell>
        </row>
        <row r="62">
          <cell r="A62" t="str">
            <v>D8</v>
          </cell>
          <cell r="B62" t="str">
            <v>pozostałe koszty administracyjne</v>
          </cell>
          <cell r="C62">
            <v>308</v>
          </cell>
        </row>
        <row r="63">
          <cell r="A63" t="str">
            <v>F</v>
          </cell>
          <cell r="B63" t="str">
            <v>Pozostałe koszty (F1+...+F4)</v>
          </cell>
          <cell r="C63">
            <v>14415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11150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3265</v>
          </cell>
        </row>
        <row r="68">
          <cell r="A68" t="str">
            <v>H</v>
          </cell>
          <cell r="B68" t="str">
            <v>Koszty finansowe</v>
          </cell>
          <cell r="C68">
            <v>300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zowiec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1877874</v>
          </cell>
        </row>
        <row r="9">
          <cell r="A9" t="str">
            <v>B2.2</v>
          </cell>
          <cell r="B9" t="str">
            <v>ambulatoryjna opieka specjalistyczna</v>
          </cell>
          <cell r="C9">
            <v>671483</v>
          </cell>
        </row>
        <row r="10">
          <cell r="A10" t="str">
            <v>B2.3</v>
          </cell>
          <cell r="B10" t="str">
            <v>leczenie szpitalne, w tym:</v>
          </cell>
          <cell r="C10">
            <v>6681470</v>
          </cell>
        </row>
        <row r="11">
          <cell r="A11" t="str">
            <v>B2.3.1</v>
          </cell>
          <cell r="B11" t="str">
            <v>programy lekowe, w tym:</v>
          </cell>
          <cell r="C11">
            <v>633059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560108</v>
          </cell>
        </row>
        <row r="13">
          <cell r="A13" t="str">
            <v>B2.3.2</v>
          </cell>
          <cell r="B13" t="str">
            <v>chemioterapia, w tym:</v>
          </cell>
          <cell r="C13">
            <v>252039</v>
          </cell>
        </row>
        <row r="14">
          <cell r="A14" t="str">
            <v>B2.3.2.1</v>
          </cell>
          <cell r="B14" t="str">
            <v>leki stosowane w chemioterapii</v>
          </cell>
          <cell r="C14">
            <v>114245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439129</v>
          </cell>
        </row>
        <row r="16">
          <cell r="A16" t="str">
            <v>B2.5</v>
          </cell>
          <cell r="B16" t="str">
            <v>rehabilitacja lecznicza</v>
          </cell>
          <cell r="C16">
            <v>548668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266484</v>
          </cell>
        </row>
        <row r="18">
          <cell r="A18" t="str">
            <v>B2.7</v>
          </cell>
          <cell r="B18" t="str">
            <v>opieka paliatywna i hospicyjna</v>
          </cell>
          <cell r="C18">
            <v>92435</v>
          </cell>
        </row>
        <row r="19">
          <cell r="A19" t="str">
            <v>B2.8</v>
          </cell>
          <cell r="B19" t="str">
            <v>leczenie stomatologiczne</v>
          </cell>
          <cell r="C19">
            <v>234239</v>
          </cell>
        </row>
        <row r="20">
          <cell r="A20" t="str">
            <v>B2.9</v>
          </cell>
          <cell r="B20" t="str">
            <v>lecznictwo uzdrowiskowe</v>
          </cell>
          <cell r="C20">
            <v>115500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34405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26620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239925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185000</v>
          </cell>
        </row>
        <row r="25">
          <cell r="A25" t="str">
            <v>B2.14</v>
          </cell>
          <cell r="B25" t="str">
            <v>refundacja, z tego:</v>
          </cell>
          <cell r="C25">
            <v>1147984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1140378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3058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4548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165065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116107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477803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5000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1000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138632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268380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118348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3290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1938444</v>
          </cell>
        </row>
        <row r="42">
          <cell r="A42" t="str">
            <v>D</v>
          </cell>
          <cell r="B42" t="str">
            <v>Koszty administracyjne ( D1+...+D8 )</v>
          </cell>
          <cell r="C42">
            <v>70716</v>
          </cell>
        </row>
        <row r="43">
          <cell r="A43" t="str">
            <v>D1</v>
          </cell>
          <cell r="B43" t="str">
            <v>zużycie materiałów i energii</v>
          </cell>
          <cell r="C43">
            <v>2174</v>
          </cell>
        </row>
        <row r="44">
          <cell r="A44" t="str">
            <v>D2</v>
          </cell>
          <cell r="B44" t="str">
            <v>usługi obce</v>
          </cell>
          <cell r="C44">
            <v>12940</v>
          </cell>
        </row>
        <row r="45">
          <cell r="A45" t="str">
            <v>D3</v>
          </cell>
          <cell r="B45" t="str">
            <v>podatki i opłaty, z tego:</v>
          </cell>
          <cell r="C45">
            <v>357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21</v>
          </cell>
        </row>
        <row r="47">
          <cell r="A47" t="str">
            <v>D3.1.1</v>
          </cell>
          <cell r="B47" t="str">
            <v>podatek od nieruchomości</v>
          </cell>
          <cell r="C47">
            <v>21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12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313</v>
          </cell>
        </row>
        <row r="52">
          <cell r="A52" t="str">
            <v>D3.6</v>
          </cell>
          <cell r="B52" t="str">
            <v>inne</v>
          </cell>
          <cell r="C52">
            <v>11</v>
          </cell>
        </row>
        <row r="53">
          <cell r="A53" t="str">
            <v>D4</v>
          </cell>
          <cell r="B53" t="str">
            <v>wynagrodzenia, w tym:</v>
          </cell>
          <cell r="C53">
            <v>43835</v>
          </cell>
        </row>
        <row r="54">
          <cell r="A54" t="str">
            <v>D4.1</v>
          </cell>
          <cell r="B54" t="str">
            <v>wynagrodzenia bezosobowe</v>
          </cell>
          <cell r="C54">
            <v>71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9789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7525</v>
          </cell>
        </row>
        <row r="57">
          <cell r="A57" t="str">
            <v>D5.2</v>
          </cell>
          <cell r="B57" t="str">
            <v>składki na Fundusz Pracy</v>
          </cell>
          <cell r="C57">
            <v>1074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1190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1206</v>
          </cell>
        </row>
        <row r="62">
          <cell r="A62" t="str">
            <v>D8</v>
          </cell>
          <cell r="B62" t="str">
            <v>pozostałe koszty administracyjne</v>
          </cell>
          <cell r="C62">
            <v>415</v>
          </cell>
        </row>
        <row r="63">
          <cell r="A63" t="str">
            <v>F</v>
          </cell>
          <cell r="B63" t="str">
            <v>Pozostałe koszty (F1+...+F4)</v>
          </cell>
          <cell r="C63">
            <v>16352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8645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7707</v>
          </cell>
        </row>
        <row r="68">
          <cell r="A68" t="str">
            <v>H</v>
          </cell>
          <cell r="B68" t="str">
            <v>Koszty finansowe</v>
          </cell>
          <cell r="C68">
            <v>5617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ol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295267</v>
          </cell>
        </row>
        <row r="9">
          <cell r="A9" t="str">
            <v>B2.2</v>
          </cell>
          <cell r="B9" t="str">
            <v>ambulatoryjna opieka specjalistyczna</v>
          </cell>
          <cell r="C9">
            <v>95481</v>
          </cell>
        </row>
        <row r="10">
          <cell r="A10" t="str">
            <v>B2.3</v>
          </cell>
          <cell r="B10" t="str">
            <v>leczenie szpitalne, w tym:</v>
          </cell>
          <cell r="C10">
            <v>960501</v>
          </cell>
        </row>
        <row r="11">
          <cell r="A11" t="str">
            <v>B2.3.1</v>
          </cell>
          <cell r="B11" t="str">
            <v>programy lekowe, w tym:</v>
          </cell>
          <cell r="C11">
            <v>66100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59900</v>
          </cell>
        </row>
        <row r="13">
          <cell r="A13" t="str">
            <v>B2.3.2</v>
          </cell>
          <cell r="B13" t="str">
            <v>chemioterapia, w tym:</v>
          </cell>
          <cell r="C13">
            <v>22308</v>
          </cell>
        </row>
        <row r="14">
          <cell r="A14" t="str">
            <v>B2.3.2.1</v>
          </cell>
          <cell r="B14" t="str">
            <v>leki stosowane w chemioterapii</v>
          </cell>
          <cell r="C14">
            <v>11000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61238</v>
          </cell>
        </row>
        <row r="16">
          <cell r="A16" t="str">
            <v>B2.5</v>
          </cell>
          <cell r="B16" t="str">
            <v>rehabilitacja lecznicza</v>
          </cell>
          <cell r="C16">
            <v>53835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67642</v>
          </cell>
        </row>
        <row r="18">
          <cell r="A18" t="str">
            <v>B2.7</v>
          </cell>
          <cell r="B18" t="str">
            <v>opieka paliatywna i hospicyjna</v>
          </cell>
          <cell r="C18">
            <v>23264</v>
          </cell>
        </row>
        <row r="19">
          <cell r="A19" t="str">
            <v>B2.8</v>
          </cell>
          <cell r="B19" t="str">
            <v>leczenie stomatologiczne</v>
          </cell>
          <cell r="C19">
            <v>41665</v>
          </cell>
        </row>
        <row r="20">
          <cell r="A20" t="str">
            <v>B2.9</v>
          </cell>
          <cell r="B20" t="str">
            <v>lecznictwo uzdrowiskowe</v>
          </cell>
          <cell r="C20">
            <v>14175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8174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5450</v>
          </cell>
        </row>
        <row r="23">
          <cell r="A23" t="str">
            <v>B2.12</v>
          </cell>
          <cell r="B23" t="str">
            <v>świadczenia opieki zdrowotnej kontraktowane odrębnie</v>
          </cell>
          <cell r="C23">
            <v>41903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31303</v>
          </cell>
        </row>
        <row r="25">
          <cell r="A25" t="str">
            <v>B2.14</v>
          </cell>
          <cell r="B25" t="str">
            <v>refundacja, z tego:</v>
          </cell>
          <cell r="C25">
            <v>200275</v>
          </cell>
        </row>
        <row r="26">
          <cell r="A26" t="str">
            <v>B2.14.1</v>
          </cell>
          <cell r="B26" t="str">
            <v>refundacja leków, środków spożywczych specjalnego przeznaczenia żywieniowego oraz wyrobów medycznych dostępnych w aptece na receptę</v>
          </cell>
          <cell r="C26">
            <v>199425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600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250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opieki zdrowotnej oraz refundacji leków, w tym:</v>
          </cell>
          <cell r="C30">
            <v>21725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246742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1000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200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6928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62043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23065</v>
          </cell>
        </row>
        <row r="40">
          <cell r="A40" t="str">
            <v>B6</v>
          </cell>
          <cell r="B40" t="str">
            <v>Koszty zadania, o którym mowa w art. 97 ust. 3 pkt 4c ustawy</v>
          </cell>
          <cell r="C40">
            <v>541</v>
          </cell>
        </row>
        <row r="41">
          <cell r="A41" t="str">
            <v>Bn</v>
          </cell>
          <cell r="B41" t="str">
            <v>Całkowity budżet na refundację
(B2.3.1.1+B2.3.2.1+B2.14+B2.16.1)</v>
          </cell>
          <cell r="C41">
            <v>271175</v>
          </cell>
        </row>
        <row r="42">
          <cell r="A42" t="str">
            <v>D</v>
          </cell>
          <cell r="B42" t="str">
            <v>Koszty administracyjne ( D1+...+D8 )</v>
          </cell>
          <cell r="C42">
            <v>20042</v>
          </cell>
        </row>
        <row r="43">
          <cell r="A43" t="str">
            <v>D1</v>
          </cell>
          <cell r="B43" t="str">
            <v>zużycie materiałów i energii</v>
          </cell>
          <cell r="C43">
            <v>1206</v>
          </cell>
        </row>
        <row r="44">
          <cell r="A44" t="str">
            <v>D2</v>
          </cell>
          <cell r="B44" t="str">
            <v>usługi obce</v>
          </cell>
          <cell r="C44">
            <v>4084</v>
          </cell>
        </row>
        <row r="45">
          <cell r="A45" t="str">
            <v>D3</v>
          </cell>
          <cell r="B45" t="str">
            <v>podatki i opłaty, z tego</v>
          </cell>
          <cell r="C45">
            <v>177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0</v>
          </cell>
        </row>
        <row r="47">
          <cell r="A47" t="str">
            <v>D3.1.1</v>
          </cell>
          <cell r="B47" t="str">
            <v>podatek od nieruchomości</v>
          </cell>
          <cell r="C47">
            <v>0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8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163</v>
          </cell>
        </row>
        <row r="52">
          <cell r="A52" t="str">
            <v>D3.6</v>
          </cell>
          <cell r="B52" t="str">
            <v>inne</v>
          </cell>
          <cell r="C52">
            <v>6</v>
          </cell>
        </row>
        <row r="53">
          <cell r="A53" t="str">
            <v>D4</v>
          </cell>
          <cell r="B53" t="str">
            <v>wynagrodzenia, w tym:</v>
          </cell>
          <cell r="C53">
            <v>10324</v>
          </cell>
        </row>
        <row r="54">
          <cell r="A54" t="str">
            <v>D4.1</v>
          </cell>
          <cell r="B54" t="str">
            <v>wynagrodzenia bezosobowe</v>
          </cell>
          <cell r="C54">
            <v>31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2308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1771</v>
          </cell>
        </row>
        <row r="57">
          <cell r="A57" t="str">
            <v>D5.2</v>
          </cell>
          <cell r="B57" t="str">
            <v>składki na Fundusz Pracy</v>
          </cell>
          <cell r="C57">
            <v>253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284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1620</v>
          </cell>
        </row>
        <row r="62">
          <cell r="A62" t="str">
            <v>D8</v>
          </cell>
          <cell r="B62" t="str">
            <v>pozostałe koszty administracyjne</v>
          </cell>
          <cell r="C62">
            <v>323</v>
          </cell>
        </row>
        <row r="63">
          <cell r="A63" t="str">
            <v>F</v>
          </cell>
          <cell r="B63" t="str">
            <v>Pozostałe koszty (F1+...+F4)</v>
          </cell>
          <cell r="C63">
            <v>1756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1148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608</v>
          </cell>
        </row>
        <row r="68">
          <cell r="A68" t="str">
            <v>H</v>
          </cell>
          <cell r="B68" t="str">
            <v>Koszty finansowe</v>
          </cell>
          <cell r="C68">
            <v>1238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arpac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675570</v>
          </cell>
        </row>
        <row r="9">
          <cell r="A9" t="str">
            <v>B2.2</v>
          </cell>
          <cell r="B9" t="str">
            <v>ambulatoryjna opieka specjalistyczna</v>
          </cell>
          <cell r="C9">
            <v>262068</v>
          </cell>
        </row>
        <row r="10">
          <cell r="A10" t="str">
            <v>B2.3</v>
          </cell>
          <cell r="B10" t="str">
            <v>leczenie szpitalne, w tym:</v>
          </cell>
          <cell r="C10">
            <v>2151103</v>
          </cell>
        </row>
        <row r="11">
          <cell r="A11" t="str">
            <v>B2.3.1</v>
          </cell>
          <cell r="B11" t="str">
            <v>programy lekowe, w tym:</v>
          </cell>
          <cell r="C11">
            <v>185335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166908</v>
          </cell>
        </row>
        <row r="13">
          <cell r="A13" t="str">
            <v>B2.3.2</v>
          </cell>
          <cell r="B13" t="str">
            <v>chemioterapia, w tym:</v>
          </cell>
          <cell r="C13">
            <v>76636</v>
          </cell>
        </row>
        <row r="14">
          <cell r="A14" t="str">
            <v>B2.3.2.1</v>
          </cell>
          <cell r="B14" t="str">
            <v>leki stosowane w chemioterapii</v>
          </cell>
          <cell r="C14">
            <v>38302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117654</v>
          </cell>
        </row>
        <row r="16">
          <cell r="A16" t="str">
            <v>B2.5</v>
          </cell>
          <cell r="B16" t="str">
            <v>rehabilitacja lecznicza</v>
          </cell>
          <cell r="C16">
            <v>194309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152370</v>
          </cell>
        </row>
        <row r="18">
          <cell r="A18" t="str">
            <v>B2.7</v>
          </cell>
          <cell r="B18" t="str">
            <v>opieka paliatywna i hospicyjna</v>
          </cell>
          <cell r="C18">
            <v>53623</v>
          </cell>
        </row>
        <row r="19">
          <cell r="A19" t="str">
            <v>B2.8</v>
          </cell>
          <cell r="B19" t="str">
            <v>leczenie stomatologiczne</v>
          </cell>
          <cell r="C19">
            <v>116801</v>
          </cell>
        </row>
        <row r="20">
          <cell r="A20" t="str">
            <v>B2.9</v>
          </cell>
          <cell r="B20" t="str">
            <v>lecznictwo uzdrowiskowe</v>
          </cell>
          <cell r="C20">
            <v>41549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20387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8697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103688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58500</v>
          </cell>
        </row>
        <row r="25">
          <cell r="A25" t="str">
            <v>B2.14</v>
          </cell>
          <cell r="B25" t="str">
            <v>refundacja, z tego:</v>
          </cell>
          <cell r="C25">
            <v>423652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420652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2000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1000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20000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10000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360575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1000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500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32623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125290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40162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1188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638862</v>
          </cell>
        </row>
        <row r="42">
          <cell r="A42" t="str">
            <v>D</v>
          </cell>
          <cell r="B42" t="str">
            <v>Koszty administracyjne ( D1+...+D8 )</v>
          </cell>
          <cell r="C42">
            <v>27128</v>
          </cell>
        </row>
        <row r="43">
          <cell r="A43" t="str">
            <v>D1</v>
          </cell>
          <cell r="B43" t="str">
            <v>zużycie materiałów i energii</v>
          </cell>
          <cell r="C43">
            <v>1448</v>
          </cell>
        </row>
        <row r="44">
          <cell r="A44" t="str">
            <v>D2</v>
          </cell>
          <cell r="B44" t="str">
            <v>usługi obce</v>
          </cell>
          <cell r="C44">
            <v>3021</v>
          </cell>
        </row>
        <row r="45">
          <cell r="A45" t="str">
            <v>D3</v>
          </cell>
          <cell r="B45" t="str">
            <v>podatki i opłaty, z tego:</v>
          </cell>
          <cell r="C45">
            <v>128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30</v>
          </cell>
        </row>
        <row r="47">
          <cell r="A47" t="str">
            <v>D3.1.1</v>
          </cell>
          <cell r="B47" t="str">
            <v>podatek od nieruchomości</v>
          </cell>
          <cell r="C47">
            <v>30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13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46</v>
          </cell>
        </row>
        <row r="52">
          <cell r="A52" t="str">
            <v>D3.6</v>
          </cell>
          <cell r="B52" t="str">
            <v>inne</v>
          </cell>
          <cell r="C52">
            <v>39</v>
          </cell>
        </row>
        <row r="53">
          <cell r="A53" t="str">
            <v>D4</v>
          </cell>
          <cell r="B53" t="str">
            <v>wynagrodzenia, w tym:</v>
          </cell>
          <cell r="C53">
            <v>15725</v>
          </cell>
        </row>
        <row r="54">
          <cell r="A54" t="str">
            <v>D4.1</v>
          </cell>
          <cell r="B54" t="str">
            <v>wynagrodzenia bezosobowe</v>
          </cell>
          <cell r="C54">
            <v>10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3520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2700</v>
          </cell>
        </row>
        <row r="57">
          <cell r="A57" t="str">
            <v>D5.2</v>
          </cell>
          <cell r="B57" t="str">
            <v>składki na Fundusz Pracy</v>
          </cell>
          <cell r="C57">
            <v>385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435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3000</v>
          </cell>
        </row>
        <row r="62">
          <cell r="A62" t="str">
            <v>D8</v>
          </cell>
          <cell r="B62" t="str">
            <v>pozostałe koszty administracyjne</v>
          </cell>
          <cell r="C62">
            <v>286</v>
          </cell>
        </row>
        <row r="63">
          <cell r="A63" t="str">
            <v>F</v>
          </cell>
          <cell r="B63" t="str">
            <v>Pozostałe koszty (F1+...+F4)</v>
          </cell>
          <cell r="C63">
            <v>5800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3300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2500</v>
          </cell>
        </row>
        <row r="68">
          <cell r="A68" t="str">
            <v>H</v>
          </cell>
          <cell r="B68" t="str">
            <v>Koszty finansowe</v>
          </cell>
          <cell r="C68">
            <v>400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la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374000</v>
          </cell>
        </row>
        <row r="9">
          <cell r="A9" t="str">
            <v>B2.2</v>
          </cell>
          <cell r="B9" t="str">
            <v>ambulatoryjna opieka specjalistyczna</v>
          </cell>
          <cell r="C9">
            <v>151244</v>
          </cell>
        </row>
        <row r="10">
          <cell r="A10" t="str">
            <v>B2.3</v>
          </cell>
          <cell r="B10" t="str">
            <v>leczenie szpitalne, w tym:</v>
          </cell>
          <cell r="C10">
            <v>1318809</v>
          </cell>
        </row>
        <row r="11">
          <cell r="A11" t="str">
            <v>B2.3.1</v>
          </cell>
          <cell r="B11" t="str">
            <v>programy lekowe, w tym:</v>
          </cell>
          <cell r="C11">
            <v>106968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97257</v>
          </cell>
        </row>
        <row r="13">
          <cell r="A13" t="str">
            <v>B2.3.2</v>
          </cell>
          <cell r="B13" t="str">
            <v>chemioterapia, w tym:</v>
          </cell>
          <cell r="C13">
            <v>40232</v>
          </cell>
        </row>
        <row r="14">
          <cell r="A14" t="str">
            <v>B2.3.2.1</v>
          </cell>
          <cell r="B14" t="str">
            <v>leki stosowane w chemioterapii</v>
          </cell>
          <cell r="C14">
            <v>22004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74626</v>
          </cell>
        </row>
        <row r="16">
          <cell r="A16" t="str">
            <v>B2.5</v>
          </cell>
          <cell r="B16" t="str">
            <v>rehabilitacja lecznicza</v>
          </cell>
          <cell r="C16">
            <v>65513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40569</v>
          </cell>
        </row>
        <row r="18">
          <cell r="A18" t="str">
            <v>B2.7</v>
          </cell>
          <cell r="B18" t="str">
            <v>opieka paliatywna i hospicyjna</v>
          </cell>
          <cell r="C18">
            <v>23491</v>
          </cell>
        </row>
        <row r="19">
          <cell r="A19" t="str">
            <v>B2.8</v>
          </cell>
          <cell r="B19" t="str">
            <v>leczenie stomatologiczne</v>
          </cell>
          <cell r="C19">
            <v>66162</v>
          </cell>
        </row>
        <row r="20">
          <cell r="A20" t="str">
            <v>B2.9</v>
          </cell>
          <cell r="B20" t="str">
            <v>lecznictwo uzdrowiskowe</v>
          </cell>
          <cell r="C20">
            <v>22440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10900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5527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66666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37100</v>
          </cell>
        </row>
        <row r="25">
          <cell r="A25" t="str">
            <v>B2.14</v>
          </cell>
          <cell r="B25" t="str">
            <v>refundacja, z tego:</v>
          </cell>
          <cell r="C25">
            <v>231400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229100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1650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650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23500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5000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177273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240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200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34337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81484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25619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675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355661</v>
          </cell>
        </row>
        <row r="42">
          <cell r="A42" t="str">
            <v>D</v>
          </cell>
          <cell r="B42" t="str">
            <v>Koszty administracyjne ( D1+...+D8 )</v>
          </cell>
          <cell r="C42">
            <v>17463</v>
          </cell>
        </row>
        <row r="43">
          <cell r="A43" t="str">
            <v>D1</v>
          </cell>
          <cell r="B43" t="str">
            <v>zużycie materiałów i energii</v>
          </cell>
          <cell r="C43">
            <v>752</v>
          </cell>
        </row>
        <row r="44">
          <cell r="A44" t="str">
            <v>D2</v>
          </cell>
          <cell r="B44" t="str">
            <v>usługi obce</v>
          </cell>
          <cell r="C44">
            <v>1547</v>
          </cell>
        </row>
        <row r="45">
          <cell r="A45" t="str">
            <v>D3</v>
          </cell>
          <cell r="B45" t="str">
            <v>podatki i opłaty, z tego:</v>
          </cell>
          <cell r="C45">
            <v>296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19</v>
          </cell>
        </row>
        <row r="47">
          <cell r="A47" t="str">
            <v>D3.1.1</v>
          </cell>
          <cell r="B47" t="str">
            <v>podatek od nieruchomości</v>
          </cell>
          <cell r="C47">
            <v>19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92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179</v>
          </cell>
        </row>
        <row r="52">
          <cell r="A52" t="str">
            <v>D3.6</v>
          </cell>
          <cell r="B52" t="str">
            <v>inne</v>
          </cell>
          <cell r="C52">
            <v>6</v>
          </cell>
        </row>
        <row r="53">
          <cell r="A53" t="str">
            <v>D4</v>
          </cell>
          <cell r="B53" t="str">
            <v>wynagrodzenia, w tym:</v>
          </cell>
          <cell r="C53">
            <v>10760</v>
          </cell>
        </row>
        <row r="54">
          <cell r="A54" t="str">
            <v>D4.1</v>
          </cell>
          <cell r="B54" t="str">
            <v>wynagrodzenia bezosobowe</v>
          </cell>
          <cell r="C54">
            <v>0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2415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1848</v>
          </cell>
        </row>
        <row r="57">
          <cell r="A57" t="str">
            <v>D5.2</v>
          </cell>
          <cell r="B57" t="str">
            <v>składki na Fundusz Pracy</v>
          </cell>
          <cell r="C57">
            <v>264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303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1536</v>
          </cell>
        </row>
        <row r="62">
          <cell r="A62" t="str">
            <v>D8</v>
          </cell>
          <cell r="B62" t="str">
            <v>pozostałe koszty administracyjne</v>
          </cell>
          <cell r="C62">
            <v>157</v>
          </cell>
        </row>
        <row r="63">
          <cell r="A63" t="str">
            <v>F</v>
          </cell>
          <cell r="B63" t="str">
            <v>Pozostałe koszty (F1+...+F4)</v>
          </cell>
          <cell r="C63">
            <v>1008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300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708</v>
          </cell>
        </row>
        <row r="68">
          <cell r="A68" t="str">
            <v>H</v>
          </cell>
          <cell r="B68" t="str">
            <v>Koszty finansowe</v>
          </cell>
          <cell r="C68">
            <v>204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r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782428</v>
          </cell>
        </row>
        <row r="9">
          <cell r="A9" t="str">
            <v>B2.2</v>
          </cell>
          <cell r="B9" t="str">
            <v>ambulatoryjna opieka specjalistyczna</v>
          </cell>
          <cell r="C9">
            <v>332777</v>
          </cell>
        </row>
        <row r="10">
          <cell r="A10" t="str">
            <v>B2.3</v>
          </cell>
          <cell r="B10" t="str">
            <v>leczenie szpitalne, w tym:</v>
          </cell>
          <cell r="C10">
            <v>2416522</v>
          </cell>
        </row>
        <row r="11">
          <cell r="A11" t="str">
            <v>B2.3.1</v>
          </cell>
          <cell r="B11" t="str">
            <v>programy lekowe, w tym:</v>
          </cell>
          <cell r="C11">
            <v>254087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233459</v>
          </cell>
        </row>
        <row r="13">
          <cell r="A13" t="str">
            <v>B2.3.2</v>
          </cell>
          <cell r="B13" t="str">
            <v>chemioterapia, w tym:</v>
          </cell>
          <cell r="C13">
            <v>85039</v>
          </cell>
        </row>
        <row r="14">
          <cell r="A14" t="str">
            <v>B2.3.2.1</v>
          </cell>
          <cell r="B14" t="str">
            <v>leki stosowane w chemioterapii</v>
          </cell>
          <cell r="C14">
            <v>49924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187602</v>
          </cell>
        </row>
        <row r="16">
          <cell r="A16" t="str">
            <v>B2.5</v>
          </cell>
          <cell r="B16" t="str">
            <v>rehabilitacja lecznicza</v>
          </cell>
          <cell r="C16">
            <v>145342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66589</v>
          </cell>
        </row>
        <row r="18">
          <cell r="A18" t="str">
            <v>B2.7</v>
          </cell>
          <cell r="B18" t="str">
            <v>opieka paliatywna i hospicyjna</v>
          </cell>
          <cell r="C18">
            <v>52069</v>
          </cell>
        </row>
        <row r="19">
          <cell r="A19" t="str">
            <v>B2.8</v>
          </cell>
          <cell r="B19" t="str">
            <v>leczenie stomatologiczne</v>
          </cell>
          <cell r="C19">
            <v>114830</v>
          </cell>
        </row>
        <row r="20">
          <cell r="A20" t="str">
            <v>B2.9</v>
          </cell>
          <cell r="B20" t="str">
            <v>lecznictwo uzdrowiskowe</v>
          </cell>
          <cell r="C20">
            <v>38200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27400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13535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129992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70700</v>
          </cell>
        </row>
        <row r="25">
          <cell r="A25" t="str">
            <v>B2.14</v>
          </cell>
          <cell r="B25" t="str">
            <v>refundacja, z tego:</v>
          </cell>
          <cell r="C25">
            <v>600000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598100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1000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900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2744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2744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317063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4223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50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17388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124043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50313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1314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886127</v>
          </cell>
        </row>
        <row r="42">
          <cell r="A42" t="str">
            <v>D</v>
          </cell>
          <cell r="B42" t="str">
            <v>Koszty administracyjne ( D1+...+D8 )</v>
          </cell>
          <cell r="C42">
            <v>35120</v>
          </cell>
        </row>
        <row r="43">
          <cell r="A43" t="str">
            <v>D1</v>
          </cell>
          <cell r="B43" t="str">
            <v>zużycie materiałów i energii</v>
          </cell>
          <cell r="C43">
            <v>1613</v>
          </cell>
        </row>
        <row r="44">
          <cell r="A44" t="str">
            <v>D2</v>
          </cell>
          <cell r="B44" t="str">
            <v>usługi obce</v>
          </cell>
          <cell r="C44">
            <v>3631</v>
          </cell>
        </row>
        <row r="45">
          <cell r="A45" t="str">
            <v>D3</v>
          </cell>
          <cell r="B45" t="str">
            <v>podatki i opłaty, z tego:</v>
          </cell>
          <cell r="C45">
            <v>162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53</v>
          </cell>
        </row>
        <row r="47">
          <cell r="A47" t="str">
            <v>D3.1.1</v>
          </cell>
          <cell r="B47" t="str">
            <v>podatek od nieruchomości</v>
          </cell>
          <cell r="C47">
            <v>53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41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47</v>
          </cell>
        </row>
        <row r="52">
          <cell r="A52" t="str">
            <v>D3.6</v>
          </cell>
          <cell r="B52" t="str">
            <v>inne</v>
          </cell>
          <cell r="C52">
            <v>21</v>
          </cell>
        </row>
        <row r="53">
          <cell r="A53" t="str">
            <v>D4</v>
          </cell>
          <cell r="B53" t="str">
            <v>wynagrodzenia, w tym:</v>
          </cell>
          <cell r="C53">
            <v>21418</v>
          </cell>
        </row>
        <row r="54">
          <cell r="A54" t="str">
            <v>D4.1</v>
          </cell>
          <cell r="B54" t="str">
            <v>wynagrodzenia bezosobowe</v>
          </cell>
          <cell r="C54">
            <v>100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4800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3679</v>
          </cell>
        </row>
        <row r="57">
          <cell r="A57" t="str">
            <v>D5.2</v>
          </cell>
          <cell r="B57" t="str">
            <v>składki na Fundusz Pracy</v>
          </cell>
          <cell r="C57">
            <v>526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595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3212</v>
          </cell>
        </row>
        <row r="62">
          <cell r="A62" t="str">
            <v>D8</v>
          </cell>
          <cell r="B62" t="str">
            <v>pozostałe koszty administracyjne</v>
          </cell>
          <cell r="C62">
            <v>284</v>
          </cell>
        </row>
        <row r="63">
          <cell r="A63" t="str">
            <v>F</v>
          </cell>
          <cell r="B63" t="str">
            <v>Pozostałe koszty (F1+...+F4)</v>
          </cell>
          <cell r="C63">
            <v>2310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51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957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1302</v>
          </cell>
        </row>
        <row r="68">
          <cell r="A68" t="str">
            <v>H</v>
          </cell>
          <cell r="B68" t="str">
            <v>Koszty finansowe</v>
          </cell>
          <cell r="C68">
            <v>1000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Ślą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1414997</v>
          </cell>
        </row>
        <row r="9">
          <cell r="A9" t="str">
            <v>B2.2</v>
          </cell>
          <cell r="B9" t="str">
            <v>ambulatoryjna opieka specjalistyczna</v>
          </cell>
          <cell r="C9">
            <v>771752</v>
          </cell>
        </row>
        <row r="10">
          <cell r="A10" t="str">
            <v>B2.3</v>
          </cell>
          <cell r="B10" t="str">
            <v>leczenie szpitalne, w tym:</v>
          </cell>
          <cell r="C10">
            <v>5205228</v>
          </cell>
        </row>
        <row r="11">
          <cell r="A11" t="str">
            <v>B2.3.1</v>
          </cell>
          <cell r="B11" t="str">
            <v>programy lekowe, w tym:</v>
          </cell>
          <cell r="C11">
            <v>528668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474430</v>
          </cell>
        </row>
        <row r="13">
          <cell r="A13" t="str">
            <v>B2.3.2</v>
          </cell>
          <cell r="B13" t="str">
            <v>chemioterapia, w tym:</v>
          </cell>
          <cell r="C13">
            <v>173438</v>
          </cell>
        </row>
        <row r="14">
          <cell r="A14" t="str">
            <v>B2.3.2.1</v>
          </cell>
          <cell r="B14" t="str">
            <v>leki stosowane w chemioterapii</v>
          </cell>
          <cell r="C14">
            <v>75150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372971</v>
          </cell>
        </row>
        <row r="16">
          <cell r="A16" t="str">
            <v>B2.5</v>
          </cell>
          <cell r="B16" t="str">
            <v>rehabilitacja lecznicza</v>
          </cell>
          <cell r="C16">
            <v>355037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299580</v>
          </cell>
        </row>
        <row r="18">
          <cell r="A18" t="str">
            <v>B2.7</v>
          </cell>
          <cell r="B18" t="str">
            <v>opieka paliatywna i hospicyjna</v>
          </cell>
          <cell r="C18">
            <v>92683</v>
          </cell>
        </row>
        <row r="19">
          <cell r="A19" t="str">
            <v>B2.8</v>
          </cell>
          <cell r="B19" t="str">
            <v>leczenie stomatologiczne</v>
          </cell>
          <cell r="C19">
            <v>196815</v>
          </cell>
        </row>
        <row r="20">
          <cell r="A20" t="str">
            <v>B2.9</v>
          </cell>
          <cell r="B20" t="str">
            <v>lecznictwo uzdrowiskowe</v>
          </cell>
          <cell r="C20">
            <v>99002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35561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31982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268570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173250</v>
          </cell>
        </row>
        <row r="25">
          <cell r="A25" t="str">
            <v>B2.14</v>
          </cell>
          <cell r="B25" t="str">
            <v>refundacja, z tego:</v>
          </cell>
          <cell r="C25">
            <v>1010262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1002990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6157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1115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108074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431816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30000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3000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36083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231568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107366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2694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1559842</v>
          </cell>
        </row>
        <row r="42">
          <cell r="A42" t="str">
            <v>D</v>
          </cell>
          <cell r="B42" t="str">
            <v>Koszty administracyjne ( D1+...+D8 )</v>
          </cell>
          <cell r="C42">
            <v>70569</v>
          </cell>
        </row>
        <row r="43">
          <cell r="A43" t="str">
            <v>D1</v>
          </cell>
          <cell r="B43" t="str">
            <v>zużycie materiałów i energii</v>
          </cell>
          <cell r="C43">
            <v>2711</v>
          </cell>
        </row>
        <row r="44">
          <cell r="A44" t="str">
            <v>D2</v>
          </cell>
          <cell r="B44" t="str">
            <v>usługi obce</v>
          </cell>
          <cell r="C44">
            <v>10437</v>
          </cell>
        </row>
        <row r="45">
          <cell r="A45" t="str">
            <v>D3</v>
          </cell>
          <cell r="B45" t="str">
            <v>podatki i opłaty, z tego:</v>
          </cell>
          <cell r="C45">
            <v>498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130</v>
          </cell>
        </row>
        <row r="47">
          <cell r="A47" t="str">
            <v>D3.1.1</v>
          </cell>
          <cell r="B47" t="str">
            <v>podatek od nieruchomości</v>
          </cell>
          <cell r="C47">
            <v>130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10</v>
          </cell>
        </row>
        <row r="49">
          <cell r="A49" t="str">
            <v>D3.3</v>
          </cell>
          <cell r="B49" t="str">
            <v>VAT</v>
          </cell>
          <cell r="C49">
            <v>7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325</v>
          </cell>
        </row>
        <row r="52">
          <cell r="A52" t="str">
            <v>D3.6</v>
          </cell>
          <cell r="B52" t="str">
            <v>inne</v>
          </cell>
          <cell r="C52">
            <v>26</v>
          </cell>
        </row>
        <row r="53">
          <cell r="A53" t="str">
            <v>D4</v>
          </cell>
          <cell r="B53" t="str">
            <v>wynagrodzenia, w tym:</v>
          </cell>
          <cell r="C53">
            <v>41845</v>
          </cell>
        </row>
        <row r="54">
          <cell r="A54" t="str">
            <v>D4.1</v>
          </cell>
          <cell r="B54" t="str">
            <v>wynagrodzenia bezosobowe</v>
          </cell>
          <cell r="C54">
            <v>250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9354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7181</v>
          </cell>
        </row>
        <row r="57">
          <cell r="A57" t="str">
            <v>D5.2</v>
          </cell>
          <cell r="B57" t="str">
            <v>składki na Fundusz Pracy</v>
          </cell>
          <cell r="C57">
            <v>1025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1148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5400</v>
          </cell>
        </row>
        <row r="62">
          <cell r="A62" t="str">
            <v>D8</v>
          </cell>
          <cell r="B62" t="str">
            <v>pozostałe koszty administracyjne</v>
          </cell>
          <cell r="C62">
            <v>324</v>
          </cell>
        </row>
        <row r="63">
          <cell r="A63" t="str">
            <v>F</v>
          </cell>
          <cell r="B63" t="str">
            <v>Pozostałe koszty (F1+...+F4)</v>
          </cell>
          <cell r="C63">
            <v>2314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250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726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1338</v>
          </cell>
        </row>
        <row r="68">
          <cell r="A68" t="str">
            <v>H</v>
          </cell>
          <cell r="B68" t="str">
            <v>Koszty finansowe</v>
          </cell>
          <cell r="C68">
            <v>460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Świętokrzy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360000</v>
          </cell>
        </row>
        <row r="9">
          <cell r="A9" t="str">
            <v>B2.2</v>
          </cell>
          <cell r="B9" t="str">
            <v>ambulatoryjna opieka specjalistyczna</v>
          </cell>
          <cell r="C9">
            <v>158475</v>
          </cell>
        </row>
        <row r="10">
          <cell r="A10" t="str">
            <v>B2.3</v>
          </cell>
          <cell r="B10" t="str">
            <v>leczenie szpitalne, w tym:</v>
          </cell>
          <cell r="C10">
            <v>1346908</v>
          </cell>
        </row>
        <row r="11">
          <cell r="A11" t="str">
            <v>B2.3.1</v>
          </cell>
          <cell r="B11" t="str">
            <v>programy lekowe, w tym:</v>
          </cell>
          <cell r="C11">
            <v>104335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91469</v>
          </cell>
        </row>
        <row r="13">
          <cell r="A13" t="str">
            <v>B2.3.2</v>
          </cell>
          <cell r="B13" t="str">
            <v>chemioterapia, w tym:</v>
          </cell>
          <cell r="C13">
            <v>50519</v>
          </cell>
        </row>
        <row r="14">
          <cell r="A14" t="str">
            <v>B2.3.2.1</v>
          </cell>
          <cell r="B14" t="str">
            <v>leki stosowane w chemioterapii</v>
          </cell>
          <cell r="C14">
            <v>22996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91439</v>
          </cell>
        </row>
        <row r="16">
          <cell r="A16" t="str">
            <v>B2.5</v>
          </cell>
          <cell r="B16" t="str">
            <v>rehabilitacja lecznicza</v>
          </cell>
          <cell r="C16">
            <v>92144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68383</v>
          </cell>
        </row>
        <row r="18">
          <cell r="A18" t="str">
            <v>B2.7</v>
          </cell>
          <cell r="B18" t="str">
            <v>opieka paliatywna i hospicyjna</v>
          </cell>
          <cell r="C18">
            <v>31771</v>
          </cell>
        </row>
        <row r="19">
          <cell r="A19" t="str">
            <v>B2.8</v>
          </cell>
          <cell r="B19" t="str">
            <v>leczenie stomatologiczne</v>
          </cell>
          <cell r="C19">
            <v>66599</v>
          </cell>
        </row>
        <row r="20">
          <cell r="A20" t="str">
            <v>B2.9</v>
          </cell>
          <cell r="B20" t="str">
            <v>lecznictwo uzdrowiskowe</v>
          </cell>
          <cell r="C20">
            <v>31682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9649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5988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60986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41000</v>
          </cell>
        </row>
        <row r="25">
          <cell r="A25" t="str">
            <v>B2.14</v>
          </cell>
          <cell r="B25" t="str">
            <v>refundacja, z tego:</v>
          </cell>
          <cell r="C25">
            <v>271300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270410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590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300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10018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4000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296785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33825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529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12900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66411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28551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744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389765</v>
          </cell>
        </row>
        <row r="42">
          <cell r="A42" t="str">
            <v>D</v>
          </cell>
          <cell r="B42" t="str">
            <v>Koszty administracyjne ( D1+...+D8 )</v>
          </cell>
          <cell r="C42">
            <v>19869</v>
          </cell>
        </row>
        <row r="43">
          <cell r="A43" t="str">
            <v>D1</v>
          </cell>
          <cell r="B43" t="str">
            <v>zużycie materiałów i energii</v>
          </cell>
          <cell r="C43">
            <v>663</v>
          </cell>
        </row>
        <row r="44">
          <cell r="A44" t="str">
            <v>D2</v>
          </cell>
          <cell r="B44" t="str">
            <v>usługi obce</v>
          </cell>
          <cell r="C44">
            <v>2555</v>
          </cell>
        </row>
        <row r="45">
          <cell r="A45" t="str">
            <v>D3</v>
          </cell>
          <cell r="B45" t="str">
            <v>podatki i opłaty, z tego:</v>
          </cell>
          <cell r="C45">
            <v>62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7</v>
          </cell>
        </row>
        <row r="47">
          <cell r="A47" t="str">
            <v>D3.1.1</v>
          </cell>
          <cell r="B47" t="str">
            <v>podatek od nieruchomości</v>
          </cell>
          <cell r="C47">
            <v>7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17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10</v>
          </cell>
        </row>
        <row r="52">
          <cell r="A52" t="str">
            <v>D3.6</v>
          </cell>
          <cell r="B52" t="str">
            <v>inne</v>
          </cell>
          <cell r="C52">
            <v>28</v>
          </cell>
        </row>
        <row r="53">
          <cell r="A53" t="str">
            <v>D4</v>
          </cell>
          <cell r="B53" t="str">
            <v>wynagrodzenia, w tym:</v>
          </cell>
          <cell r="C53">
            <v>11936</v>
          </cell>
        </row>
        <row r="54">
          <cell r="A54" t="str">
            <v>D4.1</v>
          </cell>
          <cell r="B54" t="str">
            <v>wynagrodzenia bezosobowe</v>
          </cell>
          <cell r="C54">
            <v>40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2677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2052</v>
          </cell>
        </row>
        <row r="57">
          <cell r="A57" t="str">
            <v>D5.2</v>
          </cell>
          <cell r="B57" t="str">
            <v>składki na Fundusz Pracy</v>
          </cell>
          <cell r="C57">
            <v>293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332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1782</v>
          </cell>
        </row>
        <row r="62">
          <cell r="A62" t="str">
            <v>D8</v>
          </cell>
          <cell r="B62" t="str">
            <v>pozostałe koszty administracyjne</v>
          </cell>
          <cell r="C62">
            <v>194</v>
          </cell>
        </row>
        <row r="63">
          <cell r="A63" t="str">
            <v>F</v>
          </cell>
          <cell r="B63" t="str">
            <v>Pozostałe koszty (F1+...+F4)</v>
          </cell>
          <cell r="C63">
            <v>22583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22078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505</v>
          </cell>
        </row>
        <row r="68">
          <cell r="A68" t="str">
            <v>H</v>
          </cell>
          <cell r="B68" t="str">
            <v>Koszty finansowe</v>
          </cell>
          <cell r="C68">
            <v>1712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mińsko-Mazur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443606.00000000006</v>
          </cell>
        </row>
        <row r="9">
          <cell r="A9" t="str">
            <v>B2.2</v>
          </cell>
          <cell r="B9" t="str">
            <v>ambulatoryjna opieka specjalistyczna</v>
          </cell>
          <cell r="C9">
            <v>170906</v>
          </cell>
        </row>
        <row r="10">
          <cell r="A10" t="str">
            <v>B2.3</v>
          </cell>
          <cell r="B10" t="str">
            <v>leczenie szpitalne, w tym:</v>
          </cell>
          <cell r="C10">
            <v>1353787</v>
          </cell>
        </row>
        <row r="11">
          <cell r="A11" t="str">
            <v>B2.3.1</v>
          </cell>
          <cell r="B11" t="str">
            <v>programy lekowe, w tym:</v>
          </cell>
          <cell r="C11">
            <v>99509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86891</v>
          </cell>
        </row>
        <row r="13">
          <cell r="A13" t="str">
            <v>B2.3.2</v>
          </cell>
          <cell r="B13" t="str">
            <v>chemioterapia, w tym:</v>
          </cell>
          <cell r="C13">
            <v>39318</v>
          </cell>
        </row>
        <row r="14">
          <cell r="A14" t="str">
            <v>B2.3.2.1</v>
          </cell>
          <cell r="B14" t="str">
            <v>leki stosowane w chemioterapii</v>
          </cell>
          <cell r="C14">
            <v>16928.999999999996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91413</v>
          </cell>
        </row>
        <row r="16">
          <cell r="A16" t="str">
            <v>B2.5</v>
          </cell>
          <cell r="B16" t="str">
            <v>rehabilitacja lecznicza</v>
          </cell>
          <cell r="C16">
            <v>95600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57662.999999999993</v>
          </cell>
        </row>
        <row r="18">
          <cell r="A18" t="str">
            <v>B2.7</v>
          </cell>
          <cell r="B18" t="str">
            <v>opieka paliatywna i hospicyjna</v>
          </cell>
          <cell r="C18">
            <v>27268</v>
          </cell>
        </row>
        <row r="19">
          <cell r="A19" t="str">
            <v>B2.8</v>
          </cell>
          <cell r="B19" t="str">
            <v>leczenie stomatologiczne</v>
          </cell>
          <cell r="C19">
            <v>80130</v>
          </cell>
        </row>
        <row r="20">
          <cell r="A20" t="str">
            <v>B2.9</v>
          </cell>
          <cell r="B20" t="str">
            <v>lecznictwo uzdrowiskowe</v>
          </cell>
          <cell r="C20">
            <v>26358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12169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6431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67155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46777</v>
          </cell>
        </row>
        <row r="25">
          <cell r="A25" t="str">
            <v>B2.14</v>
          </cell>
          <cell r="B25" t="str">
            <v>refundacja, z tego:</v>
          </cell>
          <cell r="C25">
            <v>288622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287952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520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150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35912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50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320141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500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12894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109666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28806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780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392492</v>
          </cell>
        </row>
        <row r="42">
          <cell r="A42" t="str">
            <v>D</v>
          </cell>
          <cell r="B42" t="str">
            <v>Koszty administracyjne ( D1+...+D8 )</v>
          </cell>
          <cell r="C42">
            <v>22527</v>
          </cell>
        </row>
        <row r="43">
          <cell r="A43" t="str">
            <v>D1</v>
          </cell>
          <cell r="B43" t="str">
            <v>zużycie materiałów i energii</v>
          </cell>
          <cell r="C43">
            <v>827</v>
          </cell>
        </row>
        <row r="44">
          <cell r="A44" t="str">
            <v>D2</v>
          </cell>
          <cell r="B44" t="str">
            <v>usługi obce</v>
          </cell>
          <cell r="C44">
            <v>3334</v>
          </cell>
        </row>
        <row r="45">
          <cell r="A45" t="str">
            <v>D3</v>
          </cell>
          <cell r="B45" t="str">
            <v>podatki i opłaty, z tego:</v>
          </cell>
          <cell r="C45">
            <v>169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33</v>
          </cell>
        </row>
        <row r="47">
          <cell r="A47" t="str">
            <v>D3.1.1</v>
          </cell>
          <cell r="B47" t="str">
            <v>podatek od nieruchomości</v>
          </cell>
          <cell r="C47">
            <v>30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13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120</v>
          </cell>
        </row>
        <row r="52">
          <cell r="A52" t="str">
            <v>D3.6</v>
          </cell>
          <cell r="B52" t="str">
            <v>inne</v>
          </cell>
          <cell r="C52">
            <v>3</v>
          </cell>
        </row>
        <row r="53">
          <cell r="A53" t="str">
            <v>D4</v>
          </cell>
          <cell r="B53" t="str">
            <v>wynagrodzenia, w tym:</v>
          </cell>
          <cell r="C53">
            <v>12964</v>
          </cell>
        </row>
        <row r="54">
          <cell r="A54" t="str">
            <v>D4.1</v>
          </cell>
          <cell r="B54" t="str">
            <v>wynagrodzenia bezosobowe</v>
          </cell>
          <cell r="C54">
            <v>0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2894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2226</v>
          </cell>
        </row>
        <row r="57">
          <cell r="A57" t="str">
            <v>D5.2</v>
          </cell>
          <cell r="B57" t="str">
            <v>składki na Fundusz Pracy</v>
          </cell>
          <cell r="C57">
            <v>318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350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2162</v>
          </cell>
        </row>
        <row r="62">
          <cell r="A62" t="str">
            <v>D8</v>
          </cell>
          <cell r="B62" t="str">
            <v>pozostałe koszty administracyjne</v>
          </cell>
          <cell r="C62">
            <v>177</v>
          </cell>
        </row>
        <row r="63">
          <cell r="A63" t="str">
            <v>F</v>
          </cell>
          <cell r="B63" t="str">
            <v>Pozostałe koszty (F1+...+F4)</v>
          </cell>
          <cell r="C63">
            <v>825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0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825</v>
          </cell>
        </row>
        <row r="68">
          <cell r="A68" t="str">
            <v>H</v>
          </cell>
          <cell r="B68" t="str">
            <v>Koszty finansowe</v>
          </cell>
          <cell r="C68">
            <v>45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elkopol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1144931</v>
          </cell>
        </row>
        <row r="9">
          <cell r="A9" t="str">
            <v>B2.2</v>
          </cell>
          <cell r="B9" t="str">
            <v>ambulatoryjna opieka specjalistyczna</v>
          </cell>
          <cell r="C9">
            <v>508968</v>
          </cell>
        </row>
        <row r="10">
          <cell r="A10" t="str">
            <v>B2.3</v>
          </cell>
          <cell r="B10" t="str">
            <v>leczenie szpitalne, w tym:</v>
          </cell>
          <cell r="C10">
            <v>3873765</v>
          </cell>
        </row>
        <row r="11">
          <cell r="A11" t="str">
            <v>B2.3.1</v>
          </cell>
          <cell r="B11" t="str">
            <v>programy lekowe, w tym:</v>
          </cell>
          <cell r="C11">
            <v>399916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366443</v>
          </cell>
        </row>
        <row r="13">
          <cell r="A13" t="str">
            <v>B2.3.2</v>
          </cell>
          <cell r="B13" t="str">
            <v>chemioterapia, w tym:</v>
          </cell>
          <cell r="C13">
            <v>140193</v>
          </cell>
        </row>
        <row r="14">
          <cell r="A14" t="str">
            <v>B2.3.2.1</v>
          </cell>
          <cell r="B14" t="str">
            <v>leki stosowane w chemioterapii</v>
          </cell>
          <cell r="C14">
            <v>68413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245616</v>
          </cell>
        </row>
        <row r="16">
          <cell r="A16" t="str">
            <v>B2.5</v>
          </cell>
          <cell r="B16" t="str">
            <v>rehabilitacja lecznicza</v>
          </cell>
          <cell r="C16">
            <v>234217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111173</v>
          </cell>
        </row>
        <row r="18">
          <cell r="A18" t="str">
            <v>B2.7</v>
          </cell>
          <cell r="B18" t="str">
            <v>opieka paliatywna i hospicyjna</v>
          </cell>
          <cell r="C18">
            <v>75121</v>
          </cell>
        </row>
        <row r="19">
          <cell r="A19" t="str">
            <v>B2.8</v>
          </cell>
          <cell r="B19" t="str">
            <v>leczenie stomatologiczne</v>
          </cell>
          <cell r="C19">
            <v>154734</v>
          </cell>
        </row>
        <row r="20">
          <cell r="A20" t="str">
            <v>B2.9</v>
          </cell>
          <cell r="B20" t="str">
            <v>lecznictwo uzdrowiskowe</v>
          </cell>
          <cell r="C20">
            <v>80000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21019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21264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209656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125995</v>
          </cell>
        </row>
        <row r="25">
          <cell r="A25" t="str">
            <v>B2.14</v>
          </cell>
          <cell r="B25" t="str">
            <v>refundacja, z tego:</v>
          </cell>
          <cell r="C25">
            <v>796004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792004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2000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2000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55696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454123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30000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5000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15900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171054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67586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2024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1230860</v>
          </cell>
        </row>
        <row r="42">
          <cell r="A42" t="str">
            <v>D</v>
          </cell>
          <cell r="B42" t="str">
            <v>Koszty administracyjne ( D1+...+D8 )</v>
          </cell>
          <cell r="C42">
            <v>46767</v>
          </cell>
        </row>
        <row r="43">
          <cell r="A43" t="str">
            <v>D1</v>
          </cell>
          <cell r="B43" t="str">
            <v>zużycie materiałów i energii</v>
          </cell>
          <cell r="C43">
            <v>2637</v>
          </cell>
        </row>
        <row r="44">
          <cell r="A44" t="str">
            <v>D2</v>
          </cell>
          <cell r="B44" t="str">
            <v>usługi obce</v>
          </cell>
          <cell r="C44">
            <v>9469</v>
          </cell>
        </row>
        <row r="45">
          <cell r="A45" t="str">
            <v>D3</v>
          </cell>
          <cell r="B45" t="str">
            <v>podatki i opłaty, z tego:</v>
          </cell>
          <cell r="C45">
            <v>594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55</v>
          </cell>
        </row>
        <row r="47">
          <cell r="A47" t="str">
            <v>D3.1.1</v>
          </cell>
          <cell r="B47" t="str">
            <v>podatek od nieruchomości</v>
          </cell>
          <cell r="C47">
            <v>55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258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275</v>
          </cell>
        </row>
        <row r="52">
          <cell r="A52" t="str">
            <v>D3.6</v>
          </cell>
          <cell r="B52" t="str">
            <v>inne</v>
          </cell>
          <cell r="C52">
            <v>6</v>
          </cell>
        </row>
        <row r="53">
          <cell r="A53" t="str">
            <v>D4</v>
          </cell>
          <cell r="B53" t="str">
            <v>wynagrodzenia, w tym:</v>
          </cell>
          <cell r="C53">
            <v>24637</v>
          </cell>
        </row>
        <row r="54">
          <cell r="A54" t="str">
            <v>D4.1</v>
          </cell>
          <cell r="B54" t="str">
            <v>wynagrodzenia bezosobowe</v>
          </cell>
          <cell r="C54">
            <v>123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5513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4233</v>
          </cell>
        </row>
        <row r="57">
          <cell r="A57" t="str">
            <v>D5.2</v>
          </cell>
          <cell r="B57" t="str">
            <v>składki na Fundusz Pracy</v>
          </cell>
          <cell r="C57">
            <v>604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676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3519</v>
          </cell>
        </row>
        <row r="62">
          <cell r="A62" t="str">
            <v>D8</v>
          </cell>
          <cell r="B62" t="str">
            <v>pozostałe koszty administracyjne</v>
          </cell>
          <cell r="C62">
            <v>398</v>
          </cell>
        </row>
        <row r="63">
          <cell r="A63" t="str">
            <v>F</v>
          </cell>
          <cell r="B63" t="str">
            <v>Pozostałe koszty (F1+...+F4)</v>
          </cell>
          <cell r="C63">
            <v>14350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50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13300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1000</v>
          </cell>
        </row>
        <row r="68">
          <cell r="A68" t="str">
            <v>H</v>
          </cell>
          <cell r="B68" t="str">
            <v>Koszty finansowe</v>
          </cell>
          <cell r="C68">
            <v>950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odniopomor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537605</v>
          </cell>
        </row>
        <row r="9">
          <cell r="A9" t="str">
            <v>B2.2</v>
          </cell>
          <cell r="B9" t="str">
            <v>ambulatoryjna opieka specjalistyczna</v>
          </cell>
          <cell r="C9">
            <v>201988</v>
          </cell>
        </row>
        <row r="10">
          <cell r="A10" t="str">
            <v>B2.3</v>
          </cell>
          <cell r="B10" t="str">
            <v>leczenie szpitalne, w tym:</v>
          </cell>
          <cell r="C10">
            <v>1852318</v>
          </cell>
        </row>
        <row r="11">
          <cell r="A11" t="str">
            <v>B2.3.1</v>
          </cell>
          <cell r="B11" t="str">
            <v>programy lekowe, w tym:</v>
          </cell>
          <cell r="C11">
            <v>142632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128526</v>
          </cell>
        </row>
        <row r="13">
          <cell r="A13" t="str">
            <v>B2.3.2</v>
          </cell>
          <cell r="B13" t="str">
            <v>chemioterapia, w tym:</v>
          </cell>
          <cell r="C13">
            <v>60917</v>
          </cell>
        </row>
        <row r="14">
          <cell r="A14" t="str">
            <v>B2.3.2.1</v>
          </cell>
          <cell r="B14" t="str">
            <v>leki stosowane w chemioterapii</v>
          </cell>
          <cell r="C14">
            <v>26978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98100</v>
          </cell>
        </row>
        <row r="16">
          <cell r="A16" t="str">
            <v>B2.5</v>
          </cell>
          <cell r="B16" t="str">
            <v>rehabilitacja lecznicza</v>
          </cell>
          <cell r="C16">
            <v>115366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61440</v>
          </cell>
        </row>
        <row r="18">
          <cell r="A18" t="str">
            <v>B2.7</v>
          </cell>
          <cell r="B18" t="str">
            <v>opieka paliatywna i hospicyjna</v>
          </cell>
          <cell r="C18">
            <v>22876</v>
          </cell>
        </row>
        <row r="19">
          <cell r="A19" t="str">
            <v>B2.8</v>
          </cell>
          <cell r="B19" t="str">
            <v>leczenie stomatologiczne</v>
          </cell>
          <cell r="C19">
            <v>89870</v>
          </cell>
        </row>
        <row r="20">
          <cell r="A20" t="str">
            <v>B2.9</v>
          </cell>
          <cell r="B20" t="str">
            <v>lecznictwo uzdrowiskowe</v>
          </cell>
          <cell r="C20">
            <v>34347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2690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11238</v>
          </cell>
        </row>
        <row r="23">
          <cell r="A23" t="str">
            <v>B2.12</v>
          </cell>
          <cell r="B23" t="str">
            <v>świadczenia opieki zdrowotnej kontraktowane odrębnie</v>
          </cell>
          <cell r="C23">
            <v>157390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57680</v>
          </cell>
        </row>
        <row r="25">
          <cell r="A25" t="str">
            <v>B2.14</v>
          </cell>
          <cell r="B25" t="str">
            <v>refundacja, z tego:</v>
          </cell>
          <cell r="C25">
            <v>376916</v>
          </cell>
        </row>
        <row r="26">
          <cell r="A26" t="str">
            <v>B2.14.1</v>
          </cell>
          <cell r="B26" t="str">
            <v>refundacja leków, środków spożywczych specjalnego przeznaczenia żywieniowego oraz wyrobów medycznych dostępnych w aptece na receptę</v>
          </cell>
          <cell r="C26">
            <v>376266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250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400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opieki zdrowotnej oraz refundacji leków, w tym:</v>
          </cell>
          <cell r="C30">
            <v>30572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0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254086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1500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12987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116491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34893</v>
          </cell>
        </row>
        <row r="40">
          <cell r="A40" t="str">
            <v>B6</v>
          </cell>
          <cell r="B40" t="str">
            <v>Koszty zadania, o którym mowa w art. 97 ust. 3 pkt 4c ustawy</v>
          </cell>
          <cell r="C40">
            <v>968</v>
          </cell>
        </row>
        <row r="41">
          <cell r="A41" t="str">
            <v>Bn</v>
          </cell>
          <cell r="B41" t="str">
            <v>Całkowity budżet na refundację
(B2.3.1.1+B2.3.2.1+B2.14+B2.16.1)</v>
          </cell>
          <cell r="C41">
            <v>532420</v>
          </cell>
        </row>
        <row r="42">
          <cell r="A42" t="str">
            <v>D</v>
          </cell>
          <cell r="B42" t="str">
            <v>Koszty administracyjne ( D1+...+D8 )</v>
          </cell>
          <cell r="C42">
            <v>25470</v>
          </cell>
        </row>
        <row r="43">
          <cell r="A43" t="str">
            <v>D1</v>
          </cell>
          <cell r="B43" t="str">
            <v>zużycie materiałów i energii</v>
          </cell>
          <cell r="C43">
            <v>869</v>
          </cell>
        </row>
        <row r="44">
          <cell r="A44" t="str">
            <v>D2</v>
          </cell>
          <cell r="B44" t="str">
            <v>usługi obce</v>
          </cell>
          <cell r="C44">
            <v>3056</v>
          </cell>
        </row>
        <row r="45">
          <cell r="A45" t="str">
            <v>D3</v>
          </cell>
          <cell r="B45" t="str">
            <v>podatki i opłaty, z tego</v>
          </cell>
          <cell r="C45">
            <v>302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28</v>
          </cell>
        </row>
        <row r="47">
          <cell r="A47" t="str">
            <v>D3.1.1</v>
          </cell>
          <cell r="B47" t="str">
            <v>podatek od nieruchomości</v>
          </cell>
          <cell r="C47">
            <v>28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26</v>
          </cell>
        </row>
        <row r="49">
          <cell r="A49" t="str">
            <v>D3.3</v>
          </cell>
          <cell r="B49" t="str">
            <v>VAT</v>
          </cell>
          <cell r="C49">
            <v>0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205</v>
          </cell>
        </row>
        <row r="52">
          <cell r="A52" t="str">
            <v>D3.6</v>
          </cell>
          <cell r="B52" t="str">
            <v>inne</v>
          </cell>
          <cell r="C52">
            <v>43</v>
          </cell>
        </row>
        <row r="53">
          <cell r="A53" t="str">
            <v>D4</v>
          </cell>
          <cell r="B53" t="str">
            <v>wynagrodzenia, w tym:</v>
          </cell>
          <cell r="C53">
            <v>15156</v>
          </cell>
        </row>
        <row r="54">
          <cell r="A54" t="str">
            <v>D4.1</v>
          </cell>
          <cell r="B54" t="str">
            <v>wynagrodzenia bezosobowe</v>
          </cell>
          <cell r="C54">
            <v>50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3393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2601</v>
          </cell>
        </row>
        <row r="57">
          <cell r="A57" t="str">
            <v>D5.2</v>
          </cell>
          <cell r="B57" t="str">
            <v>składki na Fundusz Pracy</v>
          </cell>
          <cell r="C57">
            <v>371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421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2537</v>
          </cell>
        </row>
        <row r="62">
          <cell r="A62" t="str">
            <v>D8</v>
          </cell>
          <cell r="B62" t="str">
            <v>pozostałe koszty administracyjne</v>
          </cell>
          <cell r="C62">
            <v>157</v>
          </cell>
        </row>
        <row r="63">
          <cell r="A63" t="str">
            <v>F</v>
          </cell>
          <cell r="B63" t="str">
            <v>Pozostałe koszty (F1+...+F4)</v>
          </cell>
          <cell r="C63">
            <v>581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0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581</v>
          </cell>
        </row>
        <row r="68">
          <cell r="A68" t="str">
            <v>H</v>
          </cell>
          <cell r="B68" t="str">
            <v>Koszty finansowe</v>
          </cell>
          <cell r="C68">
            <v>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US-przypis 2018"/>
      <sheetName val="ZUS"/>
      <sheetName val="progn_RP-1"/>
      <sheetName val="progn_RP"/>
      <sheetName val="progn_RP+1"/>
      <sheetName val="progn_RP+2"/>
      <sheetName val="progn_RP+3"/>
      <sheetName val="progn_RP+4"/>
      <sheetName val="MAKRO_WART"/>
      <sheetName val="progn_suma"/>
      <sheetName val="opis_wsk_L_tyt"/>
      <sheetName val="opis_wsk_przych"/>
      <sheetName val="Prognoza przychodów ze składek "/>
    </sheetNames>
    <sheetDataSet>
      <sheetData sheetId="0"/>
      <sheetData sheetId="1"/>
      <sheetData sheetId="2"/>
      <sheetData sheetId="3"/>
      <sheetData sheetId="4">
        <row r="18">
          <cell r="E18">
            <v>50716371019.68</v>
          </cell>
          <cell r="M18">
            <v>89819705242.980011</v>
          </cell>
          <cell r="Q18">
            <v>3338118166</v>
          </cell>
        </row>
      </sheetData>
      <sheetData sheetId="5"/>
      <sheetData sheetId="6"/>
      <sheetData sheetId="7"/>
      <sheetData sheetId="8">
        <row r="8">
          <cell r="B8" t="str">
            <v>WM01</v>
          </cell>
        </row>
      </sheetData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4">
          <cell r="H4">
            <v>836000</v>
          </cell>
        </row>
        <row r="5">
          <cell r="H5">
            <v>543615</v>
          </cell>
        </row>
        <row r="6">
          <cell r="H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zem NFZ"/>
      <sheetName val="Centrala"/>
      <sheetName val="OW NFZ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D7"/>
      <sheetName val="F1"/>
      <sheetName val="F2"/>
      <sheetName val="F4"/>
      <sheetName val="H"/>
      <sheetName val="Spr sąd I kw 2019"/>
    </sheetNames>
    <sheetDataSet>
      <sheetData sheetId="0">
        <row r="6">
          <cell r="E6">
            <v>411501</v>
          </cell>
        </row>
        <row r="13">
          <cell r="E13">
            <v>39429</v>
          </cell>
        </row>
        <row r="14">
          <cell r="E14">
            <v>7056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wynagr-2020"/>
      <sheetName val="Ub-społ 2020"/>
      <sheetName val="F_wynagr-2019"/>
      <sheetName val="Ustawa kontrolerska-BKiS"/>
      <sheetName val="Koszty administracyjne (2)"/>
      <sheetName val="Tabela 16"/>
      <sheetName val="Tabela 16-old"/>
    </sheetNames>
    <sheetDataSet>
      <sheetData sheetId="0">
        <row r="6">
          <cell r="V6">
            <v>25215</v>
          </cell>
        </row>
        <row r="7">
          <cell r="V7">
            <v>17468</v>
          </cell>
        </row>
        <row r="8">
          <cell r="V8">
            <v>18868</v>
          </cell>
        </row>
        <row r="9">
          <cell r="V9">
            <v>11214</v>
          </cell>
        </row>
        <row r="10">
          <cell r="V10">
            <v>20674</v>
          </cell>
        </row>
        <row r="11">
          <cell r="V11">
            <v>25305</v>
          </cell>
        </row>
        <row r="12">
          <cell r="V12">
            <v>47232</v>
          </cell>
        </row>
        <row r="13">
          <cell r="V13">
            <v>10973</v>
          </cell>
        </row>
        <row r="14">
          <cell r="V14">
            <v>16679</v>
          </cell>
        </row>
        <row r="15">
          <cell r="V15">
            <v>11379</v>
          </cell>
        </row>
        <row r="16">
          <cell r="V16">
            <v>22720</v>
          </cell>
        </row>
        <row r="17">
          <cell r="V17">
            <v>44512</v>
          </cell>
        </row>
        <row r="18">
          <cell r="V18">
            <v>12632</v>
          </cell>
        </row>
        <row r="19">
          <cell r="V19">
            <v>13634</v>
          </cell>
        </row>
        <row r="20">
          <cell r="V20">
            <v>26020</v>
          </cell>
        </row>
        <row r="21">
          <cell r="V21">
            <v>16321</v>
          </cell>
        </row>
        <row r="22">
          <cell r="V22">
            <v>112379</v>
          </cell>
        </row>
      </sheetData>
      <sheetData sheetId="1">
        <row r="6">
          <cell r="I6">
            <v>4327</v>
          </cell>
          <cell r="L6">
            <v>618</v>
          </cell>
          <cell r="P6">
            <v>691</v>
          </cell>
        </row>
        <row r="7">
          <cell r="I7">
            <v>3000</v>
          </cell>
          <cell r="L7">
            <v>428</v>
          </cell>
          <cell r="P7">
            <v>479</v>
          </cell>
        </row>
        <row r="8">
          <cell r="I8">
            <v>3241</v>
          </cell>
          <cell r="L8">
            <v>463</v>
          </cell>
          <cell r="P8">
            <v>514</v>
          </cell>
        </row>
        <row r="9">
          <cell r="I9">
            <v>1925</v>
          </cell>
          <cell r="L9">
            <v>275</v>
          </cell>
          <cell r="P9">
            <v>307</v>
          </cell>
        </row>
        <row r="10">
          <cell r="I10">
            <v>3551</v>
          </cell>
          <cell r="L10">
            <v>507</v>
          </cell>
          <cell r="P10">
            <v>567</v>
          </cell>
        </row>
        <row r="11">
          <cell r="I11">
            <v>4344</v>
          </cell>
          <cell r="L11">
            <v>621</v>
          </cell>
          <cell r="P11">
            <v>702</v>
          </cell>
        </row>
        <row r="12">
          <cell r="I12">
            <v>8110</v>
          </cell>
          <cell r="L12">
            <v>1158</v>
          </cell>
          <cell r="P12">
            <v>1275</v>
          </cell>
        </row>
        <row r="13">
          <cell r="I13">
            <v>1883</v>
          </cell>
          <cell r="L13">
            <v>269</v>
          </cell>
          <cell r="P13">
            <v>301</v>
          </cell>
        </row>
        <row r="14">
          <cell r="I14">
            <v>2864</v>
          </cell>
          <cell r="L14">
            <v>409</v>
          </cell>
          <cell r="P14">
            <v>459</v>
          </cell>
        </row>
        <row r="15">
          <cell r="I15">
            <v>1955</v>
          </cell>
          <cell r="L15">
            <v>279</v>
          </cell>
          <cell r="P15">
            <v>319</v>
          </cell>
        </row>
        <row r="16">
          <cell r="I16">
            <v>3904</v>
          </cell>
          <cell r="L16">
            <v>558</v>
          </cell>
          <cell r="P16">
            <v>628</v>
          </cell>
        </row>
        <row r="17">
          <cell r="I17">
            <v>7640</v>
          </cell>
          <cell r="L17">
            <v>1091</v>
          </cell>
          <cell r="P17">
            <v>1215</v>
          </cell>
        </row>
        <row r="18">
          <cell r="I18">
            <v>2173</v>
          </cell>
          <cell r="L18">
            <v>311</v>
          </cell>
          <cell r="P18">
            <v>350</v>
          </cell>
        </row>
        <row r="19">
          <cell r="I19">
            <v>2342</v>
          </cell>
          <cell r="L19">
            <v>335</v>
          </cell>
          <cell r="P19">
            <v>367</v>
          </cell>
        </row>
        <row r="20">
          <cell r="I20">
            <v>4471</v>
          </cell>
          <cell r="L20">
            <v>638</v>
          </cell>
          <cell r="P20">
            <v>711</v>
          </cell>
        </row>
        <row r="21">
          <cell r="I21">
            <v>2802</v>
          </cell>
          <cell r="L21">
            <v>400</v>
          </cell>
          <cell r="P21">
            <v>451</v>
          </cell>
        </row>
        <row r="22">
          <cell r="I22">
            <v>19304</v>
          </cell>
          <cell r="L22">
            <v>2755</v>
          </cell>
          <cell r="P22">
            <v>4921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nośląski"/>
    </sheetNames>
    <sheetDataSet>
      <sheetData sheetId="0">
        <row r="8">
          <cell r="A8" t="str">
            <v>B2.1</v>
          </cell>
          <cell r="B8" t="str">
            <v>podstawowa opieka zdrowotna</v>
          </cell>
          <cell r="C8">
            <v>966054</v>
          </cell>
        </row>
        <row r="9">
          <cell r="A9" t="str">
            <v>B2.2</v>
          </cell>
          <cell r="B9" t="str">
            <v>ambulatoryjna opieka specjalistyczna</v>
          </cell>
          <cell r="C9">
            <v>396274</v>
          </cell>
        </row>
        <row r="10">
          <cell r="A10" t="str">
            <v>B2.3</v>
          </cell>
          <cell r="B10" t="str">
            <v>leczenie szpitalne, w tym:</v>
          </cell>
          <cell r="C10">
            <v>3237765</v>
          </cell>
        </row>
        <row r="11">
          <cell r="A11" t="str">
            <v>B2.3.1</v>
          </cell>
          <cell r="B11" t="str">
            <v>programy lekowe, w tym:</v>
          </cell>
          <cell r="C11">
            <v>337653</v>
          </cell>
        </row>
        <row r="12">
          <cell r="A12" t="str">
            <v>B2.3.1.1</v>
          </cell>
          <cell r="B12" t="str">
            <v>leki, środki spożywcze specjalnego przeznaczenia żywieniowego objęte programami lekowymi</v>
          </cell>
          <cell r="C12">
            <v>303862</v>
          </cell>
        </row>
        <row r="13">
          <cell r="A13" t="str">
            <v>B2.3.2</v>
          </cell>
          <cell r="B13" t="str">
            <v>chemioterapia, w tym:</v>
          </cell>
          <cell r="C13">
            <v>114471</v>
          </cell>
        </row>
        <row r="14">
          <cell r="A14" t="str">
            <v>B2.3.2.1</v>
          </cell>
          <cell r="B14" t="str">
            <v>leki stosowane w chemioterapii</v>
          </cell>
          <cell r="C14">
            <v>54367</v>
          </cell>
        </row>
        <row r="15">
          <cell r="A15" t="str">
            <v>B2.4</v>
          </cell>
          <cell r="B15" t="str">
            <v>opieka psychiatryczna i leczenie uzależnień</v>
          </cell>
          <cell r="C15">
            <v>232274</v>
          </cell>
        </row>
        <row r="16">
          <cell r="A16" t="str">
            <v>B2.5</v>
          </cell>
          <cell r="B16" t="str">
            <v>rehabilitacja lecznicza</v>
          </cell>
          <cell r="C16">
            <v>223081</v>
          </cell>
        </row>
        <row r="17">
          <cell r="A17" t="str">
            <v>B2.6</v>
          </cell>
          <cell r="B17" t="str">
            <v>świadczenia pielęgnacyjne i opiekuńcze w ramach opieki długoterminowej</v>
          </cell>
          <cell r="C17">
            <v>151688</v>
          </cell>
        </row>
        <row r="18">
          <cell r="A18" t="str">
            <v>B2.7</v>
          </cell>
          <cell r="B18" t="str">
            <v>opieka paliatywna i hospicyjna</v>
          </cell>
          <cell r="C18">
            <v>76617</v>
          </cell>
        </row>
        <row r="19">
          <cell r="A19" t="str">
            <v>B2.8</v>
          </cell>
          <cell r="B19" t="str">
            <v>leczenie stomatologiczne</v>
          </cell>
          <cell r="C19">
            <v>130371</v>
          </cell>
        </row>
        <row r="20">
          <cell r="A20" t="str">
            <v>B2.9</v>
          </cell>
          <cell r="B20" t="str">
            <v>lecznictwo uzdrowiskowe</v>
          </cell>
          <cell r="C20">
            <v>74376</v>
          </cell>
        </row>
        <row r="21">
          <cell r="A21" t="str">
            <v>B2.10</v>
          </cell>
          <cell r="B21" t="str">
            <v>pomoc doraźna i transport sanitarny</v>
          </cell>
          <cell r="C21">
            <v>19662</v>
          </cell>
        </row>
        <row r="22">
          <cell r="A22" t="str">
            <v>B2.11</v>
          </cell>
          <cell r="B22" t="str">
            <v>koszty profilaktycznych programów zdrowotnych finansowanych ze środków własnych Funduszu</v>
          </cell>
          <cell r="C22">
            <v>15768</v>
          </cell>
        </row>
        <row r="23">
          <cell r="A23" t="str">
            <v>B2.12</v>
          </cell>
          <cell r="B23" t="str">
            <v>świadczenia zdrowotne kontraktowane odrębnie</v>
          </cell>
          <cell r="C23">
            <v>152733</v>
          </cell>
        </row>
        <row r="24">
          <cell r="A24" t="str">
            <v>B2.13</v>
          </cell>
          <cell r="B24" t="str">
            <v>zaopatrzenie w wyroby medyczne oraz ich naprawa, o których mowa w ustawie o refundacji</v>
          </cell>
          <cell r="C24">
            <v>97000</v>
          </cell>
        </row>
        <row r="25">
          <cell r="A25" t="str">
            <v>B2.14</v>
          </cell>
          <cell r="B25" t="str">
            <v>refundacja, z tego:</v>
          </cell>
          <cell r="C25">
            <v>638333</v>
          </cell>
        </row>
        <row r="26">
          <cell r="A26" t="str">
            <v>B2.14.1</v>
          </cell>
          <cell r="B26" t="str">
            <v>refundacja leków, środków specjalnego przeznaczenia żywieniowego oraz wyrobów medycznych dostępnych w aptece na receptę</v>
          </cell>
          <cell r="C26">
            <v>636333</v>
          </cell>
        </row>
        <row r="27">
          <cell r="A27" t="str">
            <v>B2.14.2</v>
          </cell>
          <cell r="B27" t="str">
            <v>refundacja leków, o których mowa w art. 15 ust. 2 pkt 17 ustawy</v>
          </cell>
          <cell r="C27">
            <v>1000</v>
          </cell>
        </row>
        <row r="28">
          <cell r="A28" t="str">
            <v>B2.14.3</v>
          </cell>
          <cell r="B28" t="str">
            <v>refundacja środków spożywczych specjalnego przeznaczenia żywieniowego, o których mowa w art. 15 ust. 2 pkt 18 ustawy</v>
          </cell>
          <cell r="C28">
            <v>1000</v>
          </cell>
        </row>
        <row r="29">
          <cell r="A29" t="str">
            <v>B2.15</v>
          </cell>
          <cell r="B29" t="str">
            <v>rezerwa na koszty realizacji zadań wynikajacych z przepisów o koordynacji</v>
          </cell>
          <cell r="C29">
            <v>0</v>
          </cell>
        </row>
        <row r="30">
          <cell r="A30" t="str">
            <v>B2.16</v>
          </cell>
          <cell r="B30" t="str">
            <v>rezerwa na pokrycie kosztów świadczeń zdrowotnych oraz refundacji cen leków, w tym:</v>
          </cell>
          <cell r="C30">
            <v>36522</v>
          </cell>
        </row>
        <row r="31">
          <cell r="A31" t="str">
            <v>B2.16.1</v>
          </cell>
          <cell r="B31" t="str">
            <v>rezerwa, o której mowa w art. 118 ust. 2 pkt 2 lit. c ustawy</v>
          </cell>
          <cell r="C31">
            <v>17827</v>
          </cell>
        </row>
        <row r="32">
          <cell r="A32" t="str">
            <v>B2.17</v>
          </cell>
          <cell r="B32" t="str">
            <v>rezerwa na koszty świadczeń opieki zdrowotnej w ramach migracji ubezpieczonych</v>
          </cell>
          <cell r="C32">
            <v>356685</v>
          </cell>
        </row>
        <row r="33">
          <cell r="A33" t="str">
            <v>B2.18</v>
          </cell>
          <cell r="B33" t="str">
            <v>koszty świadczeń opieki zdrowotnej z lat ubiegłych</v>
          </cell>
          <cell r="C33">
            <v>0</v>
          </cell>
        </row>
        <row r="34">
          <cell r="A34" t="str">
            <v>B2.19</v>
          </cell>
          <cell r="B34" t="str">
            <v>rezerwa na koszty świadczeń opieki zdrowotnej udzielone w ramach transgranicznej opieki zdrowotnej</v>
          </cell>
          <cell r="C34">
            <v>0</v>
          </cell>
        </row>
        <row r="35">
          <cell r="A35" t="str">
            <v>B2.20</v>
          </cell>
          <cell r="B35" t="str">
            <v>rezerwa na dofinansowanie programów polityki zdrowotnej na podstawie art. 48d ustawy</v>
          </cell>
          <cell r="C35">
            <v>100</v>
          </cell>
        </row>
        <row r="36">
          <cell r="A36" t="str">
            <v>B2.21</v>
          </cell>
          <cell r="B36" t="str">
            <v>koszty świadczeń opieki zdrowotnej w ramach programów pilotażowych, o których mowa w art. 48e ustawy</v>
          </cell>
          <cell r="C36">
            <v>22736</v>
          </cell>
        </row>
        <row r="37">
          <cell r="A37" t="str">
            <v>B3</v>
          </cell>
          <cell r="B37" t="str">
            <v xml:space="preserve">Koszty programów polityki zdrowotnej realizowanych na zlecenie </v>
          </cell>
          <cell r="C37">
            <v>0</v>
          </cell>
        </row>
        <row r="38">
          <cell r="A38" t="str">
            <v>B4</v>
          </cell>
          <cell r="B38" t="str">
            <v>Koszty realizacji zadań zespołów ratownictwa medycznego</v>
          </cell>
          <cell r="C38">
            <v>160015</v>
          </cell>
        </row>
        <row r="39">
          <cell r="A39" t="str">
            <v>B5</v>
          </cell>
          <cell r="B39" t="str">
            <v>Koszty finansowania leku, środka spożywczego specjalnego przeznaczenia żywieniowego oraz wyrobu medycznego w części finansowanej z budżetu państwa zgodnie z art. 43a ust. 3 ustawy</v>
          </cell>
          <cell r="C39">
            <v>63374</v>
          </cell>
        </row>
        <row r="40">
          <cell r="A40" t="str">
            <v>B6</v>
          </cell>
          <cell r="B40" t="str">
            <v>Koszty zadania, o którym mowa w art.. 97 ust. 3 pkt 4c ustawy</v>
          </cell>
          <cell r="C40">
            <v>1693</v>
          </cell>
        </row>
        <row r="41">
          <cell r="A41" t="str">
            <v>Bn</v>
          </cell>
          <cell r="B41" t="str">
            <v>Całkowity budżet na refundację (B2.3.1.1 + B2.3.2.1 + B2.14 + B2.16.1)</v>
          </cell>
          <cell r="C41">
            <v>1014389</v>
          </cell>
        </row>
        <row r="42">
          <cell r="A42" t="str">
            <v>D</v>
          </cell>
          <cell r="B42" t="str">
            <v>Koszty administracyjne ( D1+...+D8 )</v>
          </cell>
          <cell r="C42">
            <v>39678</v>
          </cell>
        </row>
        <row r="43">
          <cell r="A43" t="str">
            <v>D1</v>
          </cell>
          <cell r="B43" t="str">
            <v>zużycie materiałów i energii</v>
          </cell>
          <cell r="C43">
            <v>1627</v>
          </cell>
        </row>
        <row r="44">
          <cell r="A44" t="str">
            <v>D2</v>
          </cell>
          <cell r="B44" t="str">
            <v>usługi obce</v>
          </cell>
          <cell r="C44">
            <v>5383</v>
          </cell>
        </row>
        <row r="45">
          <cell r="A45" t="str">
            <v>D3</v>
          </cell>
          <cell r="B45" t="str">
            <v>podatki i opłaty, z tego:</v>
          </cell>
          <cell r="C45">
            <v>376</v>
          </cell>
        </row>
        <row r="46">
          <cell r="A46" t="str">
            <v>D3.1</v>
          </cell>
          <cell r="B46" t="str">
            <v>podatki stanowiące dochody własne jednostek samorządu terytorialnego, w tym:</v>
          </cell>
          <cell r="C46">
            <v>57</v>
          </cell>
        </row>
        <row r="47">
          <cell r="A47" t="str">
            <v>D3.1.1</v>
          </cell>
          <cell r="B47" t="str">
            <v>podatek od nieruchomości</v>
          </cell>
          <cell r="C47">
            <v>57</v>
          </cell>
        </row>
        <row r="48">
          <cell r="A48" t="str">
            <v>D3.2</v>
          </cell>
          <cell r="B48" t="str">
            <v>opłaty stanowiące dochody własne jednostek samorządu terytorialnego</v>
          </cell>
          <cell r="C48">
            <v>72</v>
          </cell>
        </row>
        <row r="49">
          <cell r="A49" t="str">
            <v>D3.3</v>
          </cell>
          <cell r="B49" t="str">
            <v>VAT</v>
          </cell>
          <cell r="C49">
            <v>1</v>
          </cell>
        </row>
        <row r="50">
          <cell r="A50" t="str">
            <v>D3.4</v>
          </cell>
          <cell r="B50" t="str">
            <v>podatek akcyzowy</v>
          </cell>
          <cell r="C50">
            <v>0</v>
          </cell>
        </row>
        <row r="51">
          <cell r="A51" t="str">
            <v>D3.5</v>
          </cell>
          <cell r="B51" t="str">
            <v>wpłaty na PFRON</v>
          </cell>
          <cell r="C51">
            <v>244</v>
          </cell>
        </row>
        <row r="52">
          <cell r="A52" t="str">
            <v>D3.6</v>
          </cell>
          <cell r="B52" t="str">
            <v>inne</v>
          </cell>
          <cell r="C52">
            <v>2</v>
          </cell>
        </row>
        <row r="53">
          <cell r="A53" t="str">
            <v>D4</v>
          </cell>
          <cell r="B53" t="str">
            <v>wynagrodzenia, w tym:</v>
          </cell>
          <cell r="C53">
            <v>23734</v>
          </cell>
        </row>
        <row r="54">
          <cell r="A54" t="str">
            <v>D4.1</v>
          </cell>
          <cell r="B54" t="str">
            <v>wynagrodzenia bezosobowe</v>
          </cell>
          <cell r="C54">
            <v>100</v>
          </cell>
        </row>
        <row r="55">
          <cell r="A55" t="str">
            <v>D5</v>
          </cell>
          <cell r="B55" t="str">
            <v>ubezpieczenie społeczne i inne świadczenia, z tego:</v>
          </cell>
          <cell r="C55">
            <v>5306</v>
          </cell>
        </row>
        <row r="56">
          <cell r="A56" t="str">
            <v>D5.1</v>
          </cell>
          <cell r="B56" t="str">
            <v>składki na Fundusz Ubezpieczeń Społecznych</v>
          </cell>
          <cell r="C56">
            <v>4072</v>
          </cell>
        </row>
        <row r="57">
          <cell r="A57" t="str">
            <v>D5.2</v>
          </cell>
          <cell r="B57" t="str">
            <v>składki na Fundusz Pracy</v>
          </cell>
          <cell r="C57">
            <v>581</v>
          </cell>
        </row>
        <row r="58">
          <cell r="A58" t="str">
            <v>D5.3</v>
          </cell>
          <cell r="B58" t="str">
            <v>składki na Fundusz Gwarantowanych Świadczeń Pracowniczych</v>
          </cell>
          <cell r="C58">
            <v>0</v>
          </cell>
        </row>
        <row r="59">
          <cell r="A59" t="str">
            <v>D5.4</v>
          </cell>
          <cell r="B59" t="str">
            <v>pozostałe świadczenia</v>
          </cell>
          <cell r="C59">
            <v>653</v>
          </cell>
        </row>
        <row r="60">
          <cell r="A60" t="str">
            <v>D6</v>
          </cell>
          <cell r="B60" t="str">
            <v>koszty funkcjonowania Rady Funduszu</v>
          </cell>
          <cell r="C60">
            <v>0</v>
          </cell>
        </row>
        <row r="61">
          <cell r="A61" t="str">
            <v>D7</v>
          </cell>
          <cell r="B61" t="str">
            <v>amortyzacja środków trwałych oraz wartości niematerialnych i prawnych</v>
          </cell>
          <cell r="C61">
            <v>3041</v>
          </cell>
        </row>
        <row r="62">
          <cell r="A62" t="str">
            <v>D8</v>
          </cell>
          <cell r="B62" t="str">
            <v>pozostałe koszty administracyjne</v>
          </cell>
          <cell r="C62">
            <v>211</v>
          </cell>
        </row>
        <row r="63">
          <cell r="A63" t="str">
            <v>F</v>
          </cell>
          <cell r="B63" t="str">
            <v>Pozostałe koszty (F1+...+F4)</v>
          </cell>
          <cell r="C63">
            <v>8155</v>
          </cell>
        </row>
        <row r="64">
          <cell r="A64" t="str">
            <v>F1</v>
          </cell>
          <cell r="B64" t="str">
            <v>wydanie i utrzymanie kart ubezpieczenia (w tym części stałych i zamiennych książeczek usług medycznych) oraz recept</v>
          </cell>
          <cell r="C64">
            <v>0</v>
          </cell>
        </row>
        <row r="65">
          <cell r="A65" t="str">
            <v>F2</v>
          </cell>
          <cell r="B65" t="str">
            <v>rezerwa na zobowiązania wynikające z postępowań sądowych</v>
          </cell>
          <cell r="C65">
            <v>6495</v>
          </cell>
        </row>
        <row r="66">
          <cell r="A66" t="str">
            <v>F3</v>
          </cell>
          <cell r="B66" t="str">
            <v>inne rezerwy</v>
          </cell>
          <cell r="C66">
            <v>0</v>
          </cell>
        </row>
        <row r="67">
          <cell r="A67" t="str">
            <v>F4</v>
          </cell>
          <cell r="B67" t="str">
            <v>inne koszty</v>
          </cell>
          <cell r="C67">
            <v>1660</v>
          </cell>
        </row>
        <row r="68">
          <cell r="A68" t="str">
            <v>H</v>
          </cell>
          <cell r="B68" t="str">
            <v>Koszty finansowe</v>
          </cell>
          <cell r="C68">
            <v>1117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Św"/>
      <sheetName val="Św_wys-2019-zm_rozp"/>
      <sheetName val="Św_wys-2019"/>
      <sheetName val="Św_wys-2018"/>
      <sheetName val="Profilaktyka"/>
    </sheetNames>
    <sheetDataSet>
      <sheetData sheetId="0">
        <row r="5">
          <cell r="D5">
            <v>4163</v>
          </cell>
          <cell r="H5">
            <v>3681</v>
          </cell>
          <cell r="I5">
            <v>10908</v>
          </cell>
        </row>
        <row r="6">
          <cell r="H6">
            <v>3169</v>
          </cell>
          <cell r="I6">
            <v>6528</v>
          </cell>
        </row>
        <row r="7">
          <cell r="H7">
            <v>2941</v>
          </cell>
          <cell r="I7">
            <v>13570</v>
          </cell>
        </row>
        <row r="8">
          <cell r="H8">
            <v>1406</v>
          </cell>
          <cell r="I8">
            <v>7740</v>
          </cell>
        </row>
        <row r="9">
          <cell r="H9">
            <v>2918</v>
          </cell>
          <cell r="I9">
            <v>10294</v>
          </cell>
        </row>
        <row r="10">
          <cell r="H10">
            <v>3967</v>
          </cell>
          <cell r="I10">
            <v>-330</v>
          </cell>
        </row>
        <row r="11">
          <cell r="H11">
            <v>6214</v>
          </cell>
          <cell r="I11">
            <v>-6338</v>
          </cell>
        </row>
        <row r="12">
          <cell r="H12">
            <v>1272</v>
          </cell>
          <cell r="I12">
            <v>6072</v>
          </cell>
        </row>
        <row r="13">
          <cell r="H13">
            <v>2030</v>
          </cell>
          <cell r="I13">
            <v>3241</v>
          </cell>
        </row>
        <row r="14">
          <cell r="H14">
            <v>1290</v>
          </cell>
          <cell r="I14">
            <v>2664</v>
          </cell>
        </row>
        <row r="15">
          <cell r="H15">
            <v>3160</v>
          </cell>
          <cell r="I15">
            <v>-4223</v>
          </cell>
        </row>
        <row r="16">
          <cell r="H16">
            <v>7466</v>
          </cell>
          <cell r="I16">
            <v>-23094</v>
          </cell>
        </row>
        <row r="17">
          <cell r="H17">
            <v>1398</v>
          </cell>
          <cell r="I17">
            <v>11893</v>
          </cell>
        </row>
        <row r="18">
          <cell r="H18">
            <v>1501</v>
          </cell>
          <cell r="I18">
            <v>12318</v>
          </cell>
        </row>
        <row r="19">
          <cell r="H19">
            <v>4964</v>
          </cell>
          <cell r="I19">
            <v>13048</v>
          </cell>
        </row>
        <row r="20">
          <cell r="H20">
            <v>2623</v>
          </cell>
          <cell r="I20">
            <v>1545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92D050"/>
  </sheetPr>
  <dimension ref="A1:C100"/>
  <sheetViews>
    <sheetView showGridLines="0" tabSelected="1" view="pageBreakPreview" zoomScale="80" zoomScaleNormal="80" zoomScaleSheetLayoutView="8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G5" sqref="G4:G5"/>
    </sheetView>
  </sheetViews>
  <sheetFormatPr defaultColWidth="9.1796875" defaultRowHeight="18" x14ac:dyDescent="0.4"/>
  <cols>
    <col min="1" max="1" width="10.7265625" style="5" customWidth="1"/>
    <col min="2" max="2" width="150.7265625" style="5" customWidth="1"/>
    <col min="3" max="3" width="20.7265625" style="8" customWidth="1"/>
    <col min="4" max="16384" width="9.1796875" style="8"/>
  </cols>
  <sheetData>
    <row r="1" spans="1:3" s="2" customFormat="1" ht="38.25" customHeight="1" x14ac:dyDescent="0.4">
      <c r="A1" s="80" t="s">
        <v>207</v>
      </c>
      <c r="B1" s="80"/>
      <c r="C1" s="80"/>
    </row>
    <row r="2" spans="1:3" s="4" customFormat="1" ht="35.15" customHeight="1" x14ac:dyDescent="0.35">
      <c r="A2" s="79" t="s">
        <v>203</v>
      </c>
      <c r="B2" s="79"/>
      <c r="C2" s="3"/>
    </row>
    <row r="3" spans="1:3" x14ac:dyDescent="0.4">
      <c r="B3" s="6"/>
      <c r="C3" s="7" t="s">
        <v>198</v>
      </c>
    </row>
    <row r="4" spans="1:3" s="10" customFormat="1" ht="96" customHeight="1" x14ac:dyDescent="0.25">
      <c r="A4" s="9" t="s">
        <v>115</v>
      </c>
      <c r="B4" s="9" t="s">
        <v>52</v>
      </c>
      <c r="C4" s="1" t="s">
        <v>199</v>
      </c>
    </row>
    <row r="5" spans="1:3" ht="19.5" customHeight="1" x14ac:dyDescent="0.4">
      <c r="A5" s="11">
        <v>1</v>
      </c>
      <c r="B5" s="12">
        <v>2</v>
      </c>
      <c r="C5" s="13">
        <v>3</v>
      </c>
    </row>
    <row r="6" spans="1:3" s="17" customFormat="1" ht="25" customHeight="1" x14ac:dyDescent="0.35">
      <c r="A6" s="14">
        <v>1</v>
      </c>
      <c r="B6" s="15" t="s">
        <v>196</v>
      </c>
      <c r="C6" s="16">
        <f>C7+C8</f>
        <v>93157823</v>
      </c>
    </row>
    <row r="7" spans="1:3" ht="25" customHeight="1" x14ac:dyDescent="0.4">
      <c r="A7" s="73" t="s">
        <v>75</v>
      </c>
      <c r="B7" s="42" t="s">
        <v>76</v>
      </c>
      <c r="C7" s="74">
        <f>ROUND('[4]progn_RP+1'!$M$18/1000,0)</f>
        <v>89819705</v>
      </c>
    </row>
    <row r="8" spans="1:3" ht="25" customHeight="1" x14ac:dyDescent="0.4">
      <c r="A8" s="73" t="s">
        <v>77</v>
      </c>
      <c r="B8" s="42" t="s">
        <v>78</v>
      </c>
      <c r="C8" s="74">
        <f>ROUND('[4]progn_RP+1'!$Q$18/1000,0)</f>
        <v>3338118</v>
      </c>
    </row>
    <row r="9" spans="1:3" s="17" customFormat="1" ht="25" customHeight="1" x14ac:dyDescent="0.35">
      <c r="A9" s="14">
        <v>2</v>
      </c>
      <c r="B9" s="15" t="s">
        <v>164</v>
      </c>
      <c r="C9" s="16">
        <f>C10+C11</f>
        <v>0</v>
      </c>
    </row>
    <row r="10" spans="1:3" ht="25" customHeight="1" x14ac:dyDescent="0.4">
      <c r="A10" s="73" t="s">
        <v>79</v>
      </c>
      <c r="B10" s="42" t="s">
        <v>80</v>
      </c>
      <c r="C10" s="74">
        <v>0</v>
      </c>
    </row>
    <row r="11" spans="1:3" ht="25" customHeight="1" x14ac:dyDescent="0.4">
      <c r="A11" s="73" t="s">
        <v>81</v>
      </c>
      <c r="B11" s="42" t="s">
        <v>82</v>
      </c>
      <c r="C11" s="74">
        <v>0</v>
      </c>
    </row>
    <row r="12" spans="1:3" s="17" customFormat="1" ht="25" customHeight="1" x14ac:dyDescent="0.35">
      <c r="A12" s="14">
        <v>3</v>
      </c>
      <c r="B12" s="15" t="s">
        <v>165</v>
      </c>
      <c r="C12" s="16">
        <f>C13+C14</f>
        <v>115000</v>
      </c>
    </row>
    <row r="13" spans="1:3" ht="25" customHeight="1" x14ac:dyDescent="0.4">
      <c r="A13" s="73" t="s">
        <v>83</v>
      </c>
      <c r="B13" s="42" t="s">
        <v>76</v>
      </c>
      <c r="C13" s="74">
        <v>115000</v>
      </c>
    </row>
    <row r="14" spans="1:3" ht="25" customHeight="1" x14ac:dyDescent="0.4">
      <c r="A14" s="73" t="s">
        <v>84</v>
      </c>
      <c r="B14" s="42" t="s">
        <v>78</v>
      </c>
      <c r="C14" s="74">
        <v>0</v>
      </c>
    </row>
    <row r="15" spans="1:3" s="17" customFormat="1" ht="25" customHeight="1" x14ac:dyDescent="0.35">
      <c r="A15" s="14">
        <v>4</v>
      </c>
      <c r="B15" s="15" t="s">
        <v>166</v>
      </c>
      <c r="C15" s="16">
        <f>C16+C17</f>
        <v>182821</v>
      </c>
    </row>
    <row r="16" spans="1:3" ht="25" customHeight="1" x14ac:dyDescent="0.4">
      <c r="A16" s="75" t="s">
        <v>85</v>
      </c>
      <c r="B16" s="42" t="s">
        <v>86</v>
      </c>
      <c r="C16" s="74">
        <f>ROUND((C7-C10+C13)*0.002,0)</f>
        <v>179869</v>
      </c>
    </row>
    <row r="17" spans="1:3" ht="25" customHeight="1" x14ac:dyDescent="0.4">
      <c r="A17" s="75" t="s">
        <v>87</v>
      </c>
      <c r="B17" s="42" t="s">
        <v>88</v>
      </c>
      <c r="C17" s="74">
        <f>ROUND((C8-1862004)*0.002,0)</f>
        <v>2952</v>
      </c>
    </row>
    <row r="18" spans="1:3" s="17" customFormat="1" ht="25" customHeight="1" x14ac:dyDescent="0.35">
      <c r="A18" s="14">
        <v>5</v>
      </c>
      <c r="B18" s="15" t="s">
        <v>185</v>
      </c>
      <c r="C18" s="16">
        <v>41848</v>
      </c>
    </row>
    <row r="19" spans="1:3" s="17" customFormat="1" ht="25" customHeight="1" x14ac:dyDescent="0.35">
      <c r="A19" s="19" t="s">
        <v>127</v>
      </c>
      <c r="B19" s="20" t="s">
        <v>195</v>
      </c>
      <c r="C19" s="16">
        <f>(C6-C9+C12-C15-C18)+C20+C21+C22+C23+C24</f>
        <v>96511640</v>
      </c>
    </row>
    <row r="20" spans="1:3" ht="25" customHeight="1" x14ac:dyDescent="0.4">
      <c r="A20" s="73" t="s">
        <v>89</v>
      </c>
      <c r="B20" s="76" t="s">
        <v>90</v>
      </c>
      <c r="C20" s="74">
        <v>305450</v>
      </c>
    </row>
    <row r="21" spans="1:3" ht="25" customHeight="1" x14ac:dyDescent="0.4">
      <c r="A21" s="73" t="s">
        <v>91</v>
      </c>
      <c r="B21" s="76" t="s">
        <v>92</v>
      </c>
      <c r="C21" s="74">
        <v>0</v>
      </c>
    </row>
    <row r="22" spans="1:3" ht="25" customHeight="1" x14ac:dyDescent="0.4">
      <c r="A22" s="73" t="s">
        <v>93</v>
      </c>
      <c r="B22" s="76" t="s">
        <v>197</v>
      </c>
      <c r="C22" s="74">
        <f>[5]Arkusz1!$H$4+[5]Arkusz1!$H$5-388000</f>
        <v>991615</v>
      </c>
    </row>
    <row r="23" spans="1:3" ht="25" customHeight="1" x14ac:dyDescent="0.4">
      <c r="A23" s="73" t="s">
        <v>94</v>
      </c>
      <c r="B23" s="77" t="s">
        <v>95</v>
      </c>
      <c r="C23" s="74">
        <v>2166421</v>
      </c>
    </row>
    <row r="24" spans="1:3" ht="25" customHeight="1" x14ac:dyDescent="0.4">
      <c r="A24" s="73" t="s">
        <v>188</v>
      </c>
      <c r="B24" s="77" t="s">
        <v>189</v>
      </c>
      <c r="C24" s="74">
        <f>[5]Arkusz1!$H$6</f>
        <v>0</v>
      </c>
    </row>
    <row r="25" spans="1:3" s="17" customFormat="1" ht="25" customHeight="1" x14ac:dyDescent="0.35">
      <c r="A25" s="19" t="s">
        <v>128</v>
      </c>
      <c r="B25" s="20" t="s">
        <v>192</v>
      </c>
      <c r="C25" s="16">
        <f>C26+C27+C57+C58+C59+C60</f>
        <v>95529196</v>
      </c>
    </row>
    <row r="26" spans="1:3" s="17" customFormat="1" ht="25" customHeight="1" x14ac:dyDescent="0.35">
      <c r="A26" s="19" t="s">
        <v>96</v>
      </c>
      <c r="B26" s="20" t="s">
        <v>97</v>
      </c>
      <c r="C26" s="16">
        <f>ROUND(C6/100,0)</f>
        <v>931578</v>
      </c>
    </row>
    <row r="27" spans="1:3" s="17" customFormat="1" ht="25" customHeight="1" x14ac:dyDescent="0.35">
      <c r="A27" s="19" t="s">
        <v>0</v>
      </c>
      <c r="B27" s="20" t="s">
        <v>186</v>
      </c>
      <c r="C27" s="16">
        <f>C28+C29+C30+C35+C36+C37+C38+C39+C40+C41+C42+C43+C44+C45+C49+C50+C52+C53+C54+C55+C56</f>
        <v>91495197</v>
      </c>
    </row>
    <row r="28" spans="1:3" ht="25" customHeight="1" x14ac:dyDescent="0.4">
      <c r="A28" s="73" t="s">
        <v>1</v>
      </c>
      <c r="B28" s="54" t="s">
        <v>116</v>
      </c>
      <c r="C28" s="74">
        <f>CENTRALA!C7+'Razem OW'!C7</f>
        <v>12473553</v>
      </c>
    </row>
    <row r="29" spans="1:3" ht="25" customHeight="1" x14ac:dyDescent="0.4">
      <c r="A29" s="73" t="s">
        <v>2</v>
      </c>
      <c r="B29" s="54" t="s">
        <v>117</v>
      </c>
      <c r="C29" s="74">
        <f>CENTRALA!C8+'Razem OW'!C8</f>
        <v>5030894</v>
      </c>
    </row>
    <row r="30" spans="1:3" ht="25" customHeight="1" x14ac:dyDescent="0.4">
      <c r="A30" s="73" t="s">
        <v>3</v>
      </c>
      <c r="B30" s="54" t="s">
        <v>114</v>
      </c>
      <c r="C30" s="74">
        <f>CENTRALA!C9+'Razem OW'!C9</f>
        <v>42971268</v>
      </c>
    </row>
    <row r="31" spans="1:3" ht="25" customHeight="1" x14ac:dyDescent="0.4">
      <c r="A31" s="73" t="s">
        <v>54</v>
      </c>
      <c r="B31" s="56" t="s">
        <v>187</v>
      </c>
      <c r="C31" s="74">
        <f>CENTRALA!C10+'Razem OW'!C10</f>
        <v>4034435</v>
      </c>
    </row>
    <row r="32" spans="1:3" ht="25" customHeight="1" x14ac:dyDescent="0.4">
      <c r="A32" s="73" t="s">
        <v>138</v>
      </c>
      <c r="B32" s="56" t="s">
        <v>141</v>
      </c>
      <c r="C32" s="74">
        <f>CENTRALA!C11+'Razem OW'!C11</f>
        <v>3622670</v>
      </c>
    </row>
    <row r="33" spans="1:3" ht="25" customHeight="1" x14ac:dyDescent="0.4">
      <c r="A33" s="73" t="s">
        <v>139</v>
      </c>
      <c r="B33" s="56" t="s">
        <v>142</v>
      </c>
      <c r="C33" s="74">
        <f>CENTRALA!C12+'Razem OW'!C12</f>
        <v>1456310</v>
      </c>
    </row>
    <row r="34" spans="1:3" ht="25" customHeight="1" x14ac:dyDescent="0.4">
      <c r="A34" s="73" t="s">
        <v>140</v>
      </c>
      <c r="B34" s="56" t="s">
        <v>143</v>
      </c>
      <c r="C34" s="74">
        <f>CENTRALA!C13+'Razem OW'!C13</f>
        <v>683935</v>
      </c>
    </row>
    <row r="35" spans="1:3" ht="25" customHeight="1" x14ac:dyDescent="0.4">
      <c r="A35" s="73" t="s">
        <v>4</v>
      </c>
      <c r="B35" s="54" t="s">
        <v>122</v>
      </c>
      <c r="C35" s="74">
        <f>CENTRALA!C14+'Razem OW'!C14</f>
        <v>2756778</v>
      </c>
    </row>
    <row r="36" spans="1:3" ht="25" customHeight="1" x14ac:dyDescent="0.4">
      <c r="A36" s="73" t="s">
        <v>5</v>
      </c>
      <c r="B36" s="54" t="s">
        <v>118</v>
      </c>
      <c r="C36" s="74">
        <f>CENTRALA!C15+'Razem OW'!C15</f>
        <v>2876228</v>
      </c>
    </row>
    <row r="37" spans="1:3" ht="25" customHeight="1" x14ac:dyDescent="0.4">
      <c r="A37" s="73" t="s">
        <v>6</v>
      </c>
      <c r="B37" s="54" t="s">
        <v>124</v>
      </c>
      <c r="C37" s="74">
        <f>CENTRALA!C16+'Razem OW'!C16</f>
        <v>1868050</v>
      </c>
    </row>
    <row r="38" spans="1:3" ht="25" customHeight="1" x14ac:dyDescent="0.4">
      <c r="A38" s="73" t="s">
        <v>7</v>
      </c>
      <c r="B38" s="54" t="s">
        <v>123</v>
      </c>
      <c r="C38" s="74">
        <f>CENTRALA!C17+'Razem OW'!C17</f>
        <v>794146</v>
      </c>
    </row>
    <row r="39" spans="1:3" ht="25" customHeight="1" x14ac:dyDescent="0.4">
      <c r="A39" s="73" t="s">
        <v>8</v>
      </c>
      <c r="B39" s="54" t="s">
        <v>119</v>
      </c>
      <c r="C39" s="74">
        <f>CENTRALA!C18+'Razem OW'!C18</f>
        <v>1893992</v>
      </c>
    </row>
    <row r="40" spans="1:3" ht="25" customHeight="1" x14ac:dyDescent="0.4">
      <c r="A40" s="73" t="s">
        <v>9</v>
      </c>
      <c r="B40" s="54" t="s">
        <v>120</v>
      </c>
      <c r="C40" s="74">
        <f>CENTRALA!C19+'Razem OW'!C19</f>
        <v>800448</v>
      </c>
    </row>
    <row r="41" spans="1:3" ht="25" customHeight="1" x14ac:dyDescent="0.4">
      <c r="A41" s="73" t="s">
        <v>10</v>
      </c>
      <c r="B41" s="54" t="s">
        <v>125</v>
      </c>
      <c r="C41" s="74">
        <f>CENTRALA!C20+'Razem OW'!C20</f>
        <v>245488</v>
      </c>
    </row>
    <row r="42" spans="1:3" ht="25" customHeight="1" x14ac:dyDescent="0.4">
      <c r="A42" s="73" t="s">
        <v>11</v>
      </c>
      <c r="B42" s="54" t="s">
        <v>121</v>
      </c>
      <c r="C42" s="74">
        <f>CENTRALA!C21+'Razem OW'!C21</f>
        <v>264193</v>
      </c>
    </row>
    <row r="43" spans="1:3" ht="25" customHeight="1" x14ac:dyDescent="0.4">
      <c r="A43" s="73" t="s">
        <v>12</v>
      </c>
      <c r="B43" s="54" t="s">
        <v>159</v>
      </c>
      <c r="C43" s="74">
        <f>CENTRALA!C22+'Razem OW'!C22</f>
        <v>2216498</v>
      </c>
    </row>
    <row r="44" spans="1:3" ht="25" customHeight="1" x14ac:dyDescent="0.4">
      <c r="A44" s="73" t="s">
        <v>13</v>
      </c>
      <c r="B44" s="54" t="s">
        <v>144</v>
      </c>
      <c r="C44" s="74">
        <f>CENTRALA!C23+'Razem OW'!C23</f>
        <v>1265800</v>
      </c>
    </row>
    <row r="45" spans="1:3" ht="25" customHeight="1" x14ac:dyDescent="0.4">
      <c r="A45" s="73" t="s">
        <v>14</v>
      </c>
      <c r="B45" s="35" t="s">
        <v>167</v>
      </c>
      <c r="C45" s="74">
        <f>CENTRALA!C24+'Razem OW'!C24</f>
        <v>8464235</v>
      </c>
    </row>
    <row r="46" spans="1:3" ht="36" x14ac:dyDescent="0.4">
      <c r="A46" s="73" t="s">
        <v>126</v>
      </c>
      <c r="B46" s="56" t="s">
        <v>146</v>
      </c>
      <c r="C46" s="74">
        <f>CENTRALA!C25+'Razem OW'!C25</f>
        <v>8422946</v>
      </c>
    </row>
    <row r="47" spans="1:3" ht="25" customHeight="1" x14ac:dyDescent="0.4">
      <c r="A47" s="73" t="s">
        <v>145</v>
      </c>
      <c r="B47" s="56" t="s">
        <v>148</v>
      </c>
      <c r="C47" s="74">
        <f>CENTRALA!C26+'Razem OW'!C26</f>
        <v>25746</v>
      </c>
    </row>
    <row r="48" spans="1:3" ht="25" customHeight="1" x14ac:dyDescent="0.4">
      <c r="A48" s="73" t="s">
        <v>149</v>
      </c>
      <c r="B48" s="56" t="s">
        <v>147</v>
      </c>
      <c r="C48" s="74">
        <f>CENTRALA!C27+'Razem OW'!C27</f>
        <v>15543</v>
      </c>
    </row>
    <row r="49" spans="1:3" ht="25" customHeight="1" x14ac:dyDescent="0.4">
      <c r="A49" s="73" t="s">
        <v>15</v>
      </c>
      <c r="B49" s="40" t="s">
        <v>110</v>
      </c>
      <c r="C49" s="74">
        <f>CENTRALA!C28+'Razem OW'!C28</f>
        <v>719370</v>
      </c>
    </row>
    <row r="50" spans="1:3" ht="25" customHeight="1" x14ac:dyDescent="0.4">
      <c r="A50" s="73" t="s">
        <v>107</v>
      </c>
      <c r="B50" s="42" t="s">
        <v>150</v>
      </c>
      <c r="C50" s="74">
        <f>CENTRALA!C29+'Razem OW'!C29</f>
        <v>714748</v>
      </c>
    </row>
    <row r="51" spans="1:3" ht="25" customHeight="1" x14ac:dyDescent="0.4">
      <c r="A51" s="73" t="s">
        <v>151</v>
      </c>
      <c r="B51" s="56" t="s">
        <v>161</v>
      </c>
      <c r="C51" s="74">
        <f>CENTRALA!C30+'Razem OW'!C30</f>
        <v>170650</v>
      </c>
    </row>
    <row r="52" spans="1:3" ht="25" customHeight="1" x14ac:dyDescent="0.4">
      <c r="A52" s="73" t="s">
        <v>108</v>
      </c>
      <c r="B52" s="42" t="s">
        <v>111</v>
      </c>
      <c r="C52" s="74">
        <f>CENTRALA!C31+'Razem OW'!C31</f>
        <v>5429389</v>
      </c>
    </row>
    <row r="53" spans="1:3" ht="25" customHeight="1" x14ac:dyDescent="0.4">
      <c r="A53" s="73" t="s">
        <v>109</v>
      </c>
      <c r="B53" s="42" t="s">
        <v>160</v>
      </c>
      <c r="C53" s="74">
        <f>CENTRALA!C32+'Razem OW'!C32</f>
        <v>112734</v>
      </c>
    </row>
    <row r="54" spans="1:3" x14ac:dyDescent="0.4">
      <c r="A54" s="73" t="s">
        <v>162</v>
      </c>
      <c r="B54" s="42" t="s">
        <v>163</v>
      </c>
      <c r="C54" s="74">
        <f>CENTRALA!C33+'Razem OW'!C33</f>
        <v>50000</v>
      </c>
    </row>
    <row r="55" spans="1:3" x14ac:dyDescent="0.4">
      <c r="A55" s="73" t="s">
        <v>175</v>
      </c>
      <c r="B55" s="42" t="s">
        <v>177</v>
      </c>
      <c r="C55" s="74">
        <f>CENTRALA!C34+'Razem OW'!C34</f>
        <v>21388</v>
      </c>
    </row>
    <row r="56" spans="1:3" x14ac:dyDescent="0.4">
      <c r="A56" s="73" t="s">
        <v>182</v>
      </c>
      <c r="B56" s="42" t="s">
        <v>183</v>
      </c>
      <c r="C56" s="74">
        <f>CENTRALA!C35+'Razem OW'!C35</f>
        <v>525997</v>
      </c>
    </row>
    <row r="57" spans="1:3" s="17" customFormat="1" ht="25" customHeight="1" x14ac:dyDescent="0.35">
      <c r="A57" s="14" t="s">
        <v>56</v>
      </c>
      <c r="B57" s="18" t="s">
        <v>98</v>
      </c>
      <c r="C57" s="16">
        <f>CENTRALA!C36+'Razem OW'!C36</f>
        <v>0</v>
      </c>
    </row>
    <row r="58" spans="1:3" s="17" customFormat="1" ht="25" customHeight="1" x14ac:dyDescent="0.35">
      <c r="A58" s="14" t="s">
        <v>55</v>
      </c>
      <c r="B58" s="18" t="s">
        <v>58</v>
      </c>
      <c r="C58" s="16">
        <f>CENTRALA!C37+'Razem OW'!C37</f>
        <v>2166421</v>
      </c>
    </row>
    <row r="59" spans="1:3" s="17" customFormat="1" ht="43.5" customHeight="1" x14ac:dyDescent="0.35">
      <c r="A59" s="14" t="s">
        <v>176</v>
      </c>
      <c r="B59" s="18" t="s">
        <v>178</v>
      </c>
      <c r="C59" s="16">
        <f>CENTRALA!C38+'Razem OW'!C38</f>
        <v>836000</v>
      </c>
    </row>
    <row r="60" spans="1:3" s="17" customFormat="1" ht="25" customHeight="1" x14ac:dyDescent="0.35">
      <c r="A60" s="14" t="s">
        <v>190</v>
      </c>
      <c r="B60" s="18" t="s">
        <v>191</v>
      </c>
      <c r="C60" s="16">
        <f>CENTRALA!C39+'Razem OW'!C39</f>
        <v>100000</v>
      </c>
    </row>
    <row r="61" spans="1:3" s="17" customFormat="1" ht="25" customHeight="1" x14ac:dyDescent="0.35">
      <c r="A61" s="14" t="s">
        <v>152</v>
      </c>
      <c r="B61" s="18" t="s">
        <v>193</v>
      </c>
      <c r="C61" s="16">
        <f>C32+C34+C45+C51</f>
        <v>12941490</v>
      </c>
    </row>
    <row r="62" spans="1:3" s="17" customFormat="1" ht="25" customHeight="1" x14ac:dyDescent="0.35">
      <c r="A62" s="14" t="s">
        <v>129</v>
      </c>
      <c r="B62" s="15" t="s">
        <v>179</v>
      </c>
      <c r="C62" s="16">
        <f>C19-C25</f>
        <v>982444</v>
      </c>
    </row>
    <row r="63" spans="1:3" s="17" customFormat="1" ht="25" customHeight="1" x14ac:dyDescent="0.35">
      <c r="A63" s="14" t="s">
        <v>130</v>
      </c>
      <c r="B63" s="15" t="s">
        <v>168</v>
      </c>
      <c r="C63" s="16">
        <f>C64+C65+C66+C74+C76+C81+C82+C83</f>
        <v>956152</v>
      </c>
    </row>
    <row r="64" spans="1:3" ht="25" customHeight="1" x14ac:dyDescent="0.4">
      <c r="A64" s="73" t="s">
        <v>16</v>
      </c>
      <c r="B64" s="41" t="s">
        <v>17</v>
      </c>
      <c r="C64" s="74">
        <f>CENTRALA!C42+'Razem OW'!C42</f>
        <v>27355</v>
      </c>
    </row>
    <row r="65" spans="1:3" ht="25" customHeight="1" x14ac:dyDescent="0.4">
      <c r="A65" s="73" t="s">
        <v>18</v>
      </c>
      <c r="B65" s="41" t="s">
        <v>19</v>
      </c>
      <c r="C65" s="74">
        <f>CENTRALA!C43+'Razem OW'!C43</f>
        <v>258146</v>
      </c>
    </row>
    <row r="66" spans="1:3" ht="25" customHeight="1" x14ac:dyDescent="0.4">
      <c r="A66" s="73" t="s">
        <v>20</v>
      </c>
      <c r="B66" s="46" t="s">
        <v>169</v>
      </c>
      <c r="C66" s="74">
        <f>C67+C69+C70+C71+C72+C73</f>
        <v>4956</v>
      </c>
    </row>
    <row r="67" spans="1:3" s="22" customFormat="1" ht="25" customHeight="1" x14ac:dyDescent="0.4">
      <c r="A67" s="39" t="s">
        <v>37</v>
      </c>
      <c r="B67" s="47" t="s">
        <v>30</v>
      </c>
      <c r="C67" s="74">
        <f>CENTRALA!C45+'Razem OW'!C45</f>
        <v>671</v>
      </c>
    </row>
    <row r="68" spans="1:3" s="22" customFormat="1" ht="25" customHeight="1" x14ac:dyDescent="0.4">
      <c r="A68" s="39" t="s">
        <v>38</v>
      </c>
      <c r="B68" s="48" t="s">
        <v>31</v>
      </c>
      <c r="C68" s="74">
        <f>CENTRALA!C46+'Razem OW'!C46</f>
        <v>668</v>
      </c>
    </row>
    <row r="69" spans="1:3" s="22" customFormat="1" ht="25" customHeight="1" x14ac:dyDescent="0.4">
      <c r="A69" s="39" t="s">
        <v>39</v>
      </c>
      <c r="B69" s="47" t="s">
        <v>32</v>
      </c>
      <c r="C69" s="74">
        <f>CENTRALA!C47+'Razem OW'!C47</f>
        <v>767</v>
      </c>
    </row>
    <row r="70" spans="1:3" s="22" customFormat="1" ht="25" customHeight="1" x14ac:dyDescent="0.4">
      <c r="A70" s="39" t="s">
        <v>40</v>
      </c>
      <c r="B70" s="47" t="s">
        <v>33</v>
      </c>
      <c r="C70" s="74">
        <f>CENTRALA!C48+'Razem OW'!C48</f>
        <v>23</v>
      </c>
    </row>
    <row r="71" spans="1:3" s="22" customFormat="1" ht="25" customHeight="1" x14ac:dyDescent="0.4">
      <c r="A71" s="39" t="s">
        <v>41</v>
      </c>
      <c r="B71" s="47" t="s">
        <v>34</v>
      </c>
      <c r="C71" s="74">
        <f>CENTRALA!C49+'Razem OW'!C49</f>
        <v>0</v>
      </c>
    </row>
    <row r="72" spans="1:3" s="22" customFormat="1" ht="25" customHeight="1" x14ac:dyDescent="0.4">
      <c r="A72" s="39" t="s">
        <v>42</v>
      </c>
      <c r="B72" s="47" t="s">
        <v>35</v>
      </c>
      <c r="C72" s="74">
        <f>CENTRALA!C50+'Razem OW'!C50</f>
        <v>2993</v>
      </c>
    </row>
    <row r="73" spans="1:3" s="22" customFormat="1" ht="25" customHeight="1" x14ac:dyDescent="0.4">
      <c r="A73" s="39" t="s">
        <v>43</v>
      </c>
      <c r="B73" s="47" t="s">
        <v>36</v>
      </c>
      <c r="C73" s="74">
        <f>CENTRALA!C51+'Razem OW'!C51</f>
        <v>502</v>
      </c>
    </row>
    <row r="74" spans="1:3" ht="25" customHeight="1" x14ac:dyDescent="0.4">
      <c r="A74" s="39" t="s">
        <v>21</v>
      </c>
      <c r="B74" s="41" t="s">
        <v>153</v>
      </c>
      <c r="C74" s="74">
        <f>CENTRALA!C52+'Razem OW'!C52</f>
        <v>453225</v>
      </c>
    </row>
    <row r="75" spans="1:3" ht="25" customHeight="1" x14ac:dyDescent="0.4">
      <c r="A75" s="39" t="s">
        <v>154</v>
      </c>
      <c r="B75" s="47" t="s">
        <v>155</v>
      </c>
      <c r="C75" s="74">
        <f>CENTRALA!C53+'Razem OW'!C53</f>
        <v>1661</v>
      </c>
    </row>
    <row r="76" spans="1:3" ht="25" customHeight="1" x14ac:dyDescent="0.4">
      <c r="A76" s="73" t="s">
        <v>22</v>
      </c>
      <c r="B76" s="46" t="s">
        <v>170</v>
      </c>
      <c r="C76" s="74">
        <f>SUM(C77:C80)</f>
        <v>103208</v>
      </c>
    </row>
    <row r="77" spans="1:3" s="22" customFormat="1" ht="25" customHeight="1" x14ac:dyDescent="0.4">
      <c r="A77" s="39" t="s">
        <v>48</v>
      </c>
      <c r="B77" s="47" t="s">
        <v>44</v>
      </c>
      <c r="C77" s="74">
        <f>CENTRALA!C55+'Razem OW'!C55</f>
        <v>77836</v>
      </c>
    </row>
    <row r="78" spans="1:3" s="22" customFormat="1" ht="25" customHeight="1" x14ac:dyDescent="0.4">
      <c r="A78" s="39" t="s">
        <v>49</v>
      </c>
      <c r="B78" s="47" t="s">
        <v>45</v>
      </c>
      <c r="C78" s="74">
        <f>CENTRALA!C56+'Razem OW'!C56</f>
        <v>11115</v>
      </c>
    </row>
    <row r="79" spans="1:3" s="22" customFormat="1" ht="25" customHeight="1" x14ac:dyDescent="0.4">
      <c r="A79" s="39" t="s">
        <v>50</v>
      </c>
      <c r="B79" s="47" t="s">
        <v>46</v>
      </c>
      <c r="C79" s="74">
        <f>CENTRALA!C57+'Razem OW'!C57</f>
        <v>0</v>
      </c>
    </row>
    <row r="80" spans="1:3" s="22" customFormat="1" ht="25" customHeight="1" x14ac:dyDescent="0.4">
      <c r="A80" s="39" t="s">
        <v>51</v>
      </c>
      <c r="B80" s="47" t="s">
        <v>47</v>
      </c>
      <c r="C80" s="74">
        <f>CENTRALA!C58+'Razem OW'!C58</f>
        <v>14257</v>
      </c>
    </row>
    <row r="81" spans="1:3" ht="25" customHeight="1" x14ac:dyDescent="0.4">
      <c r="A81" s="73" t="s">
        <v>23</v>
      </c>
      <c r="B81" s="41" t="s">
        <v>24</v>
      </c>
      <c r="C81" s="74">
        <f>CENTRALA!C59+'Razem OW'!C59</f>
        <v>50</v>
      </c>
    </row>
    <row r="82" spans="1:3" ht="25" customHeight="1" x14ac:dyDescent="0.4">
      <c r="A82" s="73" t="s">
        <v>25</v>
      </c>
      <c r="B82" s="41" t="s">
        <v>156</v>
      </c>
      <c r="C82" s="74">
        <f>CENTRALA!C60+'Razem OW'!C60</f>
        <v>101745</v>
      </c>
    </row>
    <row r="83" spans="1:3" ht="25" customHeight="1" x14ac:dyDescent="0.4">
      <c r="A83" s="73" t="s">
        <v>26</v>
      </c>
      <c r="B83" s="41" t="s">
        <v>27</v>
      </c>
      <c r="C83" s="74">
        <f>CENTRALA!C61+'Razem OW'!C61</f>
        <v>7467</v>
      </c>
    </row>
    <row r="84" spans="1:3" s="17" customFormat="1" ht="25" customHeight="1" x14ac:dyDescent="0.35">
      <c r="A84" s="23" t="s">
        <v>131</v>
      </c>
      <c r="B84" s="24" t="s">
        <v>158</v>
      </c>
      <c r="C84" s="16">
        <f>'[6]Razem NFZ'!E$6+304</f>
        <v>411805</v>
      </c>
    </row>
    <row r="85" spans="1:3" s="17" customFormat="1" ht="25" customHeight="1" x14ac:dyDescent="0.35">
      <c r="A85" s="23" t="s">
        <v>132</v>
      </c>
      <c r="B85" s="24" t="s">
        <v>171</v>
      </c>
      <c r="C85" s="16">
        <f>C86+C87+C88+C89</f>
        <v>450014</v>
      </c>
    </row>
    <row r="86" spans="1:3" ht="25" customHeight="1" x14ac:dyDescent="0.4">
      <c r="A86" s="73" t="s">
        <v>99</v>
      </c>
      <c r="B86" s="42" t="s">
        <v>112</v>
      </c>
      <c r="C86" s="74">
        <f>CENTRALA!C63+'Razem OW'!C63</f>
        <v>1050</v>
      </c>
    </row>
    <row r="87" spans="1:3" ht="25" customHeight="1" x14ac:dyDescent="0.4">
      <c r="A87" s="73" t="s">
        <v>28</v>
      </c>
      <c r="B87" s="42" t="s">
        <v>53</v>
      </c>
      <c r="C87" s="74">
        <f>CENTRALA!C64+'Razem OW'!C64</f>
        <v>132565</v>
      </c>
    </row>
    <row r="88" spans="1:3" ht="25" customHeight="1" x14ac:dyDescent="0.4">
      <c r="A88" s="73" t="s">
        <v>29</v>
      </c>
      <c r="B88" s="42" t="s">
        <v>101</v>
      </c>
      <c r="C88" s="74">
        <f>CENTRALA!C65+'Razem OW'!C65</f>
        <v>0</v>
      </c>
    </row>
    <row r="89" spans="1:3" ht="25" customHeight="1" x14ac:dyDescent="0.4">
      <c r="A89" s="73" t="s">
        <v>100</v>
      </c>
      <c r="B89" s="76" t="s">
        <v>102</v>
      </c>
      <c r="C89" s="74">
        <f>CENTRALA!C66+'Razem OW'!C66</f>
        <v>316399</v>
      </c>
    </row>
    <row r="90" spans="1:3" s="17" customFormat="1" ht="25" customHeight="1" x14ac:dyDescent="0.35">
      <c r="A90" s="23" t="s">
        <v>133</v>
      </c>
      <c r="B90" s="24" t="s">
        <v>172</v>
      </c>
      <c r="C90" s="16">
        <f>SUM(C91:C92)</f>
        <v>46485</v>
      </c>
    </row>
    <row r="91" spans="1:3" ht="25" customHeight="1" x14ac:dyDescent="0.4">
      <c r="A91" s="73" t="s">
        <v>103</v>
      </c>
      <c r="B91" s="42" t="s">
        <v>104</v>
      </c>
      <c r="C91" s="74">
        <f>'[6]Razem NFZ'!E13</f>
        <v>39429</v>
      </c>
    </row>
    <row r="92" spans="1:3" ht="25" customHeight="1" x14ac:dyDescent="0.4">
      <c r="A92" s="73" t="s">
        <v>105</v>
      </c>
      <c r="B92" s="76" t="s">
        <v>106</v>
      </c>
      <c r="C92" s="74">
        <f>'[6]Razem NFZ'!E14</f>
        <v>7056</v>
      </c>
    </row>
    <row r="93" spans="1:3" s="17" customFormat="1" ht="25" customHeight="1" x14ac:dyDescent="0.35">
      <c r="A93" s="23" t="s">
        <v>134</v>
      </c>
      <c r="B93" s="24" t="s">
        <v>113</v>
      </c>
      <c r="C93" s="16">
        <f>CENTRALA!C67+'Razem OW'!C67</f>
        <v>34568</v>
      </c>
    </row>
    <row r="94" spans="1:3" s="17" customFormat="1" ht="25" customHeight="1" x14ac:dyDescent="0.35">
      <c r="A94" s="23" t="s">
        <v>135</v>
      </c>
      <c r="B94" s="24" t="s">
        <v>194</v>
      </c>
      <c r="C94" s="16">
        <f>C62-C63+C84-C85+C90-C93</f>
        <v>0</v>
      </c>
    </row>
    <row r="95" spans="1:3" s="17" customFormat="1" ht="25" customHeight="1" x14ac:dyDescent="0.35">
      <c r="A95" s="14" t="s">
        <v>136</v>
      </c>
      <c r="B95" s="25" t="s">
        <v>180</v>
      </c>
      <c r="C95" s="16">
        <f>C6-C9+C12+C20+C21+C22+C23+C24+C84+C90-C18</f>
        <v>97152751</v>
      </c>
    </row>
    <row r="96" spans="1:3" s="17" customFormat="1" ht="25" customHeight="1" x14ac:dyDescent="0.35">
      <c r="A96" s="23" t="s">
        <v>137</v>
      </c>
      <c r="B96" s="26" t="s">
        <v>181</v>
      </c>
      <c r="C96" s="16">
        <f>C9+C15+C26+C27+C57+C58+C59+C60+C63+C85+C93</f>
        <v>97152751</v>
      </c>
    </row>
    <row r="97" spans="3:3" x14ac:dyDescent="0.4">
      <c r="C97" s="27"/>
    </row>
    <row r="98" spans="3:3" x14ac:dyDescent="0.4">
      <c r="C98" s="28"/>
    </row>
    <row r="99" spans="3:3" x14ac:dyDescent="0.4">
      <c r="C99" s="28"/>
    </row>
    <row r="100" spans="3:3" ht="26.5" customHeight="1" x14ac:dyDescent="0.4"/>
  </sheetData>
  <mergeCells count="2">
    <mergeCell ref="A2:B2"/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fitToHeight="0" orientation="portrait" r:id="rId1"/>
  <headerFooter alignWithMargins="0">
    <oddFooter>&amp;R&amp;14&amp;P</oddFooter>
  </headerFooter>
  <rowBreaks count="1" manualBreakCount="1">
    <brk id="62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2D050"/>
  </sheetPr>
  <dimension ref="A1:C67"/>
  <sheetViews>
    <sheetView showGridLines="0" view="pageBreakPreview" zoomScale="80" zoomScaleNormal="50" zoomScaleSheetLayoutView="80" workbookViewId="0">
      <pane xSplit="2" ySplit="6" topLeftCell="C58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65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13348592</v>
      </c>
    </row>
    <row r="7" spans="1:3" ht="25" customHeight="1" x14ac:dyDescent="0.25">
      <c r="A7" s="34" t="s">
        <v>1</v>
      </c>
      <c r="B7" s="35" t="s">
        <v>116</v>
      </c>
      <c r="C7" s="36">
        <f>VLOOKUP(A7,[15]Mazowiecki!$A$8:$C$68,3,FALSE)</f>
        <v>1877874</v>
      </c>
    </row>
    <row r="8" spans="1:3" ht="25" customHeight="1" x14ac:dyDescent="0.25">
      <c r="A8" s="34" t="s">
        <v>2</v>
      </c>
      <c r="B8" s="35" t="s">
        <v>117</v>
      </c>
      <c r="C8" s="36">
        <f>VLOOKUP(A8,[15]Mazowiecki!$A$8:$C$68,3,FALSE)</f>
        <v>671483</v>
      </c>
    </row>
    <row r="9" spans="1:3" ht="25" customHeight="1" x14ac:dyDescent="0.25">
      <c r="A9" s="34" t="s">
        <v>3</v>
      </c>
      <c r="B9" s="35" t="s">
        <v>114</v>
      </c>
      <c r="C9" s="36">
        <f>VLOOKUP(A9,[15]Mazowiecki!$A$8:$C$68,3,FALSE)+[9]Św!$I$11</f>
        <v>6675132</v>
      </c>
    </row>
    <row r="10" spans="1:3" ht="25" customHeight="1" x14ac:dyDescent="0.25">
      <c r="A10" s="37" t="s">
        <v>54</v>
      </c>
      <c r="B10" s="38" t="s">
        <v>187</v>
      </c>
      <c r="C10" s="36">
        <f>VLOOKUP(A10,[15]Mazowiecki!$A$8:$C$68,3,FALSE)</f>
        <v>633059</v>
      </c>
    </row>
    <row r="11" spans="1:3" ht="25" customHeight="1" x14ac:dyDescent="0.25">
      <c r="A11" s="37" t="s">
        <v>138</v>
      </c>
      <c r="B11" s="38" t="s">
        <v>141</v>
      </c>
      <c r="C11" s="36">
        <f>VLOOKUP(A11,[15]Mazowiecki!$A$8:$C$68,3,FALSE)</f>
        <v>560108</v>
      </c>
    </row>
    <row r="12" spans="1:3" ht="25" customHeight="1" x14ac:dyDescent="0.25">
      <c r="A12" s="37" t="s">
        <v>139</v>
      </c>
      <c r="B12" s="38" t="s">
        <v>142</v>
      </c>
      <c r="C12" s="36">
        <f>VLOOKUP(A12,[15]Mazowiecki!$A$8:$C$68,3,FALSE)</f>
        <v>252039</v>
      </c>
    </row>
    <row r="13" spans="1:3" ht="25" customHeight="1" x14ac:dyDescent="0.25">
      <c r="A13" s="37" t="s">
        <v>140</v>
      </c>
      <c r="B13" s="38" t="s">
        <v>143</v>
      </c>
      <c r="C13" s="36">
        <f>VLOOKUP(A13,[15]Mazowiecki!$A$8:$C$68,3,FALSE)</f>
        <v>114245</v>
      </c>
    </row>
    <row r="14" spans="1:3" ht="25" customHeight="1" x14ac:dyDescent="0.25">
      <c r="A14" s="34" t="s">
        <v>4</v>
      </c>
      <c r="B14" s="35" t="s">
        <v>122</v>
      </c>
      <c r="C14" s="36">
        <f>VLOOKUP(A14,[15]Mazowiecki!$A$8:$C$68,3,FALSE)</f>
        <v>439129</v>
      </c>
    </row>
    <row r="15" spans="1:3" ht="25" customHeight="1" x14ac:dyDescent="0.25">
      <c r="A15" s="34" t="s">
        <v>5</v>
      </c>
      <c r="B15" s="35" t="s">
        <v>118</v>
      </c>
      <c r="C15" s="36">
        <f>VLOOKUP(A15,[15]Mazowiecki!$A$8:$C$68,3,FALSE)</f>
        <v>548668</v>
      </c>
    </row>
    <row r="16" spans="1:3" ht="25" customHeight="1" x14ac:dyDescent="0.25">
      <c r="A16" s="34" t="s">
        <v>6</v>
      </c>
      <c r="B16" s="35" t="s">
        <v>124</v>
      </c>
      <c r="C16" s="36">
        <f>VLOOKUP(A16,[15]Mazowiecki!$A$8:$C$68,3,FALSE)</f>
        <v>266484</v>
      </c>
    </row>
    <row r="17" spans="1:3" ht="25" customHeight="1" x14ac:dyDescent="0.25">
      <c r="A17" s="34" t="s">
        <v>7</v>
      </c>
      <c r="B17" s="35" t="s">
        <v>123</v>
      </c>
      <c r="C17" s="36">
        <f>VLOOKUP(A17,[15]Mazowiecki!$A$8:$C$68,3,FALSE)</f>
        <v>92435</v>
      </c>
    </row>
    <row r="18" spans="1:3" ht="25" customHeight="1" x14ac:dyDescent="0.25">
      <c r="A18" s="34" t="s">
        <v>8</v>
      </c>
      <c r="B18" s="35" t="s">
        <v>119</v>
      </c>
      <c r="C18" s="36">
        <f>VLOOKUP(A18,[15]Mazowiecki!$A$8:$C$68,3,FALSE)</f>
        <v>234239</v>
      </c>
    </row>
    <row r="19" spans="1:3" ht="25" customHeight="1" x14ac:dyDescent="0.25">
      <c r="A19" s="34" t="s">
        <v>9</v>
      </c>
      <c r="B19" s="35" t="s">
        <v>120</v>
      </c>
      <c r="C19" s="36">
        <f>VLOOKUP(A19,[15]Mazowiecki!$A$8:$C$68,3,FALSE)</f>
        <v>115500</v>
      </c>
    </row>
    <row r="20" spans="1:3" ht="25" customHeight="1" x14ac:dyDescent="0.25">
      <c r="A20" s="34" t="s">
        <v>10</v>
      </c>
      <c r="B20" s="35" t="s">
        <v>125</v>
      </c>
      <c r="C20" s="36">
        <f>VLOOKUP(A20,[15]Mazowiecki!$A$8:$C$68,3,FALSE)</f>
        <v>34405</v>
      </c>
    </row>
    <row r="21" spans="1:3" ht="25" customHeight="1" x14ac:dyDescent="0.25">
      <c r="A21" s="34" t="s">
        <v>11</v>
      </c>
      <c r="B21" s="35" t="s">
        <v>121</v>
      </c>
      <c r="C21" s="36">
        <f>VLOOKUP(A21,[15]Mazowiecki!$A$8:$C$68,3,FALSE)+[9]Św!$H$11</f>
        <v>32834</v>
      </c>
    </row>
    <row r="22" spans="1:3" ht="25" customHeight="1" x14ac:dyDescent="0.25">
      <c r="A22" s="34" t="s">
        <v>12</v>
      </c>
      <c r="B22" s="35" t="s">
        <v>159</v>
      </c>
      <c r="C22" s="36">
        <f>VLOOKUP(A22,[15]Mazowiecki!$A$8:$C$68,3,FALSE)</f>
        <v>239925</v>
      </c>
    </row>
    <row r="23" spans="1:3" ht="25" customHeight="1" x14ac:dyDescent="0.25">
      <c r="A23" s="34" t="s">
        <v>13</v>
      </c>
      <c r="B23" s="35" t="s">
        <v>144</v>
      </c>
      <c r="C23" s="36">
        <f>VLOOKUP(A23,[15]Mazowiecki!$A$8:$C$68,3,FALSE)</f>
        <v>185000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1147984</v>
      </c>
    </row>
    <row r="25" spans="1:3" ht="36" x14ac:dyDescent="0.25">
      <c r="A25" s="34" t="s">
        <v>126</v>
      </c>
      <c r="B25" s="38" t="s">
        <v>146</v>
      </c>
      <c r="C25" s="36">
        <f>VLOOKUP(A25,[15]Mazowiecki!$A$8:$C$68,3,FALSE)</f>
        <v>1140378</v>
      </c>
    </row>
    <row r="26" spans="1:3" ht="25" customHeight="1" x14ac:dyDescent="0.25">
      <c r="A26" s="37" t="s">
        <v>145</v>
      </c>
      <c r="B26" s="38" t="s">
        <v>148</v>
      </c>
      <c r="C26" s="36">
        <f>VLOOKUP(A26,[15]Mazowiecki!$A$8:$C$68,3,FALSE)</f>
        <v>3058</v>
      </c>
    </row>
    <row r="27" spans="1:3" ht="31.5" customHeight="1" x14ac:dyDescent="0.25">
      <c r="A27" s="37" t="s">
        <v>149</v>
      </c>
      <c r="B27" s="38" t="s">
        <v>147</v>
      </c>
      <c r="C27" s="36">
        <f>VLOOKUP(A27,[15]Mazowiecki!$A$8:$C$68,3,FALSE)</f>
        <v>4548</v>
      </c>
    </row>
    <row r="28" spans="1:3" ht="25" customHeight="1" x14ac:dyDescent="0.25">
      <c r="A28" s="39" t="s">
        <v>15</v>
      </c>
      <c r="B28" s="40" t="s">
        <v>110</v>
      </c>
      <c r="C28" s="36">
        <f>VLOOKUP(A28,[15]Mazowiecki!$A$8:$C$68,3,FALSE)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VLOOKUP(A29,[15]Mazowiecki!$A$8:$C$68,3,FALSE)</f>
        <v>165065</v>
      </c>
    </row>
    <row r="30" spans="1:3" ht="25" customHeight="1" x14ac:dyDescent="0.25">
      <c r="A30" s="37" t="s">
        <v>151</v>
      </c>
      <c r="B30" s="38" t="s">
        <v>161</v>
      </c>
      <c r="C30" s="36">
        <f>VLOOKUP(A30,[15]Mazowiecki!$A$8:$C$68,3,FALSE)</f>
        <v>116107</v>
      </c>
    </row>
    <row r="31" spans="1:3" ht="25" customHeight="1" x14ac:dyDescent="0.25">
      <c r="A31" s="39" t="s">
        <v>108</v>
      </c>
      <c r="B31" s="42" t="s">
        <v>111</v>
      </c>
      <c r="C31" s="36">
        <f>VLOOKUP(A31,[15]Mazowiecki!$A$8:$C$68,3,FALSE)</f>
        <v>477803</v>
      </c>
    </row>
    <row r="32" spans="1:3" ht="25" customHeight="1" x14ac:dyDescent="0.25">
      <c r="A32" s="39" t="s">
        <v>109</v>
      </c>
      <c r="B32" s="41" t="s">
        <v>160</v>
      </c>
      <c r="C32" s="36">
        <f>VLOOKUP(A32,[15]Mazowiecki!$A$8:$C$68,3,FALSE)</f>
        <v>5000</v>
      </c>
    </row>
    <row r="33" spans="1:3" ht="25" customHeight="1" x14ac:dyDescent="0.25">
      <c r="A33" s="39" t="s">
        <v>162</v>
      </c>
      <c r="B33" s="41" t="s">
        <v>163</v>
      </c>
      <c r="C33" s="36">
        <f>VLOOKUP(A33,[15]Mazowiecki!$A$8:$C$68,3,FALSE)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VLOOKUP(A34,[15]Mazowiecki!$A$8:$C$68,3,FALSE)</f>
        <v>1000</v>
      </c>
    </row>
    <row r="35" spans="1:3" ht="25" customHeight="1" x14ac:dyDescent="0.25">
      <c r="A35" s="39" t="s">
        <v>182</v>
      </c>
      <c r="B35" s="41" t="s">
        <v>183</v>
      </c>
      <c r="C35" s="36">
        <f>VLOOKUP(A35,[15]Mazowiecki!$A$8:$C$68,3,FALSE)</f>
        <v>138632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VLOOKUP(A36,[15]Mazowiecki!$A$8:$C$68,3,FALSE)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VLOOKUP(A37,[15]Mazowiecki!$A$8:$C$68,3,FALSE)</f>
        <v>268380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VLOOKUP(A38,[15]Mazowiecki!$A$8:$C$68,3,FALSE)</f>
        <v>118348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1938444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74867</v>
      </c>
    </row>
    <row r="42" spans="1:3" ht="25" customHeight="1" x14ac:dyDescent="0.25">
      <c r="A42" s="39" t="s">
        <v>16</v>
      </c>
      <c r="B42" s="41" t="s">
        <v>17</v>
      </c>
      <c r="C42" s="36">
        <f>VLOOKUP(A42,[15]Mazowiecki!$A$8:$C$68,3,FALSE)</f>
        <v>2174</v>
      </c>
    </row>
    <row r="43" spans="1:3" ht="25" customHeight="1" x14ac:dyDescent="0.25">
      <c r="A43" s="39" t="s">
        <v>18</v>
      </c>
      <c r="B43" s="41" t="s">
        <v>19</v>
      </c>
      <c r="C43" s="36">
        <f>VLOOKUP(A43,[15]Mazowiecki!$A$8:$C$68,3,FALSE)</f>
        <v>12940</v>
      </c>
    </row>
    <row r="44" spans="1:3" ht="25" customHeight="1" x14ac:dyDescent="0.25">
      <c r="A44" s="39" t="s">
        <v>20</v>
      </c>
      <c r="B44" s="46" t="s">
        <v>174</v>
      </c>
      <c r="C44" s="36">
        <f>VLOOKUP(A44,[15]Mazowiecki!$A$8:$C$68,3,FALSE)</f>
        <v>357</v>
      </c>
    </row>
    <row r="45" spans="1:3" ht="25" customHeight="1" x14ac:dyDescent="0.25">
      <c r="A45" s="39" t="s">
        <v>37</v>
      </c>
      <c r="B45" s="47" t="s">
        <v>30</v>
      </c>
      <c r="C45" s="36">
        <f>VLOOKUP(A45,[15]Mazowiecki!$A$8:$C$68,3,FALSE)</f>
        <v>21</v>
      </c>
    </row>
    <row r="46" spans="1:3" ht="25" customHeight="1" x14ac:dyDescent="0.25">
      <c r="A46" s="39" t="s">
        <v>38</v>
      </c>
      <c r="B46" s="48" t="s">
        <v>31</v>
      </c>
      <c r="C46" s="36">
        <f>VLOOKUP(A46,[15]Mazowiecki!$A$8:$C$68,3,FALSE)</f>
        <v>21</v>
      </c>
    </row>
    <row r="47" spans="1:3" ht="25" customHeight="1" x14ac:dyDescent="0.25">
      <c r="A47" s="39" t="s">
        <v>39</v>
      </c>
      <c r="B47" s="47" t="s">
        <v>32</v>
      </c>
      <c r="C47" s="36">
        <f>VLOOKUP(A47,[15]Mazowiecki!$A$8:$C$68,3,FALSE)</f>
        <v>12</v>
      </c>
    </row>
    <row r="48" spans="1:3" ht="25" customHeight="1" x14ac:dyDescent="0.25">
      <c r="A48" s="39" t="s">
        <v>40</v>
      </c>
      <c r="B48" s="47" t="s">
        <v>33</v>
      </c>
      <c r="C48" s="36">
        <f>VLOOKUP(A48,[15]Mazowiecki!$A$8:$C$68,3,FALSE)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VLOOKUP(A49,[15]Mazowiecki!$A$8:$C$68,3,FALSE)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VLOOKUP(A50,[15]Mazowiecki!$A$8:$C$68,3,FALSE)</f>
        <v>313</v>
      </c>
    </row>
    <row r="51" spans="1:3" ht="25" customHeight="1" x14ac:dyDescent="0.25">
      <c r="A51" s="39" t="s">
        <v>43</v>
      </c>
      <c r="B51" s="47" t="s">
        <v>36</v>
      </c>
      <c r="C51" s="36">
        <f>VLOOKUP(A51,[15]Mazowiecki!$A$8:$C$68,3,FALSE)</f>
        <v>11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'[7]F_wynagr-2020'!$V$12</f>
        <v>47232</v>
      </c>
    </row>
    <row r="53" spans="1:3" ht="25" customHeight="1" x14ac:dyDescent="0.25">
      <c r="A53" s="39" t="s">
        <v>154</v>
      </c>
      <c r="B53" s="47" t="s">
        <v>155</v>
      </c>
      <c r="C53" s="36">
        <f>VLOOKUP(A53,[15]Mazowiecki!$A$8:$C$68,3,FALSE)</f>
        <v>71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10543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2020'!$I$12</f>
        <v>8110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2020'!$L$12</f>
        <v>1158</v>
      </c>
    </row>
    <row r="57" spans="1:3" ht="25" customHeight="1" x14ac:dyDescent="0.25">
      <c r="A57" s="39" t="s">
        <v>50</v>
      </c>
      <c r="B57" s="47" t="s">
        <v>46</v>
      </c>
      <c r="C57" s="36">
        <f>VLOOKUP(A57,[15]Mazowiecki!$A$8:$C$68,3,FALSE)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2020'!$P$12</f>
        <v>1275</v>
      </c>
    </row>
    <row r="59" spans="1:3" ht="25" customHeight="1" x14ac:dyDescent="0.25">
      <c r="A59" s="39" t="s">
        <v>23</v>
      </c>
      <c r="B59" s="41" t="s">
        <v>24</v>
      </c>
      <c r="C59" s="36">
        <f>VLOOKUP(A59,[15]Mazowiecki!$A$8:$C$68,3,FALSE)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VLOOKUP(A60,[15]Mazowiecki!$A$8:$C$68,3,FALSE)</f>
        <v>1206</v>
      </c>
    </row>
    <row r="61" spans="1:3" ht="25" customHeight="1" x14ac:dyDescent="0.25">
      <c r="A61" s="39" t="s">
        <v>26</v>
      </c>
      <c r="B61" s="41" t="s">
        <v>27</v>
      </c>
      <c r="C61" s="36">
        <f>VLOOKUP(A61,[15]Mazowiecki!$A$8:$C$68,3,FALSE)</f>
        <v>415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16352</v>
      </c>
    </row>
    <row r="63" spans="1:3" ht="25" customHeight="1" x14ac:dyDescent="0.25">
      <c r="A63" s="39" t="s">
        <v>99</v>
      </c>
      <c r="B63" s="41" t="s">
        <v>112</v>
      </c>
      <c r="C63" s="36">
        <f>VLOOKUP(A63,[15]Mazowiecki!$A$8:$C$68,3,FALSE)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VLOOKUP(A64,[15]Mazowiecki!$A$8:$C$68,3,FALSE)</f>
        <v>8645</v>
      </c>
    </row>
    <row r="65" spans="1:3" ht="25" customHeight="1" x14ac:dyDescent="0.25">
      <c r="A65" s="39" t="s">
        <v>29</v>
      </c>
      <c r="B65" s="41" t="s">
        <v>101</v>
      </c>
      <c r="C65" s="36">
        <f>VLOOKUP(A65,[15]Mazowiecki!$A$8:$C$68,3,FALSE)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VLOOKUP(A66,[15]Mazowiecki!$A$8:$C$68,3,FALSE)</f>
        <v>7707</v>
      </c>
    </row>
    <row r="67" spans="1:3" ht="25" customHeight="1" x14ac:dyDescent="0.25">
      <c r="A67" s="14" t="s">
        <v>134</v>
      </c>
      <c r="B67" s="43" t="s">
        <v>113</v>
      </c>
      <c r="C67" s="44">
        <f>VLOOKUP(A67,[15]Mazowiecki!$A$8:$C$68,3,FALSE)</f>
        <v>5617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2D050"/>
  </sheetPr>
  <dimension ref="A1:C67"/>
  <sheetViews>
    <sheetView showGridLines="0" view="pageBreakPreview" zoomScale="80" zoomScaleNormal="60" zoomScaleSheetLayoutView="80" workbookViewId="0">
      <pane xSplit="2" ySplit="6" topLeftCell="C55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66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2184112</v>
      </c>
    </row>
    <row r="7" spans="1:3" ht="25" customHeight="1" x14ac:dyDescent="0.25">
      <c r="A7" s="34" t="s">
        <v>1</v>
      </c>
      <c r="B7" s="35" t="s">
        <v>116</v>
      </c>
      <c r="C7" s="36">
        <f>VLOOKUP(A7,[16]Opolski!$A$8:$C$68,3,FALSE)</f>
        <v>295267</v>
      </c>
    </row>
    <row r="8" spans="1:3" ht="25" customHeight="1" x14ac:dyDescent="0.25">
      <c r="A8" s="34" t="s">
        <v>2</v>
      </c>
      <c r="B8" s="35" t="s">
        <v>117</v>
      </c>
      <c r="C8" s="36">
        <f>VLOOKUP(A8,[16]Opolski!$A$8:$C$68,3,FALSE)</f>
        <v>95481</v>
      </c>
    </row>
    <row r="9" spans="1:3" ht="25" customHeight="1" x14ac:dyDescent="0.25">
      <c r="A9" s="34" t="s">
        <v>3</v>
      </c>
      <c r="B9" s="35" t="s">
        <v>114</v>
      </c>
      <c r="C9" s="36">
        <f>VLOOKUP(A9,[16]Opolski!$A$8:$C$68,3,FALSE)+[9]Św!$I$12</f>
        <v>966573</v>
      </c>
    </row>
    <row r="10" spans="1:3" ht="25" customHeight="1" x14ac:dyDescent="0.25">
      <c r="A10" s="37" t="s">
        <v>54</v>
      </c>
      <c r="B10" s="38" t="s">
        <v>187</v>
      </c>
      <c r="C10" s="36">
        <f>VLOOKUP(A10,[16]Opolski!$A$8:$C$68,3,FALSE)</f>
        <v>66100</v>
      </c>
    </row>
    <row r="11" spans="1:3" ht="25" customHeight="1" x14ac:dyDescent="0.25">
      <c r="A11" s="37" t="s">
        <v>138</v>
      </c>
      <c r="B11" s="38" t="s">
        <v>141</v>
      </c>
      <c r="C11" s="36">
        <f>VLOOKUP(A11,[16]Opolski!$A$8:$C$68,3,FALSE)</f>
        <v>59900</v>
      </c>
    </row>
    <row r="12" spans="1:3" ht="25" customHeight="1" x14ac:dyDescent="0.25">
      <c r="A12" s="37" t="s">
        <v>139</v>
      </c>
      <c r="B12" s="38" t="s">
        <v>142</v>
      </c>
      <c r="C12" s="36">
        <f>VLOOKUP(A12,[16]Opolski!$A$8:$C$68,3,FALSE)</f>
        <v>22308</v>
      </c>
    </row>
    <row r="13" spans="1:3" ht="25" customHeight="1" x14ac:dyDescent="0.25">
      <c r="A13" s="37" t="s">
        <v>140</v>
      </c>
      <c r="B13" s="38" t="s">
        <v>143</v>
      </c>
      <c r="C13" s="36">
        <f>VLOOKUP(A13,[16]Opolski!$A$8:$C$68,3,FALSE)</f>
        <v>11000</v>
      </c>
    </row>
    <row r="14" spans="1:3" ht="25" customHeight="1" x14ac:dyDescent="0.25">
      <c r="A14" s="34" t="s">
        <v>4</v>
      </c>
      <c r="B14" s="35" t="s">
        <v>122</v>
      </c>
      <c r="C14" s="36">
        <f>VLOOKUP(A14,[16]Opolski!$A$8:$C$68,3,FALSE)</f>
        <v>61238</v>
      </c>
    </row>
    <row r="15" spans="1:3" ht="25" customHeight="1" x14ac:dyDescent="0.25">
      <c r="A15" s="34" t="s">
        <v>5</v>
      </c>
      <c r="B15" s="35" t="s">
        <v>118</v>
      </c>
      <c r="C15" s="36">
        <f>VLOOKUP(A15,[16]Opolski!$A$8:$C$68,3,FALSE)</f>
        <v>53835</v>
      </c>
    </row>
    <row r="16" spans="1:3" ht="25" customHeight="1" x14ac:dyDescent="0.25">
      <c r="A16" s="34" t="s">
        <v>6</v>
      </c>
      <c r="B16" s="35" t="s">
        <v>124</v>
      </c>
      <c r="C16" s="36">
        <f>VLOOKUP(A16,[16]Opolski!$A$8:$C$68,3,FALSE)</f>
        <v>67642</v>
      </c>
    </row>
    <row r="17" spans="1:3" ht="25" customHeight="1" x14ac:dyDescent="0.25">
      <c r="A17" s="34" t="s">
        <v>7</v>
      </c>
      <c r="B17" s="35" t="s">
        <v>123</v>
      </c>
      <c r="C17" s="36">
        <f>VLOOKUP(A17,[16]Opolski!$A$8:$C$68,3,FALSE)</f>
        <v>23264</v>
      </c>
    </row>
    <row r="18" spans="1:3" ht="25" customHeight="1" x14ac:dyDescent="0.25">
      <c r="A18" s="34" t="s">
        <v>8</v>
      </c>
      <c r="B18" s="35" t="s">
        <v>119</v>
      </c>
      <c r="C18" s="36">
        <f>VLOOKUP(A18,[16]Opolski!$A$8:$C$68,3,FALSE)</f>
        <v>41665</v>
      </c>
    </row>
    <row r="19" spans="1:3" ht="25" customHeight="1" x14ac:dyDescent="0.25">
      <c r="A19" s="34" t="s">
        <v>9</v>
      </c>
      <c r="B19" s="35" t="s">
        <v>120</v>
      </c>
      <c r="C19" s="36">
        <f>VLOOKUP(A19,[16]Opolski!$A$8:$C$68,3,FALSE)</f>
        <v>14175</v>
      </c>
    </row>
    <row r="20" spans="1:3" ht="25" customHeight="1" x14ac:dyDescent="0.25">
      <c r="A20" s="34" t="s">
        <v>10</v>
      </c>
      <c r="B20" s="35" t="s">
        <v>125</v>
      </c>
      <c r="C20" s="36">
        <f>VLOOKUP(A20,[16]Opolski!$A$8:$C$68,3,FALSE)</f>
        <v>8174</v>
      </c>
    </row>
    <row r="21" spans="1:3" ht="25" customHeight="1" x14ac:dyDescent="0.25">
      <c r="A21" s="34" t="s">
        <v>11</v>
      </c>
      <c r="B21" s="35" t="s">
        <v>121</v>
      </c>
      <c r="C21" s="36">
        <f>VLOOKUP(A21,[16]Opolski!$A$8:$C$68,3,FALSE)+[9]Św!$H$12</f>
        <v>6722</v>
      </c>
    </row>
    <row r="22" spans="1:3" ht="25" customHeight="1" x14ac:dyDescent="0.25">
      <c r="A22" s="34" t="s">
        <v>12</v>
      </c>
      <c r="B22" s="35" t="s">
        <v>159</v>
      </c>
      <c r="C22" s="36">
        <f>VLOOKUP(A22,[16]Opolski!$A$8:$C$68,3,FALSE)</f>
        <v>41903</v>
      </c>
    </row>
    <row r="23" spans="1:3" ht="25" customHeight="1" x14ac:dyDescent="0.25">
      <c r="A23" s="34" t="s">
        <v>13</v>
      </c>
      <c r="B23" s="35" t="s">
        <v>144</v>
      </c>
      <c r="C23" s="36">
        <f>VLOOKUP(A23,[16]Opolski!$A$8:$C$68,3,FALSE)</f>
        <v>31303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200275</v>
      </c>
    </row>
    <row r="25" spans="1:3" ht="36" x14ac:dyDescent="0.25">
      <c r="A25" s="34" t="s">
        <v>126</v>
      </c>
      <c r="B25" s="38" t="s">
        <v>146</v>
      </c>
      <c r="C25" s="36">
        <f>VLOOKUP(A25,[16]Opolski!$A$8:$C$68,3,FALSE)</f>
        <v>199425</v>
      </c>
    </row>
    <row r="26" spans="1:3" ht="25" customHeight="1" x14ac:dyDescent="0.25">
      <c r="A26" s="37" t="s">
        <v>145</v>
      </c>
      <c r="B26" s="38" t="s">
        <v>148</v>
      </c>
      <c r="C26" s="36">
        <f>VLOOKUP(A26,[16]Opolski!$A$8:$C$68,3,FALSE)</f>
        <v>600</v>
      </c>
    </row>
    <row r="27" spans="1:3" ht="31.5" customHeight="1" x14ac:dyDescent="0.25">
      <c r="A27" s="37" t="s">
        <v>149</v>
      </c>
      <c r="B27" s="38" t="s">
        <v>147</v>
      </c>
      <c r="C27" s="36">
        <f>VLOOKUP(A27,[16]Opolski!$A$8:$C$68,3,FALSE)</f>
        <v>250</v>
      </c>
    </row>
    <row r="28" spans="1:3" ht="25" customHeight="1" x14ac:dyDescent="0.25">
      <c r="A28" s="39" t="s">
        <v>15</v>
      </c>
      <c r="B28" s="40" t="s">
        <v>110</v>
      </c>
      <c r="C28" s="36">
        <f>VLOOKUP(A28,[16]Opolski!$A$8:$C$68,3,FALSE)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VLOOKUP(A29,[16]Opolski!$A$8:$C$68,3,FALSE)</f>
        <v>21725</v>
      </c>
    </row>
    <row r="30" spans="1:3" ht="25" customHeight="1" x14ac:dyDescent="0.25">
      <c r="A30" s="37" t="s">
        <v>151</v>
      </c>
      <c r="B30" s="38" t="s">
        <v>161</v>
      </c>
      <c r="C30" s="36">
        <f>VLOOKUP(A30,[16]Opolski!$A$8:$C$68,3,FALSE)</f>
        <v>0</v>
      </c>
    </row>
    <row r="31" spans="1:3" ht="25" customHeight="1" x14ac:dyDescent="0.25">
      <c r="A31" s="39" t="s">
        <v>108</v>
      </c>
      <c r="B31" s="42" t="s">
        <v>111</v>
      </c>
      <c r="C31" s="36">
        <f>VLOOKUP(A31,[16]Opolski!$A$8:$C$68,3,FALSE)</f>
        <v>246742</v>
      </c>
    </row>
    <row r="32" spans="1:3" ht="25" customHeight="1" x14ac:dyDescent="0.25">
      <c r="A32" s="39" t="s">
        <v>109</v>
      </c>
      <c r="B32" s="41" t="s">
        <v>160</v>
      </c>
      <c r="C32" s="36">
        <f>VLOOKUP(A32,[16]Opolski!$A$8:$C$68,3,FALSE)</f>
        <v>1000</v>
      </c>
    </row>
    <row r="33" spans="1:3" ht="25" customHeight="1" x14ac:dyDescent="0.25">
      <c r="A33" s="39" t="s">
        <v>162</v>
      </c>
      <c r="B33" s="41" t="s">
        <v>163</v>
      </c>
      <c r="C33" s="36">
        <f>VLOOKUP(A33,[16]Opolski!$A$8:$C$68,3,FALSE)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VLOOKUP(A34,[16]Opolski!$A$8:$C$68,3,FALSE)</f>
        <v>200</v>
      </c>
    </row>
    <row r="35" spans="1:3" ht="25" customHeight="1" x14ac:dyDescent="0.25">
      <c r="A35" s="39" t="s">
        <v>182</v>
      </c>
      <c r="B35" s="41" t="s">
        <v>183</v>
      </c>
      <c r="C35" s="36">
        <f>VLOOKUP(A35,[16]Opolski!$A$8:$C$68,3,FALSE)</f>
        <v>6928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VLOOKUP(A36,[16]Opolski!$A$8:$C$68,3,FALSE)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VLOOKUP(A37,[16]Opolski!$A$8:$C$68,3,FALSE)</f>
        <v>62043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VLOOKUP(A38,[16]Opolski!$A$8:$C$68,3,FALSE)</f>
        <v>23065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271175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20836</v>
      </c>
    </row>
    <row r="42" spans="1:3" ht="25" customHeight="1" x14ac:dyDescent="0.25">
      <c r="A42" s="39" t="s">
        <v>16</v>
      </c>
      <c r="B42" s="41" t="s">
        <v>17</v>
      </c>
      <c r="C42" s="36">
        <f>VLOOKUP(A42,[16]Opolski!$A$8:$C$68,3,FALSE)</f>
        <v>1206</v>
      </c>
    </row>
    <row r="43" spans="1:3" ht="25" customHeight="1" x14ac:dyDescent="0.25">
      <c r="A43" s="39" t="s">
        <v>18</v>
      </c>
      <c r="B43" s="41" t="s">
        <v>19</v>
      </c>
      <c r="C43" s="36">
        <f>VLOOKUP(A43,[16]Opolski!$A$8:$C$68,3,FALSE)</f>
        <v>4084</v>
      </c>
    </row>
    <row r="44" spans="1:3" ht="25" customHeight="1" x14ac:dyDescent="0.25">
      <c r="A44" s="39" t="s">
        <v>20</v>
      </c>
      <c r="B44" s="46" t="s">
        <v>174</v>
      </c>
      <c r="C44" s="36">
        <f>VLOOKUP(A44,[16]Opolski!$A$8:$C$68,3,FALSE)</f>
        <v>177</v>
      </c>
    </row>
    <row r="45" spans="1:3" ht="25" customHeight="1" x14ac:dyDescent="0.25">
      <c r="A45" s="39" t="s">
        <v>37</v>
      </c>
      <c r="B45" s="47" t="s">
        <v>30</v>
      </c>
      <c r="C45" s="36">
        <f>VLOOKUP(A45,[16]Opolski!$A$8:$C$68,3,FALSE)</f>
        <v>0</v>
      </c>
    </row>
    <row r="46" spans="1:3" ht="25" customHeight="1" x14ac:dyDescent="0.25">
      <c r="A46" s="39" t="s">
        <v>38</v>
      </c>
      <c r="B46" s="48" t="s">
        <v>31</v>
      </c>
      <c r="C46" s="36">
        <f>VLOOKUP(A46,[16]Opolski!$A$8:$C$68,3,FALSE)</f>
        <v>0</v>
      </c>
    </row>
    <row r="47" spans="1:3" ht="25" customHeight="1" x14ac:dyDescent="0.25">
      <c r="A47" s="39" t="s">
        <v>39</v>
      </c>
      <c r="B47" s="47" t="s">
        <v>32</v>
      </c>
      <c r="C47" s="36">
        <f>VLOOKUP(A47,[16]Opolski!$A$8:$C$68,3,FALSE)</f>
        <v>8</v>
      </c>
    </row>
    <row r="48" spans="1:3" ht="25" customHeight="1" x14ac:dyDescent="0.25">
      <c r="A48" s="39" t="s">
        <v>40</v>
      </c>
      <c r="B48" s="47" t="s">
        <v>33</v>
      </c>
      <c r="C48" s="36">
        <f>VLOOKUP(A48,[16]Opolski!$A$8:$C$68,3,FALSE)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VLOOKUP(A49,[16]Opolski!$A$8:$C$68,3,FALSE)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VLOOKUP(A50,[16]Opolski!$A$8:$C$68,3,FALSE)</f>
        <v>163</v>
      </c>
    </row>
    <row r="51" spans="1:3" ht="25" customHeight="1" x14ac:dyDescent="0.25">
      <c r="A51" s="39" t="s">
        <v>43</v>
      </c>
      <c r="B51" s="47" t="s">
        <v>36</v>
      </c>
      <c r="C51" s="36">
        <f>VLOOKUP(A51,[16]Opolski!$A$8:$C$68,3,FALSE)</f>
        <v>6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'[7]F_wynagr-2020'!$V$13</f>
        <v>10973</v>
      </c>
    </row>
    <row r="53" spans="1:3" ht="25" customHeight="1" x14ac:dyDescent="0.25">
      <c r="A53" s="39" t="s">
        <v>154</v>
      </c>
      <c r="B53" s="47" t="s">
        <v>155</v>
      </c>
      <c r="C53" s="36">
        <f>VLOOKUP(A53,[16]Opolski!$A$8:$C$68,3,FALSE)</f>
        <v>31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2453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2020'!$I$13</f>
        <v>1883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2020'!$L$13</f>
        <v>269</v>
      </c>
    </row>
    <row r="57" spans="1:3" ht="25" customHeight="1" x14ac:dyDescent="0.25">
      <c r="A57" s="39" t="s">
        <v>50</v>
      </c>
      <c r="B57" s="47" t="s">
        <v>46</v>
      </c>
      <c r="C57" s="36">
        <f>VLOOKUP(A57,[16]Opolski!$A$8:$C$68,3,FALSE)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2020'!$P$13</f>
        <v>301</v>
      </c>
    </row>
    <row r="59" spans="1:3" ht="25" customHeight="1" x14ac:dyDescent="0.25">
      <c r="A59" s="39" t="s">
        <v>23</v>
      </c>
      <c r="B59" s="41" t="s">
        <v>24</v>
      </c>
      <c r="C59" s="36">
        <f>VLOOKUP(A59,[16]Opolski!$A$8:$C$68,3,FALSE)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VLOOKUP(A60,[16]Opolski!$A$8:$C$68,3,FALSE)</f>
        <v>1620</v>
      </c>
    </row>
    <row r="61" spans="1:3" ht="25" customHeight="1" x14ac:dyDescent="0.25">
      <c r="A61" s="39" t="s">
        <v>26</v>
      </c>
      <c r="B61" s="41" t="s">
        <v>27</v>
      </c>
      <c r="C61" s="36">
        <f>VLOOKUP(A61,[16]Opolski!$A$8:$C$68,3,FALSE)</f>
        <v>323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1756</v>
      </c>
    </row>
    <row r="63" spans="1:3" ht="25" customHeight="1" x14ac:dyDescent="0.25">
      <c r="A63" s="39" t="s">
        <v>99</v>
      </c>
      <c r="B63" s="41" t="s">
        <v>112</v>
      </c>
      <c r="C63" s="36">
        <f>VLOOKUP(A63,[16]Opolski!$A$8:$C$68,3,FALSE)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VLOOKUP(A64,[16]Opolski!$A$8:$C$68,3,FALSE)</f>
        <v>1148</v>
      </c>
    </row>
    <row r="65" spans="1:3" ht="25" customHeight="1" x14ac:dyDescent="0.25">
      <c r="A65" s="39" t="s">
        <v>29</v>
      </c>
      <c r="B65" s="41" t="s">
        <v>101</v>
      </c>
      <c r="C65" s="36">
        <f>VLOOKUP(A65,[16]Opolski!$A$8:$C$68,3,FALSE)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VLOOKUP(A66,[16]Opolski!$A$8:$C$68,3,FALSE)</f>
        <v>608</v>
      </c>
    </row>
    <row r="67" spans="1:3" ht="25" customHeight="1" x14ac:dyDescent="0.25">
      <c r="A67" s="14" t="s">
        <v>134</v>
      </c>
      <c r="B67" s="43" t="s">
        <v>113</v>
      </c>
      <c r="C67" s="44">
        <f>VLOOKUP(A67,[16]Opolski!$A$8:$C$68,3,FALSE)</f>
        <v>1238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</sheetPr>
  <dimension ref="A1:C67"/>
  <sheetViews>
    <sheetView showGridLines="0" view="pageBreakPreview" zoomScale="80" zoomScaleNormal="70" zoomScaleSheetLayoutView="80" workbookViewId="0">
      <pane xSplit="2" ySplit="6" topLeftCell="C52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67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4799940</v>
      </c>
    </row>
    <row r="7" spans="1:3" ht="25" customHeight="1" x14ac:dyDescent="0.25">
      <c r="A7" s="34" t="s">
        <v>1</v>
      </c>
      <c r="B7" s="35" t="s">
        <v>116</v>
      </c>
      <c r="C7" s="36">
        <f>VLOOKUP(A7,[17]Podkarpacki!$A$8:$C$68,3,FALSE)</f>
        <v>675570</v>
      </c>
    </row>
    <row r="8" spans="1:3" ht="25" customHeight="1" x14ac:dyDescent="0.25">
      <c r="A8" s="34" t="s">
        <v>2</v>
      </c>
      <c r="B8" s="35" t="s">
        <v>117</v>
      </c>
      <c r="C8" s="36">
        <f>VLOOKUP(A8,[17]Podkarpacki!$A$8:$C$68,3,FALSE)</f>
        <v>262068</v>
      </c>
    </row>
    <row r="9" spans="1:3" ht="25" customHeight="1" x14ac:dyDescent="0.25">
      <c r="A9" s="34" t="s">
        <v>3</v>
      </c>
      <c r="B9" s="35" t="s">
        <v>114</v>
      </c>
      <c r="C9" s="36">
        <f>VLOOKUP(A9,[17]Podkarpacki!$A$8:$C$68,3,FALSE)+[9]Św!$I$13</f>
        <v>2154344</v>
      </c>
    </row>
    <row r="10" spans="1:3" ht="25" customHeight="1" x14ac:dyDescent="0.25">
      <c r="A10" s="37" t="s">
        <v>54</v>
      </c>
      <c r="B10" s="38" t="s">
        <v>187</v>
      </c>
      <c r="C10" s="36">
        <f>VLOOKUP(A10,[17]Podkarpacki!$A$8:$C$68,3,FALSE)</f>
        <v>185335</v>
      </c>
    </row>
    <row r="11" spans="1:3" ht="25" customHeight="1" x14ac:dyDescent="0.25">
      <c r="A11" s="37" t="s">
        <v>138</v>
      </c>
      <c r="B11" s="38" t="s">
        <v>141</v>
      </c>
      <c r="C11" s="36">
        <f>VLOOKUP(A11,[17]Podkarpacki!$A$8:$C$68,3,FALSE)</f>
        <v>166908</v>
      </c>
    </row>
    <row r="12" spans="1:3" ht="25" customHeight="1" x14ac:dyDescent="0.25">
      <c r="A12" s="37" t="s">
        <v>139</v>
      </c>
      <c r="B12" s="38" t="s">
        <v>142</v>
      </c>
      <c r="C12" s="36">
        <f>VLOOKUP(A12,[17]Podkarpacki!$A$8:$C$68,3,FALSE)</f>
        <v>76636</v>
      </c>
    </row>
    <row r="13" spans="1:3" ht="25" customHeight="1" x14ac:dyDescent="0.25">
      <c r="A13" s="37" t="s">
        <v>140</v>
      </c>
      <c r="B13" s="38" t="s">
        <v>143</v>
      </c>
      <c r="C13" s="36">
        <f>VLOOKUP(A13,[17]Podkarpacki!$A$8:$C$68,3,FALSE)</f>
        <v>38302</v>
      </c>
    </row>
    <row r="14" spans="1:3" ht="25" customHeight="1" x14ac:dyDescent="0.25">
      <c r="A14" s="34" t="s">
        <v>4</v>
      </c>
      <c r="B14" s="35" t="s">
        <v>122</v>
      </c>
      <c r="C14" s="36">
        <f>VLOOKUP(A14,[17]Podkarpacki!$A$8:$C$68,3,FALSE)</f>
        <v>117654</v>
      </c>
    </row>
    <row r="15" spans="1:3" ht="25" customHeight="1" x14ac:dyDescent="0.25">
      <c r="A15" s="34" t="s">
        <v>5</v>
      </c>
      <c r="B15" s="35" t="s">
        <v>118</v>
      </c>
      <c r="C15" s="36">
        <f>VLOOKUP(A15,[17]Podkarpacki!$A$8:$C$68,3,FALSE)</f>
        <v>194309</v>
      </c>
    </row>
    <row r="16" spans="1:3" ht="25" customHeight="1" x14ac:dyDescent="0.25">
      <c r="A16" s="34" t="s">
        <v>6</v>
      </c>
      <c r="B16" s="35" t="s">
        <v>124</v>
      </c>
      <c r="C16" s="36">
        <f>VLOOKUP(A16,[17]Podkarpacki!$A$8:$C$68,3,FALSE)</f>
        <v>152370</v>
      </c>
    </row>
    <row r="17" spans="1:3" ht="25" customHeight="1" x14ac:dyDescent="0.25">
      <c r="A17" s="34" t="s">
        <v>7</v>
      </c>
      <c r="B17" s="35" t="s">
        <v>123</v>
      </c>
      <c r="C17" s="36">
        <f>VLOOKUP(A17,[17]Podkarpacki!$A$8:$C$68,3,FALSE)</f>
        <v>53623</v>
      </c>
    </row>
    <row r="18" spans="1:3" ht="25" customHeight="1" x14ac:dyDescent="0.25">
      <c r="A18" s="34" t="s">
        <v>8</v>
      </c>
      <c r="B18" s="35" t="s">
        <v>119</v>
      </c>
      <c r="C18" s="36">
        <f>VLOOKUP(A18,[17]Podkarpacki!$A$8:$C$68,3,FALSE)</f>
        <v>116801</v>
      </c>
    </row>
    <row r="19" spans="1:3" ht="25" customHeight="1" x14ac:dyDescent="0.25">
      <c r="A19" s="34" t="s">
        <v>9</v>
      </c>
      <c r="B19" s="35" t="s">
        <v>120</v>
      </c>
      <c r="C19" s="36">
        <f>VLOOKUP(A19,[17]Podkarpacki!$A$8:$C$68,3,FALSE)</f>
        <v>41549</v>
      </c>
    </row>
    <row r="20" spans="1:3" ht="25" customHeight="1" x14ac:dyDescent="0.25">
      <c r="A20" s="34" t="s">
        <v>10</v>
      </c>
      <c r="B20" s="35" t="s">
        <v>125</v>
      </c>
      <c r="C20" s="36">
        <f>VLOOKUP(A20,[17]Podkarpacki!$A$8:$C$68,3,FALSE)</f>
        <v>20387</v>
      </c>
    </row>
    <row r="21" spans="1:3" ht="25" customHeight="1" x14ac:dyDescent="0.25">
      <c r="A21" s="34" t="s">
        <v>11</v>
      </c>
      <c r="B21" s="35" t="s">
        <v>121</v>
      </c>
      <c r="C21" s="36">
        <f>VLOOKUP(A21,[17]Podkarpacki!$A$8:$C$68,3,FALSE)+[9]Św!$H$13</f>
        <v>10727</v>
      </c>
    </row>
    <row r="22" spans="1:3" ht="25" customHeight="1" x14ac:dyDescent="0.25">
      <c r="A22" s="34" t="s">
        <v>12</v>
      </c>
      <c r="B22" s="35" t="s">
        <v>159</v>
      </c>
      <c r="C22" s="36">
        <f>VLOOKUP(A22,[17]Podkarpacki!$A$8:$C$68,3,FALSE)</f>
        <v>103688</v>
      </c>
    </row>
    <row r="23" spans="1:3" ht="25" customHeight="1" x14ac:dyDescent="0.25">
      <c r="A23" s="34" t="s">
        <v>13</v>
      </c>
      <c r="B23" s="35" t="s">
        <v>144</v>
      </c>
      <c r="C23" s="36">
        <f>VLOOKUP(A23,[17]Podkarpacki!$A$8:$C$68,3,FALSE)</f>
        <v>58500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423652</v>
      </c>
    </row>
    <row r="25" spans="1:3" ht="36" x14ac:dyDescent="0.25">
      <c r="A25" s="34" t="s">
        <v>126</v>
      </c>
      <c r="B25" s="38" t="s">
        <v>146</v>
      </c>
      <c r="C25" s="36">
        <f>VLOOKUP(A25,[17]Podkarpacki!$A$8:$C$68,3,FALSE)</f>
        <v>420652</v>
      </c>
    </row>
    <row r="26" spans="1:3" ht="25" customHeight="1" x14ac:dyDescent="0.25">
      <c r="A26" s="37" t="s">
        <v>145</v>
      </c>
      <c r="B26" s="38" t="s">
        <v>148</v>
      </c>
      <c r="C26" s="36">
        <f>VLOOKUP(A26,[17]Podkarpacki!$A$8:$C$68,3,FALSE)</f>
        <v>2000</v>
      </c>
    </row>
    <row r="27" spans="1:3" ht="31.5" customHeight="1" x14ac:dyDescent="0.25">
      <c r="A27" s="37" t="s">
        <v>149</v>
      </c>
      <c r="B27" s="38" t="s">
        <v>147</v>
      </c>
      <c r="C27" s="36">
        <f>VLOOKUP(A27,[17]Podkarpacki!$A$8:$C$68,3,FALSE)</f>
        <v>1000</v>
      </c>
    </row>
    <row r="28" spans="1:3" ht="25" customHeight="1" x14ac:dyDescent="0.25">
      <c r="A28" s="39" t="s">
        <v>15</v>
      </c>
      <c r="B28" s="40" t="s">
        <v>110</v>
      </c>
      <c r="C28" s="36">
        <f>VLOOKUP(A28,[17]Podkarpacki!$A$8:$C$68,3,FALSE)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VLOOKUP(A29,[17]Podkarpacki!$A$8:$C$68,3,FALSE)</f>
        <v>20000</v>
      </c>
    </row>
    <row r="30" spans="1:3" ht="25" customHeight="1" x14ac:dyDescent="0.25">
      <c r="A30" s="37" t="s">
        <v>151</v>
      </c>
      <c r="B30" s="38" t="s">
        <v>161</v>
      </c>
      <c r="C30" s="36">
        <f>VLOOKUP(A30,[17]Podkarpacki!$A$8:$C$68,3,FALSE)</f>
        <v>10000</v>
      </c>
    </row>
    <row r="31" spans="1:3" ht="25" customHeight="1" x14ac:dyDescent="0.25">
      <c r="A31" s="39" t="s">
        <v>108</v>
      </c>
      <c r="B31" s="42" t="s">
        <v>111</v>
      </c>
      <c r="C31" s="36">
        <f>VLOOKUP(A31,[17]Podkarpacki!$A$8:$C$68,3,FALSE)</f>
        <v>360575</v>
      </c>
    </row>
    <row r="32" spans="1:3" ht="25" customHeight="1" x14ac:dyDescent="0.25">
      <c r="A32" s="39" t="s">
        <v>109</v>
      </c>
      <c r="B32" s="41" t="s">
        <v>160</v>
      </c>
      <c r="C32" s="36">
        <f>VLOOKUP(A32,[17]Podkarpacki!$A$8:$C$68,3,FALSE)</f>
        <v>1000</v>
      </c>
    </row>
    <row r="33" spans="1:3" ht="25" customHeight="1" x14ac:dyDescent="0.25">
      <c r="A33" s="39" t="s">
        <v>162</v>
      </c>
      <c r="B33" s="41" t="s">
        <v>163</v>
      </c>
      <c r="C33" s="36">
        <f>VLOOKUP(A33,[17]Podkarpacki!$A$8:$C$68,3,FALSE)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VLOOKUP(A34,[17]Podkarpacki!$A$8:$C$68,3,FALSE)</f>
        <v>500</v>
      </c>
    </row>
    <row r="35" spans="1:3" ht="25" customHeight="1" x14ac:dyDescent="0.25">
      <c r="A35" s="39" t="s">
        <v>182</v>
      </c>
      <c r="B35" s="41" t="s">
        <v>183</v>
      </c>
      <c r="C35" s="36">
        <f>VLOOKUP(A35,[17]Podkarpacki!$A$8:$C$68,3,FALSE)</f>
        <v>32623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VLOOKUP(A36,[17]Podkarpacki!$A$8:$C$68,3,FALSE)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VLOOKUP(A37,[17]Podkarpacki!$A$8:$C$68,3,FALSE)</f>
        <v>125290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VLOOKUP(A38,[17]Podkarpacki!$A$8:$C$68,3,FALSE)</f>
        <v>40162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638862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28294</v>
      </c>
    </row>
    <row r="42" spans="1:3" ht="25" customHeight="1" x14ac:dyDescent="0.25">
      <c r="A42" s="39" t="s">
        <v>16</v>
      </c>
      <c r="B42" s="41" t="s">
        <v>17</v>
      </c>
      <c r="C42" s="36">
        <f>VLOOKUP(A42,[17]Podkarpacki!$A$8:$C$68,3,FALSE)</f>
        <v>1448</v>
      </c>
    </row>
    <row r="43" spans="1:3" ht="25" customHeight="1" x14ac:dyDescent="0.25">
      <c r="A43" s="39" t="s">
        <v>18</v>
      </c>
      <c r="B43" s="41" t="s">
        <v>19</v>
      </c>
      <c r="C43" s="36">
        <f>VLOOKUP(A43,[17]Podkarpacki!$A$8:$C$68,3,FALSE)</f>
        <v>3021</v>
      </c>
    </row>
    <row r="44" spans="1:3" ht="25" customHeight="1" x14ac:dyDescent="0.25">
      <c r="A44" s="39" t="s">
        <v>20</v>
      </c>
      <c r="B44" s="46" t="s">
        <v>174</v>
      </c>
      <c r="C44" s="36">
        <f>VLOOKUP(A44,[17]Podkarpacki!$A$8:$C$68,3,FALSE)</f>
        <v>128</v>
      </c>
    </row>
    <row r="45" spans="1:3" ht="25" customHeight="1" x14ac:dyDescent="0.25">
      <c r="A45" s="39" t="s">
        <v>37</v>
      </c>
      <c r="B45" s="47" t="s">
        <v>30</v>
      </c>
      <c r="C45" s="36">
        <f>VLOOKUP(A45,[17]Podkarpacki!$A$8:$C$68,3,FALSE)</f>
        <v>30</v>
      </c>
    </row>
    <row r="46" spans="1:3" ht="25" customHeight="1" x14ac:dyDescent="0.25">
      <c r="A46" s="39" t="s">
        <v>38</v>
      </c>
      <c r="B46" s="48" t="s">
        <v>31</v>
      </c>
      <c r="C46" s="36">
        <f>VLOOKUP(A46,[17]Podkarpacki!$A$8:$C$68,3,FALSE)</f>
        <v>30</v>
      </c>
    </row>
    <row r="47" spans="1:3" ht="25" customHeight="1" x14ac:dyDescent="0.25">
      <c r="A47" s="39" t="s">
        <v>39</v>
      </c>
      <c r="B47" s="47" t="s">
        <v>32</v>
      </c>
      <c r="C47" s="36">
        <f>VLOOKUP(A47,[17]Podkarpacki!$A$8:$C$68,3,FALSE)</f>
        <v>13</v>
      </c>
    </row>
    <row r="48" spans="1:3" ht="25" customHeight="1" x14ac:dyDescent="0.25">
      <c r="A48" s="39" t="s">
        <v>40</v>
      </c>
      <c r="B48" s="47" t="s">
        <v>33</v>
      </c>
      <c r="C48" s="36">
        <f>VLOOKUP(A48,[17]Podkarpacki!$A$8:$C$68,3,FALSE)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VLOOKUP(A49,[17]Podkarpacki!$A$8:$C$68,3,FALSE)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VLOOKUP(A50,[17]Podkarpacki!$A$8:$C$68,3,FALSE)</f>
        <v>46</v>
      </c>
    </row>
    <row r="51" spans="1:3" ht="25" customHeight="1" x14ac:dyDescent="0.25">
      <c r="A51" s="39" t="s">
        <v>43</v>
      </c>
      <c r="B51" s="47" t="s">
        <v>36</v>
      </c>
      <c r="C51" s="36">
        <f>VLOOKUP(A51,[17]Podkarpacki!$A$8:$C$68,3,FALSE)</f>
        <v>39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'[7]F_wynagr-2020'!$V$14</f>
        <v>16679</v>
      </c>
    </row>
    <row r="53" spans="1:3" ht="25" customHeight="1" x14ac:dyDescent="0.25">
      <c r="A53" s="39" t="s">
        <v>154</v>
      </c>
      <c r="B53" s="47" t="s">
        <v>155</v>
      </c>
      <c r="C53" s="36">
        <f>VLOOKUP(A53,[17]Podkarpacki!$A$8:$C$68,3,FALSE)</f>
        <v>10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3732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2020'!$I$14</f>
        <v>2864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2020'!$L$14</f>
        <v>409</v>
      </c>
    </row>
    <row r="57" spans="1:3" ht="25" customHeight="1" x14ac:dyDescent="0.25">
      <c r="A57" s="39" t="s">
        <v>50</v>
      </c>
      <c r="B57" s="47" t="s">
        <v>46</v>
      </c>
      <c r="C57" s="36">
        <f>VLOOKUP(A57,[17]Podkarpacki!$A$8:$C$68,3,FALSE)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2020'!$P$14</f>
        <v>459</v>
      </c>
    </row>
    <row r="59" spans="1:3" ht="25" customHeight="1" x14ac:dyDescent="0.25">
      <c r="A59" s="39" t="s">
        <v>23</v>
      </c>
      <c r="B59" s="41" t="s">
        <v>24</v>
      </c>
      <c r="C59" s="36">
        <f>VLOOKUP(A59,[17]Podkarpacki!$A$8:$C$68,3,FALSE)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VLOOKUP(A60,[17]Podkarpacki!$A$8:$C$68,3,FALSE)</f>
        <v>3000</v>
      </c>
    </row>
    <row r="61" spans="1:3" ht="25" customHeight="1" x14ac:dyDescent="0.25">
      <c r="A61" s="39" t="s">
        <v>26</v>
      </c>
      <c r="B61" s="41" t="s">
        <v>27</v>
      </c>
      <c r="C61" s="36">
        <f>VLOOKUP(A61,[17]Podkarpacki!$A$8:$C$68,3,FALSE)</f>
        <v>286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5800</v>
      </c>
    </row>
    <row r="63" spans="1:3" ht="25" customHeight="1" x14ac:dyDescent="0.25">
      <c r="A63" s="39" t="s">
        <v>99</v>
      </c>
      <c r="B63" s="41" t="s">
        <v>112</v>
      </c>
      <c r="C63" s="36">
        <f>VLOOKUP(A63,[17]Podkarpacki!$A$8:$C$68,3,FALSE)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VLOOKUP(A64,[17]Podkarpacki!$A$8:$C$68,3,FALSE)</f>
        <v>3300</v>
      </c>
    </row>
    <row r="65" spans="1:3" ht="25" customHeight="1" x14ac:dyDescent="0.25">
      <c r="A65" s="39" t="s">
        <v>29</v>
      </c>
      <c r="B65" s="41" t="s">
        <v>101</v>
      </c>
      <c r="C65" s="36">
        <f>VLOOKUP(A65,[17]Podkarpacki!$A$8:$C$68,3,FALSE)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VLOOKUP(A66,[17]Podkarpacki!$A$8:$C$68,3,FALSE)</f>
        <v>2500</v>
      </c>
    </row>
    <row r="67" spans="1:3" ht="25" customHeight="1" x14ac:dyDescent="0.25">
      <c r="A67" s="14" t="s">
        <v>134</v>
      </c>
      <c r="B67" s="43" t="s">
        <v>113</v>
      </c>
      <c r="C67" s="44">
        <f>VLOOKUP(A67,[17]Podkarpacki!$A$8:$C$68,3,FALSE)</f>
        <v>400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92D050"/>
  </sheetPr>
  <dimension ref="A1:C67"/>
  <sheetViews>
    <sheetView showGridLines="0" view="pageBreakPreview" zoomScale="80" zoomScaleNormal="70" zoomScaleSheetLayoutView="80" workbookViewId="0">
      <pane xSplit="2" ySplit="6" topLeftCell="C55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68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2727951</v>
      </c>
    </row>
    <row r="7" spans="1:3" ht="25" customHeight="1" x14ac:dyDescent="0.25">
      <c r="A7" s="34" t="s">
        <v>1</v>
      </c>
      <c r="B7" s="35" t="s">
        <v>116</v>
      </c>
      <c r="C7" s="36">
        <f>VLOOKUP(A7,[18]Podlaski!$A$8:$C$68,3,FALSE)</f>
        <v>374000</v>
      </c>
    </row>
    <row r="8" spans="1:3" ht="25" customHeight="1" x14ac:dyDescent="0.25">
      <c r="A8" s="34" t="s">
        <v>2</v>
      </c>
      <c r="B8" s="35" t="s">
        <v>117</v>
      </c>
      <c r="C8" s="36">
        <f>VLOOKUP(A8,[18]Podlaski!$A$8:$C$68,3,FALSE)</f>
        <v>151244</v>
      </c>
    </row>
    <row r="9" spans="1:3" ht="25" customHeight="1" x14ac:dyDescent="0.25">
      <c r="A9" s="34" t="s">
        <v>3</v>
      </c>
      <c r="B9" s="35" t="s">
        <v>114</v>
      </c>
      <c r="C9" s="36">
        <f>VLOOKUP(A9,[18]Podlaski!$A$8:$C$68,3,FALSE)+[9]Św!$I$14</f>
        <v>1321473</v>
      </c>
    </row>
    <row r="10" spans="1:3" ht="25" customHeight="1" x14ac:dyDescent="0.25">
      <c r="A10" s="37" t="s">
        <v>54</v>
      </c>
      <c r="B10" s="38" t="s">
        <v>187</v>
      </c>
      <c r="C10" s="36">
        <f>VLOOKUP(A10,[18]Podlaski!$A$8:$C$68,3,FALSE)</f>
        <v>106968</v>
      </c>
    </row>
    <row r="11" spans="1:3" ht="25" customHeight="1" x14ac:dyDescent="0.25">
      <c r="A11" s="37" t="s">
        <v>138</v>
      </c>
      <c r="B11" s="38" t="s">
        <v>141</v>
      </c>
      <c r="C11" s="36">
        <f>VLOOKUP(A11,[18]Podlaski!$A$8:$C$68,3,FALSE)</f>
        <v>97257</v>
      </c>
    </row>
    <row r="12" spans="1:3" ht="25" customHeight="1" x14ac:dyDescent="0.25">
      <c r="A12" s="37" t="s">
        <v>139</v>
      </c>
      <c r="B12" s="38" t="s">
        <v>142</v>
      </c>
      <c r="C12" s="36">
        <f>VLOOKUP(A12,[18]Podlaski!$A$8:$C$68,3,FALSE)</f>
        <v>40232</v>
      </c>
    </row>
    <row r="13" spans="1:3" ht="25" customHeight="1" x14ac:dyDescent="0.25">
      <c r="A13" s="37" t="s">
        <v>140</v>
      </c>
      <c r="B13" s="38" t="s">
        <v>143</v>
      </c>
      <c r="C13" s="36">
        <f>VLOOKUP(A13,[18]Podlaski!$A$8:$C$68,3,FALSE)</f>
        <v>22004</v>
      </c>
    </row>
    <row r="14" spans="1:3" ht="25" customHeight="1" x14ac:dyDescent="0.25">
      <c r="A14" s="34" t="s">
        <v>4</v>
      </c>
      <c r="B14" s="35" t="s">
        <v>122</v>
      </c>
      <c r="C14" s="36">
        <f>VLOOKUP(A14,[18]Podlaski!$A$8:$C$68,3,FALSE)</f>
        <v>74626</v>
      </c>
    </row>
    <row r="15" spans="1:3" ht="25" customHeight="1" x14ac:dyDescent="0.25">
      <c r="A15" s="34" t="s">
        <v>5</v>
      </c>
      <c r="B15" s="35" t="s">
        <v>118</v>
      </c>
      <c r="C15" s="36">
        <f>VLOOKUP(A15,[18]Podlaski!$A$8:$C$68,3,FALSE)</f>
        <v>65513</v>
      </c>
    </row>
    <row r="16" spans="1:3" ht="25" customHeight="1" x14ac:dyDescent="0.25">
      <c r="A16" s="34" t="s">
        <v>6</v>
      </c>
      <c r="B16" s="35" t="s">
        <v>124</v>
      </c>
      <c r="C16" s="36">
        <f>VLOOKUP(A16,[18]Podlaski!$A$8:$C$68,3,FALSE)</f>
        <v>40569</v>
      </c>
    </row>
    <row r="17" spans="1:3" ht="25" customHeight="1" x14ac:dyDescent="0.25">
      <c r="A17" s="34" t="s">
        <v>7</v>
      </c>
      <c r="B17" s="35" t="s">
        <v>123</v>
      </c>
      <c r="C17" s="36">
        <f>VLOOKUP(A17,[18]Podlaski!$A$8:$C$68,3,FALSE)</f>
        <v>23491</v>
      </c>
    </row>
    <row r="18" spans="1:3" ht="25" customHeight="1" x14ac:dyDescent="0.25">
      <c r="A18" s="34" t="s">
        <v>8</v>
      </c>
      <c r="B18" s="35" t="s">
        <v>119</v>
      </c>
      <c r="C18" s="36">
        <f>VLOOKUP(A18,[18]Podlaski!$A$8:$C$68,3,FALSE)</f>
        <v>66162</v>
      </c>
    </row>
    <row r="19" spans="1:3" ht="25" customHeight="1" x14ac:dyDescent="0.25">
      <c r="A19" s="34" t="s">
        <v>9</v>
      </c>
      <c r="B19" s="35" t="s">
        <v>120</v>
      </c>
      <c r="C19" s="36">
        <f>VLOOKUP(A19,[18]Podlaski!$A$8:$C$68,3,FALSE)</f>
        <v>22440</v>
      </c>
    </row>
    <row r="20" spans="1:3" ht="25" customHeight="1" x14ac:dyDescent="0.25">
      <c r="A20" s="34" t="s">
        <v>10</v>
      </c>
      <c r="B20" s="35" t="s">
        <v>125</v>
      </c>
      <c r="C20" s="36">
        <f>VLOOKUP(A20,[18]Podlaski!$A$8:$C$68,3,FALSE)</f>
        <v>10900</v>
      </c>
    </row>
    <row r="21" spans="1:3" ht="25" customHeight="1" x14ac:dyDescent="0.25">
      <c r="A21" s="34" t="s">
        <v>11</v>
      </c>
      <c r="B21" s="35" t="s">
        <v>121</v>
      </c>
      <c r="C21" s="36">
        <f>VLOOKUP(A21,[18]Podlaski!$A$8:$C$68,3,FALSE)+[9]Św!$H$14</f>
        <v>6817</v>
      </c>
    </row>
    <row r="22" spans="1:3" ht="25" customHeight="1" x14ac:dyDescent="0.25">
      <c r="A22" s="34" t="s">
        <v>12</v>
      </c>
      <c r="B22" s="35" t="s">
        <v>159</v>
      </c>
      <c r="C22" s="36">
        <f>VLOOKUP(A22,[18]Podlaski!$A$8:$C$68,3,FALSE)</f>
        <v>66666</v>
      </c>
    </row>
    <row r="23" spans="1:3" ht="25" customHeight="1" x14ac:dyDescent="0.25">
      <c r="A23" s="34" t="s">
        <v>13</v>
      </c>
      <c r="B23" s="35" t="s">
        <v>144</v>
      </c>
      <c r="C23" s="36">
        <f>VLOOKUP(A23,[18]Podlaski!$A$8:$C$68,3,FALSE)</f>
        <v>37100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231400</v>
      </c>
    </row>
    <row r="25" spans="1:3" ht="36" x14ac:dyDescent="0.25">
      <c r="A25" s="34" t="s">
        <v>126</v>
      </c>
      <c r="B25" s="38" t="s">
        <v>146</v>
      </c>
      <c r="C25" s="36">
        <f>VLOOKUP(A25,[18]Podlaski!$A$8:$C$68,3,FALSE)</f>
        <v>229100</v>
      </c>
    </row>
    <row r="26" spans="1:3" ht="25" customHeight="1" x14ac:dyDescent="0.25">
      <c r="A26" s="37" t="s">
        <v>145</v>
      </c>
      <c r="B26" s="38" t="s">
        <v>148</v>
      </c>
      <c r="C26" s="36">
        <f>VLOOKUP(A26,[18]Podlaski!$A$8:$C$68,3,FALSE)</f>
        <v>1650</v>
      </c>
    </row>
    <row r="27" spans="1:3" ht="31.5" customHeight="1" x14ac:dyDescent="0.25">
      <c r="A27" s="37" t="s">
        <v>149</v>
      </c>
      <c r="B27" s="38" t="s">
        <v>147</v>
      </c>
      <c r="C27" s="36">
        <f>VLOOKUP(A27,[18]Podlaski!$A$8:$C$68,3,FALSE)</f>
        <v>650</v>
      </c>
    </row>
    <row r="28" spans="1:3" ht="25" customHeight="1" x14ac:dyDescent="0.25">
      <c r="A28" s="39" t="s">
        <v>15</v>
      </c>
      <c r="B28" s="40" t="s">
        <v>110</v>
      </c>
      <c r="C28" s="36">
        <f>VLOOKUP(A28,[18]Podlaski!$A$8:$C$68,3,FALSE)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VLOOKUP(A29,[18]Podlaski!$A$8:$C$68,3,FALSE)</f>
        <v>23500</v>
      </c>
    </row>
    <row r="30" spans="1:3" ht="25" customHeight="1" x14ac:dyDescent="0.25">
      <c r="A30" s="37" t="s">
        <v>151</v>
      </c>
      <c r="B30" s="38" t="s">
        <v>161</v>
      </c>
      <c r="C30" s="36">
        <f>VLOOKUP(A30,[18]Podlaski!$A$8:$C$68,3,FALSE)</f>
        <v>5000</v>
      </c>
    </row>
    <row r="31" spans="1:3" ht="25" customHeight="1" x14ac:dyDescent="0.25">
      <c r="A31" s="39" t="s">
        <v>108</v>
      </c>
      <c r="B31" s="42" t="s">
        <v>111</v>
      </c>
      <c r="C31" s="36">
        <f>VLOOKUP(A31,[18]Podlaski!$A$8:$C$68,3,FALSE)</f>
        <v>177273</v>
      </c>
    </row>
    <row r="32" spans="1:3" ht="25" customHeight="1" x14ac:dyDescent="0.25">
      <c r="A32" s="39" t="s">
        <v>109</v>
      </c>
      <c r="B32" s="41" t="s">
        <v>160</v>
      </c>
      <c r="C32" s="36">
        <f>VLOOKUP(A32,[18]Podlaski!$A$8:$C$68,3,FALSE)</f>
        <v>240</v>
      </c>
    </row>
    <row r="33" spans="1:3" ht="25" customHeight="1" x14ac:dyDescent="0.25">
      <c r="A33" s="39" t="s">
        <v>162</v>
      </c>
      <c r="B33" s="41" t="s">
        <v>163</v>
      </c>
      <c r="C33" s="36">
        <f>VLOOKUP(A33,[18]Podlaski!$A$8:$C$68,3,FALSE)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VLOOKUP(A34,[18]Podlaski!$A$8:$C$68,3,FALSE)</f>
        <v>200</v>
      </c>
    </row>
    <row r="35" spans="1:3" ht="25" customHeight="1" x14ac:dyDescent="0.25">
      <c r="A35" s="39" t="s">
        <v>182</v>
      </c>
      <c r="B35" s="41" t="s">
        <v>183</v>
      </c>
      <c r="C35" s="36">
        <f>VLOOKUP(A35,[18]Podlaski!$A$8:$C$68,3,FALSE)</f>
        <v>34337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VLOOKUP(A36,[18]Podlaski!$A$8:$C$68,3,FALSE)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VLOOKUP(A37,[18]Podlaski!$A$8:$C$68,3,FALSE)</f>
        <v>81484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VLOOKUP(A38,[18]Podlaski!$A$8:$C$68,3,FALSE)</f>
        <v>25619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355661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18220</v>
      </c>
    </row>
    <row r="42" spans="1:3" ht="25" customHeight="1" x14ac:dyDescent="0.25">
      <c r="A42" s="39" t="s">
        <v>16</v>
      </c>
      <c r="B42" s="41" t="s">
        <v>17</v>
      </c>
      <c r="C42" s="36">
        <f>VLOOKUP(A42,[18]Podlaski!$A$8:$C$68,3,FALSE)</f>
        <v>752</v>
      </c>
    </row>
    <row r="43" spans="1:3" ht="25" customHeight="1" x14ac:dyDescent="0.25">
      <c r="A43" s="39" t="s">
        <v>18</v>
      </c>
      <c r="B43" s="41" t="s">
        <v>19</v>
      </c>
      <c r="C43" s="36">
        <f>VLOOKUP(A43,[18]Podlaski!$A$8:$C$68,3,FALSE)</f>
        <v>1547</v>
      </c>
    </row>
    <row r="44" spans="1:3" ht="25" customHeight="1" x14ac:dyDescent="0.25">
      <c r="A44" s="39" t="s">
        <v>20</v>
      </c>
      <c r="B44" s="46" t="s">
        <v>174</v>
      </c>
      <c r="C44" s="36">
        <f>VLOOKUP(A44,[18]Podlaski!$A$8:$C$68,3,FALSE)</f>
        <v>296</v>
      </c>
    </row>
    <row r="45" spans="1:3" ht="25" customHeight="1" x14ac:dyDescent="0.25">
      <c r="A45" s="39" t="s">
        <v>37</v>
      </c>
      <c r="B45" s="47" t="s">
        <v>30</v>
      </c>
      <c r="C45" s="36">
        <f>VLOOKUP(A45,[18]Podlaski!$A$8:$C$68,3,FALSE)</f>
        <v>19</v>
      </c>
    </row>
    <row r="46" spans="1:3" ht="25" customHeight="1" x14ac:dyDescent="0.25">
      <c r="A46" s="39" t="s">
        <v>38</v>
      </c>
      <c r="B46" s="48" t="s">
        <v>31</v>
      </c>
      <c r="C46" s="36">
        <f>VLOOKUP(A46,[18]Podlaski!$A$8:$C$68,3,FALSE)</f>
        <v>19</v>
      </c>
    </row>
    <row r="47" spans="1:3" ht="25" customHeight="1" x14ac:dyDescent="0.25">
      <c r="A47" s="39" t="s">
        <v>39</v>
      </c>
      <c r="B47" s="47" t="s">
        <v>32</v>
      </c>
      <c r="C47" s="36">
        <f>VLOOKUP(A47,[18]Podlaski!$A$8:$C$68,3,FALSE)</f>
        <v>92</v>
      </c>
    </row>
    <row r="48" spans="1:3" ht="25" customHeight="1" x14ac:dyDescent="0.25">
      <c r="A48" s="39" t="s">
        <v>40</v>
      </c>
      <c r="B48" s="47" t="s">
        <v>33</v>
      </c>
      <c r="C48" s="36">
        <f>VLOOKUP(A48,[18]Podlaski!$A$8:$C$68,3,FALSE)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VLOOKUP(A49,[18]Podlaski!$A$8:$C$68,3,FALSE)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VLOOKUP(A50,[18]Podlaski!$A$8:$C$68,3,FALSE)</f>
        <v>179</v>
      </c>
    </row>
    <row r="51" spans="1:3" ht="25" customHeight="1" x14ac:dyDescent="0.25">
      <c r="A51" s="39" t="s">
        <v>43</v>
      </c>
      <c r="B51" s="47" t="s">
        <v>36</v>
      </c>
      <c r="C51" s="36">
        <f>VLOOKUP(A51,[18]Podlaski!$A$8:$C$68,3,FALSE)</f>
        <v>6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'[7]F_wynagr-2020'!$V$15</f>
        <v>11379</v>
      </c>
    </row>
    <row r="53" spans="1:3" ht="25" customHeight="1" x14ac:dyDescent="0.25">
      <c r="A53" s="39" t="s">
        <v>154</v>
      </c>
      <c r="B53" s="47" t="s">
        <v>155</v>
      </c>
      <c r="C53" s="36">
        <f>VLOOKUP(A53,[18]Podlaski!$A$8:$C$68,3,FALSE)</f>
        <v>0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2553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2020'!$I$15</f>
        <v>1955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2020'!$L$15</f>
        <v>279</v>
      </c>
    </row>
    <row r="57" spans="1:3" ht="25" customHeight="1" x14ac:dyDescent="0.25">
      <c r="A57" s="39" t="s">
        <v>50</v>
      </c>
      <c r="B57" s="47" t="s">
        <v>46</v>
      </c>
      <c r="C57" s="36">
        <f>VLOOKUP(A57,[18]Podlaski!$A$8:$C$68,3,FALSE)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2020'!$P$15</f>
        <v>319</v>
      </c>
    </row>
    <row r="59" spans="1:3" ht="25" customHeight="1" x14ac:dyDescent="0.25">
      <c r="A59" s="39" t="s">
        <v>23</v>
      </c>
      <c r="B59" s="41" t="s">
        <v>24</v>
      </c>
      <c r="C59" s="36">
        <f>VLOOKUP(A59,[18]Podlaski!$A$8:$C$68,3,FALSE)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VLOOKUP(A60,[18]Podlaski!$A$8:$C$68,3,FALSE)</f>
        <v>1536</v>
      </c>
    </row>
    <row r="61" spans="1:3" ht="25" customHeight="1" x14ac:dyDescent="0.25">
      <c r="A61" s="39" t="s">
        <v>26</v>
      </c>
      <c r="B61" s="41" t="s">
        <v>27</v>
      </c>
      <c r="C61" s="36">
        <f>VLOOKUP(A61,[18]Podlaski!$A$8:$C$68,3,FALSE)</f>
        <v>157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1008</v>
      </c>
    </row>
    <row r="63" spans="1:3" ht="25" customHeight="1" x14ac:dyDescent="0.25">
      <c r="A63" s="39" t="s">
        <v>99</v>
      </c>
      <c r="B63" s="41" t="s">
        <v>112</v>
      </c>
      <c r="C63" s="36">
        <f>VLOOKUP(A63,[18]Podlaski!$A$8:$C$68,3,FALSE)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VLOOKUP(A64,[18]Podlaski!$A$8:$C$68,3,FALSE)</f>
        <v>300</v>
      </c>
    </row>
    <row r="65" spans="1:3" ht="25" customHeight="1" x14ac:dyDescent="0.25">
      <c r="A65" s="39" t="s">
        <v>29</v>
      </c>
      <c r="B65" s="41" t="s">
        <v>101</v>
      </c>
      <c r="C65" s="36">
        <f>VLOOKUP(A65,[18]Podlaski!$A$8:$C$68,3,FALSE)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VLOOKUP(A66,[18]Podlaski!$A$8:$C$68,3,FALSE)</f>
        <v>708</v>
      </c>
    </row>
    <row r="67" spans="1:3" ht="25" customHeight="1" x14ac:dyDescent="0.25">
      <c r="A67" s="14" t="s">
        <v>134</v>
      </c>
      <c r="B67" s="43" t="s">
        <v>113</v>
      </c>
      <c r="C67" s="44">
        <f>VLOOKUP(A67,[18]Podlaski!$A$8:$C$68,3,FALSE)</f>
        <v>204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2D050"/>
  </sheetPr>
  <dimension ref="A1:C67"/>
  <sheetViews>
    <sheetView showGridLines="0" view="pageBreakPreview" zoomScale="80" zoomScaleNormal="70" zoomScaleSheetLayoutView="80" workbookViewId="0">
      <pane xSplit="2" ySplit="6" topLeftCell="C58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69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5318391</v>
      </c>
    </row>
    <row r="7" spans="1:3" ht="25" customHeight="1" x14ac:dyDescent="0.25">
      <c r="A7" s="34" t="s">
        <v>1</v>
      </c>
      <c r="B7" s="35" t="s">
        <v>116</v>
      </c>
      <c r="C7" s="36">
        <f>VLOOKUP(A7,[19]Pomorski!$A$8:$C$68,3,FALSE)</f>
        <v>782428</v>
      </c>
    </row>
    <row r="8" spans="1:3" ht="25" customHeight="1" x14ac:dyDescent="0.25">
      <c r="A8" s="34" t="s">
        <v>2</v>
      </c>
      <c r="B8" s="35" t="s">
        <v>117</v>
      </c>
      <c r="C8" s="36">
        <f>VLOOKUP(A8,[19]Pomorski!$A$8:$C$68,3,FALSE)</f>
        <v>332777</v>
      </c>
    </row>
    <row r="9" spans="1:3" ht="25" customHeight="1" x14ac:dyDescent="0.25">
      <c r="A9" s="34" t="s">
        <v>3</v>
      </c>
      <c r="B9" s="35" t="s">
        <v>114</v>
      </c>
      <c r="C9" s="36">
        <f>VLOOKUP(A9,[19]Pomorski!$A$8:$C$68,3,FALSE)+[9]Św!$I$15-1772-9</f>
        <v>2410518</v>
      </c>
    </row>
    <row r="10" spans="1:3" ht="25" customHeight="1" x14ac:dyDescent="0.25">
      <c r="A10" s="37" t="s">
        <v>54</v>
      </c>
      <c r="B10" s="38" t="s">
        <v>187</v>
      </c>
      <c r="C10" s="36">
        <f>VLOOKUP(A10,[19]Pomorski!$A$8:$C$68,3,FALSE)</f>
        <v>254087</v>
      </c>
    </row>
    <row r="11" spans="1:3" ht="25" customHeight="1" x14ac:dyDescent="0.25">
      <c r="A11" s="37" t="s">
        <v>138</v>
      </c>
      <c r="B11" s="38" t="s">
        <v>141</v>
      </c>
      <c r="C11" s="36">
        <f>VLOOKUP(A11,[19]Pomorski!$A$8:$C$68,3,FALSE)</f>
        <v>233459</v>
      </c>
    </row>
    <row r="12" spans="1:3" ht="25" customHeight="1" x14ac:dyDescent="0.25">
      <c r="A12" s="37" t="s">
        <v>139</v>
      </c>
      <c r="B12" s="38" t="s">
        <v>142</v>
      </c>
      <c r="C12" s="36">
        <f>VLOOKUP(A12,[19]Pomorski!$A$8:$C$68,3,FALSE)</f>
        <v>85039</v>
      </c>
    </row>
    <row r="13" spans="1:3" ht="25" customHeight="1" x14ac:dyDescent="0.25">
      <c r="A13" s="37" t="s">
        <v>140</v>
      </c>
      <c r="B13" s="38" t="s">
        <v>143</v>
      </c>
      <c r="C13" s="36">
        <f>VLOOKUP(A13,[19]Pomorski!$A$8:$C$68,3,FALSE)</f>
        <v>49924</v>
      </c>
    </row>
    <row r="14" spans="1:3" ht="25" customHeight="1" x14ac:dyDescent="0.25">
      <c r="A14" s="34" t="s">
        <v>4</v>
      </c>
      <c r="B14" s="35" t="s">
        <v>122</v>
      </c>
      <c r="C14" s="36">
        <f>VLOOKUP(A14,[19]Pomorski!$A$8:$C$68,3,FALSE)</f>
        <v>187602</v>
      </c>
    </row>
    <row r="15" spans="1:3" ht="25" customHeight="1" x14ac:dyDescent="0.25">
      <c r="A15" s="34" t="s">
        <v>5</v>
      </c>
      <c r="B15" s="35" t="s">
        <v>118</v>
      </c>
      <c r="C15" s="36">
        <f>VLOOKUP(A15,[19]Pomorski!$A$8:$C$68,3,FALSE)</f>
        <v>145342</v>
      </c>
    </row>
    <row r="16" spans="1:3" ht="25" customHeight="1" x14ac:dyDescent="0.25">
      <c r="A16" s="34" t="s">
        <v>6</v>
      </c>
      <c r="B16" s="35" t="s">
        <v>124</v>
      </c>
      <c r="C16" s="36">
        <f>VLOOKUP(A16,[19]Pomorski!$A$8:$C$68,3,FALSE)</f>
        <v>66589</v>
      </c>
    </row>
    <row r="17" spans="1:3" ht="25" customHeight="1" x14ac:dyDescent="0.25">
      <c r="A17" s="34" t="s">
        <v>7</v>
      </c>
      <c r="B17" s="35" t="s">
        <v>123</v>
      </c>
      <c r="C17" s="36">
        <f>VLOOKUP(A17,[19]Pomorski!$A$8:$C$68,3,FALSE)</f>
        <v>52069</v>
      </c>
    </row>
    <row r="18" spans="1:3" ht="25" customHeight="1" x14ac:dyDescent="0.25">
      <c r="A18" s="34" t="s">
        <v>8</v>
      </c>
      <c r="B18" s="35" t="s">
        <v>119</v>
      </c>
      <c r="C18" s="36">
        <f>VLOOKUP(A18,[19]Pomorski!$A$8:$C$68,3,FALSE)</f>
        <v>114830</v>
      </c>
    </row>
    <row r="19" spans="1:3" ht="25" customHeight="1" x14ac:dyDescent="0.25">
      <c r="A19" s="34" t="s">
        <v>9</v>
      </c>
      <c r="B19" s="35" t="s">
        <v>120</v>
      </c>
      <c r="C19" s="36">
        <f>VLOOKUP(A19,[19]Pomorski!$A$8:$C$68,3,FALSE)+1772</f>
        <v>39972</v>
      </c>
    </row>
    <row r="20" spans="1:3" ht="25" customHeight="1" x14ac:dyDescent="0.25">
      <c r="A20" s="34" t="s">
        <v>10</v>
      </c>
      <c r="B20" s="35" t="s">
        <v>125</v>
      </c>
      <c r="C20" s="36">
        <f>VLOOKUP(A20,[19]Pomorski!$A$8:$C$68,3,FALSE)</f>
        <v>27400</v>
      </c>
    </row>
    <row r="21" spans="1:3" ht="25" customHeight="1" x14ac:dyDescent="0.25">
      <c r="A21" s="34" t="s">
        <v>11</v>
      </c>
      <c r="B21" s="35" t="s">
        <v>121</v>
      </c>
      <c r="C21" s="36">
        <f>VLOOKUP(A21,[19]Pomorski!$A$8:$C$68,3,FALSE)+[9]Św!$H$15</f>
        <v>16695</v>
      </c>
    </row>
    <row r="22" spans="1:3" ht="25" customHeight="1" x14ac:dyDescent="0.25">
      <c r="A22" s="34" t="s">
        <v>12</v>
      </c>
      <c r="B22" s="35" t="s">
        <v>159</v>
      </c>
      <c r="C22" s="36">
        <f>VLOOKUP(A22,[19]Pomorski!$A$8:$C$68,3,FALSE)</f>
        <v>129992</v>
      </c>
    </row>
    <row r="23" spans="1:3" ht="25" customHeight="1" x14ac:dyDescent="0.25">
      <c r="A23" s="34" t="s">
        <v>13</v>
      </c>
      <c r="B23" s="35" t="s">
        <v>144</v>
      </c>
      <c r="C23" s="36">
        <f>VLOOKUP(A23,[19]Pomorski!$A$8:$C$68,3,FALSE)</f>
        <v>70700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600000</v>
      </c>
    </row>
    <row r="25" spans="1:3" ht="36" x14ac:dyDescent="0.25">
      <c r="A25" s="34" t="s">
        <v>126</v>
      </c>
      <c r="B25" s="38" t="s">
        <v>146</v>
      </c>
      <c r="C25" s="36">
        <f>VLOOKUP(A25,[19]Pomorski!$A$8:$C$68,3,FALSE)</f>
        <v>598100</v>
      </c>
    </row>
    <row r="26" spans="1:3" ht="25" customHeight="1" x14ac:dyDescent="0.25">
      <c r="A26" s="37" t="s">
        <v>145</v>
      </c>
      <c r="B26" s="38" t="s">
        <v>148</v>
      </c>
      <c r="C26" s="36">
        <f>VLOOKUP(A26,[19]Pomorski!$A$8:$C$68,3,FALSE)</f>
        <v>1000</v>
      </c>
    </row>
    <row r="27" spans="1:3" ht="31.5" customHeight="1" x14ac:dyDescent="0.25">
      <c r="A27" s="37" t="s">
        <v>149</v>
      </c>
      <c r="B27" s="38" t="s">
        <v>147</v>
      </c>
      <c r="C27" s="36">
        <f>VLOOKUP(A27,[19]Pomorski!$A$8:$C$68,3,FALSE)</f>
        <v>900</v>
      </c>
    </row>
    <row r="28" spans="1:3" ht="25" customHeight="1" x14ac:dyDescent="0.25">
      <c r="A28" s="39" t="s">
        <v>15</v>
      </c>
      <c r="B28" s="40" t="s">
        <v>110</v>
      </c>
      <c r="C28" s="36">
        <f>VLOOKUP(A28,[19]Pomorski!$A$8:$C$68,3,FALSE)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VLOOKUP(A29,[19]Pomorski!$A$8:$C$68,3,FALSE)</f>
        <v>2744</v>
      </c>
    </row>
    <row r="30" spans="1:3" ht="25" customHeight="1" x14ac:dyDescent="0.25">
      <c r="A30" s="37" t="s">
        <v>151</v>
      </c>
      <c r="B30" s="38" t="s">
        <v>161</v>
      </c>
      <c r="C30" s="36">
        <f>VLOOKUP(A30,[19]Pomorski!$A$8:$C$68,3,FALSE)</f>
        <v>2744</v>
      </c>
    </row>
    <row r="31" spans="1:3" ht="25" customHeight="1" x14ac:dyDescent="0.25">
      <c r="A31" s="39" t="s">
        <v>108</v>
      </c>
      <c r="B31" s="42" t="s">
        <v>111</v>
      </c>
      <c r="C31" s="36">
        <f>VLOOKUP(A31,[19]Pomorski!$A$8:$C$68,3,FALSE)</f>
        <v>317063</v>
      </c>
    </row>
    <row r="32" spans="1:3" ht="25" customHeight="1" x14ac:dyDescent="0.25">
      <c r="A32" s="39" t="s">
        <v>109</v>
      </c>
      <c r="B32" s="41" t="s">
        <v>160</v>
      </c>
      <c r="C32" s="36">
        <f>VLOOKUP(A32,[19]Pomorski!$A$8:$C$68,3,FALSE)</f>
        <v>4223</v>
      </c>
    </row>
    <row r="33" spans="1:3" ht="25" customHeight="1" x14ac:dyDescent="0.25">
      <c r="A33" s="39" t="s">
        <v>162</v>
      </c>
      <c r="B33" s="41" t="s">
        <v>163</v>
      </c>
      <c r="C33" s="36">
        <f>VLOOKUP(A33,[19]Pomorski!$A$8:$C$68,3,FALSE)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VLOOKUP(A34,[19]Pomorski!$A$8:$C$68,3,FALSE)+9</f>
        <v>59</v>
      </c>
    </row>
    <row r="35" spans="1:3" ht="25" customHeight="1" x14ac:dyDescent="0.25">
      <c r="A35" s="39" t="s">
        <v>182</v>
      </c>
      <c r="B35" s="41" t="s">
        <v>183</v>
      </c>
      <c r="C35" s="36">
        <f>VLOOKUP(A35,[19]Pomorski!$A$8:$C$68,3,FALSE)</f>
        <v>17388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VLOOKUP(A36,[19]Pomorski!$A$8:$C$68,3,FALSE)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VLOOKUP(A37,[19]Pomorski!$A$8:$C$68,3,FALSE)</f>
        <v>124043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VLOOKUP(A38,[19]Pomorski!$A$8:$C$68,3,FALSE)</f>
        <v>50313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886127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36763</v>
      </c>
    </row>
    <row r="42" spans="1:3" ht="25" customHeight="1" x14ac:dyDescent="0.25">
      <c r="A42" s="39" t="s">
        <v>16</v>
      </c>
      <c r="B42" s="41" t="s">
        <v>17</v>
      </c>
      <c r="C42" s="36">
        <f>VLOOKUP(A42,[19]Pomorski!$A$8:$C$68,3,FALSE)+51</f>
        <v>1664</v>
      </c>
    </row>
    <row r="43" spans="1:3" ht="25" customHeight="1" x14ac:dyDescent="0.25">
      <c r="A43" s="39" t="s">
        <v>18</v>
      </c>
      <c r="B43" s="41" t="s">
        <v>19</v>
      </c>
      <c r="C43" s="36">
        <f>VLOOKUP(A43,[19]Pomorski!$A$8:$C$68,3,FALSE)</f>
        <v>3631</v>
      </c>
    </row>
    <row r="44" spans="1:3" ht="25" customHeight="1" x14ac:dyDescent="0.25">
      <c r="A44" s="39" t="s">
        <v>20</v>
      </c>
      <c r="B44" s="46" t="s">
        <v>174</v>
      </c>
      <c r="C44" s="36">
        <f>VLOOKUP(A44,[19]Pomorski!$A$8:$C$68,3,FALSE)</f>
        <v>162</v>
      </c>
    </row>
    <row r="45" spans="1:3" ht="25" customHeight="1" x14ac:dyDescent="0.25">
      <c r="A45" s="39" t="s">
        <v>37</v>
      </c>
      <c r="B45" s="47" t="s">
        <v>30</v>
      </c>
      <c r="C45" s="36">
        <f>VLOOKUP(A45,[19]Pomorski!$A$8:$C$68,3,FALSE)</f>
        <v>53</v>
      </c>
    </row>
    <row r="46" spans="1:3" ht="25" customHeight="1" x14ac:dyDescent="0.25">
      <c r="A46" s="39" t="s">
        <v>38</v>
      </c>
      <c r="B46" s="48" t="s">
        <v>31</v>
      </c>
      <c r="C46" s="36">
        <f>VLOOKUP(A46,[19]Pomorski!$A$8:$C$68,3,FALSE)</f>
        <v>53</v>
      </c>
    </row>
    <row r="47" spans="1:3" ht="25" customHeight="1" x14ac:dyDescent="0.25">
      <c r="A47" s="39" t="s">
        <v>39</v>
      </c>
      <c r="B47" s="47" t="s">
        <v>32</v>
      </c>
      <c r="C47" s="36">
        <f>VLOOKUP(A47,[19]Pomorski!$A$8:$C$68,3,FALSE)</f>
        <v>41</v>
      </c>
    </row>
    <row r="48" spans="1:3" ht="25" customHeight="1" x14ac:dyDescent="0.25">
      <c r="A48" s="39" t="s">
        <v>40</v>
      </c>
      <c r="B48" s="47" t="s">
        <v>33</v>
      </c>
      <c r="C48" s="36">
        <f>VLOOKUP(A48,[19]Pomorski!$A$8:$C$68,3,FALSE)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VLOOKUP(A49,[19]Pomorski!$A$8:$C$68,3,FALSE)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VLOOKUP(A50,[19]Pomorski!$A$8:$C$68,3,FALSE)</f>
        <v>47</v>
      </c>
    </row>
    <row r="51" spans="1:3" ht="25" customHeight="1" x14ac:dyDescent="0.25">
      <c r="A51" s="39" t="s">
        <v>43</v>
      </c>
      <c r="B51" s="47" t="s">
        <v>36</v>
      </c>
      <c r="C51" s="36">
        <f>VLOOKUP(A51,[19]Pomorski!$A$8:$C$68,3,FALSE)</f>
        <v>21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'[7]F_wynagr-2020'!$V$16</f>
        <v>22720</v>
      </c>
    </row>
    <row r="53" spans="1:3" ht="25" customHeight="1" x14ac:dyDescent="0.25">
      <c r="A53" s="39" t="s">
        <v>154</v>
      </c>
      <c r="B53" s="47" t="s">
        <v>155</v>
      </c>
      <c r="C53" s="36">
        <f>VLOOKUP(A53,[19]Pomorski!$A$8:$C$68,3,FALSE)</f>
        <v>100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5090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2020'!$I$16</f>
        <v>3904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2020'!$L$16</f>
        <v>558</v>
      </c>
    </row>
    <row r="57" spans="1:3" ht="25" customHeight="1" x14ac:dyDescent="0.25">
      <c r="A57" s="39" t="s">
        <v>50</v>
      </c>
      <c r="B57" s="47" t="s">
        <v>46</v>
      </c>
      <c r="C57" s="36">
        <f>VLOOKUP(A57,[19]Pomorski!$A$8:$C$68,3,FALSE)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2020'!$P$16</f>
        <v>628</v>
      </c>
    </row>
    <row r="59" spans="1:3" ht="25" customHeight="1" x14ac:dyDescent="0.25">
      <c r="A59" s="39" t="s">
        <v>23</v>
      </c>
      <c r="B59" s="41" t="s">
        <v>24</v>
      </c>
      <c r="C59" s="36">
        <f>VLOOKUP(A59,[19]Pomorski!$A$8:$C$68,3,FALSE)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VLOOKUP(A60,[19]Pomorski!$A$8:$C$68,3,FALSE)</f>
        <v>3212</v>
      </c>
    </row>
    <row r="61" spans="1:3" ht="25" customHeight="1" x14ac:dyDescent="0.25">
      <c r="A61" s="39" t="s">
        <v>26</v>
      </c>
      <c r="B61" s="41" t="s">
        <v>27</v>
      </c>
      <c r="C61" s="36">
        <f>VLOOKUP(A61,[19]Pomorski!$A$8:$C$68,3,FALSE)</f>
        <v>284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2259</v>
      </c>
    </row>
    <row r="63" spans="1:3" ht="25" customHeight="1" x14ac:dyDescent="0.25">
      <c r="A63" s="39" t="s">
        <v>99</v>
      </c>
      <c r="B63" s="41" t="s">
        <v>112</v>
      </c>
      <c r="C63" s="36">
        <f>VLOOKUP(A63,[19]Pomorski!$A$8:$C$68,3,FALSE)-51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VLOOKUP(A64,[19]Pomorski!$A$8:$C$68,3,FALSE)</f>
        <v>957</v>
      </c>
    </row>
    <row r="65" spans="1:3" ht="25" customHeight="1" x14ac:dyDescent="0.25">
      <c r="A65" s="39" t="s">
        <v>29</v>
      </c>
      <c r="B65" s="41" t="s">
        <v>101</v>
      </c>
      <c r="C65" s="36">
        <f>VLOOKUP(A65,[19]Pomorski!$A$8:$C$68,3,FALSE)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VLOOKUP(A66,[19]Pomorski!$A$8:$C$68,3,FALSE)</f>
        <v>1302</v>
      </c>
    </row>
    <row r="67" spans="1:3" ht="25" customHeight="1" x14ac:dyDescent="0.25">
      <c r="A67" s="14" t="s">
        <v>134</v>
      </c>
      <c r="B67" s="43" t="s">
        <v>113</v>
      </c>
      <c r="C67" s="44">
        <f>VLOOKUP(A67,[19]Pomorski!$A$8:$C$68,3,FALSE)</f>
        <v>1000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2D050"/>
  </sheetPr>
  <dimension ref="A1:C67"/>
  <sheetViews>
    <sheetView showGridLines="0" view="pageBreakPreview" zoomScale="80" zoomScaleNormal="70" zoomScaleSheetLayoutView="80" workbookViewId="0">
      <pane xSplit="2" ySplit="6" topLeftCell="C52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70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10921035</v>
      </c>
    </row>
    <row r="7" spans="1:3" ht="25" customHeight="1" x14ac:dyDescent="0.25">
      <c r="A7" s="34" t="s">
        <v>1</v>
      </c>
      <c r="B7" s="35" t="s">
        <v>116</v>
      </c>
      <c r="C7" s="36">
        <f>VLOOKUP(A7,[20]Śląski!$A$8:$C$68,3,FALSE)</f>
        <v>1414997</v>
      </c>
    </row>
    <row r="8" spans="1:3" ht="25" customHeight="1" x14ac:dyDescent="0.25">
      <c r="A8" s="34" t="s">
        <v>2</v>
      </c>
      <c r="B8" s="35" t="s">
        <v>117</v>
      </c>
      <c r="C8" s="36">
        <f>VLOOKUP(A8,[20]Śląski!$A$8:$C$68,3,FALSE)</f>
        <v>771752</v>
      </c>
    </row>
    <row r="9" spans="1:3" ht="25" customHeight="1" x14ac:dyDescent="0.25">
      <c r="A9" s="34" t="s">
        <v>3</v>
      </c>
      <c r="B9" s="35" t="s">
        <v>114</v>
      </c>
      <c r="C9" s="36">
        <f>VLOOKUP(A9,[20]Śląski!$A$8:$C$68,3,FALSE)+[9]Św!$I$16</f>
        <v>5182134</v>
      </c>
    </row>
    <row r="10" spans="1:3" ht="25" customHeight="1" x14ac:dyDescent="0.25">
      <c r="A10" s="37" t="s">
        <v>54</v>
      </c>
      <c r="B10" s="38" t="s">
        <v>187</v>
      </c>
      <c r="C10" s="36">
        <f>VLOOKUP(A10,[20]Śląski!$A$8:$C$68,3,FALSE)</f>
        <v>528668</v>
      </c>
    </row>
    <row r="11" spans="1:3" ht="25" customHeight="1" x14ac:dyDescent="0.25">
      <c r="A11" s="37" t="s">
        <v>138</v>
      </c>
      <c r="B11" s="38" t="s">
        <v>141</v>
      </c>
      <c r="C11" s="36">
        <f>VLOOKUP(A11,[20]Śląski!$A$8:$C$68,3,FALSE)</f>
        <v>474430</v>
      </c>
    </row>
    <row r="12" spans="1:3" ht="25" customHeight="1" x14ac:dyDescent="0.25">
      <c r="A12" s="37" t="s">
        <v>139</v>
      </c>
      <c r="B12" s="38" t="s">
        <v>142</v>
      </c>
      <c r="C12" s="36">
        <f>VLOOKUP(A12,[20]Śląski!$A$8:$C$68,3,FALSE)</f>
        <v>173438</v>
      </c>
    </row>
    <row r="13" spans="1:3" ht="25" customHeight="1" x14ac:dyDescent="0.25">
      <c r="A13" s="37" t="s">
        <v>140</v>
      </c>
      <c r="B13" s="38" t="s">
        <v>143</v>
      </c>
      <c r="C13" s="36">
        <f>VLOOKUP(A13,[20]Śląski!$A$8:$C$68,3,FALSE)</f>
        <v>75150</v>
      </c>
    </row>
    <row r="14" spans="1:3" ht="25" customHeight="1" x14ac:dyDescent="0.25">
      <c r="A14" s="34" t="s">
        <v>4</v>
      </c>
      <c r="B14" s="35" t="s">
        <v>122</v>
      </c>
      <c r="C14" s="36">
        <f>VLOOKUP(A14,[20]Śląski!$A$8:$C$68,3,FALSE)</f>
        <v>372971</v>
      </c>
    </row>
    <row r="15" spans="1:3" ht="25" customHeight="1" x14ac:dyDescent="0.25">
      <c r="A15" s="34" t="s">
        <v>5</v>
      </c>
      <c r="B15" s="35" t="s">
        <v>118</v>
      </c>
      <c r="C15" s="36">
        <f>VLOOKUP(A15,[20]Śląski!$A$8:$C$68,3,FALSE)</f>
        <v>355037</v>
      </c>
    </row>
    <row r="16" spans="1:3" ht="25" customHeight="1" x14ac:dyDescent="0.25">
      <c r="A16" s="34" t="s">
        <v>6</v>
      </c>
      <c r="B16" s="35" t="s">
        <v>124</v>
      </c>
      <c r="C16" s="36">
        <f>VLOOKUP(A16,[20]Śląski!$A$8:$C$68,3,FALSE)</f>
        <v>299580</v>
      </c>
    </row>
    <row r="17" spans="1:3" ht="25" customHeight="1" x14ac:dyDescent="0.25">
      <c r="A17" s="34" t="s">
        <v>7</v>
      </c>
      <c r="B17" s="35" t="s">
        <v>123</v>
      </c>
      <c r="C17" s="36">
        <f>VLOOKUP(A17,[20]Śląski!$A$8:$C$68,3,FALSE)</f>
        <v>92683</v>
      </c>
    </row>
    <row r="18" spans="1:3" ht="25" customHeight="1" x14ac:dyDescent="0.25">
      <c r="A18" s="34" t="s">
        <v>8</v>
      </c>
      <c r="B18" s="35" t="s">
        <v>119</v>
      </c>
      <c r="C18" s="36">
        <f>VLOOKUP(A18,[20]Śląski!$A$8:$C$68,3,FALSE)</f>
        <v>196815</v>
      </c>
    </row>
    <row r="19" spans="1:3" ht="25" customHeight="1" x14ac:dyDescent="0.25">
      <c r="A19" s="34" t="s">
        <v>9</v>
      </c>
      <c r="B19" s="35" t="s">
        <v>120</v>
      </c>
      <c r="C19" s="36">
        <f>VLOOKUP(A19,[20]Śląski!$A$8:$C$68,3,FALSE)</f>
        <v>99002</v>
      </c>
    </row>
    <row r="20" spans="1:3" ht="25" customHeight="1" x14ac:dyDescent="0.25">
      <c r="A20" s="34" t="s">
        <v>10</v>
      </c>
      <c r="B20" s="35" t="s">
        <v>125</v>
      </c>
      <c r="C20" s="36">
        <f>VLOOKUP(A20,[20]Śląski!$A$8:$C$68,3,FALSE)</f>
        <v>35561</v>
      </c>
    </row>
    <row r="21" spans="1:3" ht="25" customHeight="1" x14ac:dyDescent="0.25">
      <c r="A21" s="34" t="s">
        <v>11</v>
      </c>
      <c r="B21" s="35" t="s">
        <v>121</v>
      </c>
      <c r="C21" s="36">
        <f>VLOOKUP(A21,[20]Śląski!$A$8:$C$68,3,FALSE)+[9]Św!$H$16</f>
        <v>39448</v>
      </c>
    </row>
    <row r="22" spans="1:3" ht="25" customHeight="1" x14ac:dyDescent="0.25">
      <c r="A22" s="34" t="s">
        <v>12</v>
      </c>
      <c r="B22" s="35" t="s">
        <v>159</v>
      </c>
      <c r="C22" s="36">
        <f>VLOOKUP(A22,[20]Śląski!$A$8:$C$68,3,FALSE)</f>
        <v>268570</v>
      </c>
    </row>
    <row r="23" spans="1:3" ht="25" customHeight="1" x14ac:dyDescent="0.25">
      <c r="A23" s="34" t="s">
        <v>13</v>
      </c>
      <c r="B23" s="35" t="s">
        <v>144</v>
      </c>
      <c r="C23" s="36">
        <f>VLOOKUP(A23,[20]Śląski!$A$8:$C$68,3,FALSE)</f>
        <v>173250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1010262</v>
      </c>
    </row>
    <row r="25" spans="1:3" ht="36" x14ac:dyDescent="0.25">
      <c r="A25" s="34" t="s">
        <v>126</v>
      </c>
      <c r="B25" s="38" t="s">
        <v>146</v>
      </c>
      <c r="C25" s="36">
        <f>VLOOKUP(A25,[20]Śląski!$A$8:$C$68,3,FALSE)</f>
        <v>1002990</v>
      </c>
    </row>
    <row r="26" spans="1:3" ht="25" customHeight="1" x14ac:dyDescent="0.25">
      <c r="A26" s="37" t="s">
        <v>145</v>
      </c>
      <c r="B26" s="38" t="s">
        <v>148</v>
      </c>
      <c r="C26" s="36">
        <f>VLOOKUP(A26,[20]Śląski!$A$8:$C$68,3,FALSE)</f>
        <v>6157</v>
      </c>
    </row>
    <row r="27" spans="1:3" ht="31.5" customHeight="1" x14ac:dyDescent="0.25">
      <c r="A27" s="37" t="s">
        <v>149</v>
      </c>
      <c r="B27" s="38" t="s">
        <v>147</v>
      </c>
      <c r="C27" s="36">
        <f>VLOOKUP(A27,[20]Śląski!$A$8:$C$68,3,FALSE)</f>
        <v>1115</v>
      </c>
    </row>
    <row r="28" spans="1:3" ht="25" customHeight="1" x14ac:dyDescent="0.25">
      <c r="A28" s="39" t="s">
        <v>15</v>
      </c>
      <c r="B28" s="40" t="s">
        <v>110</v>
      </c>
      <c r="C28" s="36">
        <f>VLOOKUP(A28,[20]Śląski!$A$8:$C$68,3,FALSE)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VLOOKUP(A29,[20]Śląski!$A$8:$C$68,3,FALSE)</f>
        <v>108074</v>
      </c>
    </row>
    <row r="30" spans="1:3" ht="25" customHeight="1" x14ac:dyDescent="0.25">
      <c r="A30" s="37" t="s">
        <v>151</v>
      </c>
      <c r="B30" s="38" t="s">
        <v>161</v>
      </c>
      <c r="C30" s="36">
        <f>VLOOKUP(A30,[20]Śląski!$A$8:$C$68,3,FALSE)</f>
        <v>0</v>
      </c>
    </row>
    <row r="31" spans="1:3" ht="25" customHeight="1" x14ac:dyDescent="0.25">
      <c r="A31" s="39" t="s">
        <v>108</v>
      </c>
      <c r="B31" s="42" t="s">
        <v>111</v>
      </c>
      <c r="C31" s="36">
        <f>VLOOKUP(A31,[20]Śląski!$A$8:$C$68,3,FALSE)</f>
        <v>431816</v>
      </c>
    </row>
    <row r="32" spans="1:3" ht="25" customHeight="1" x14ac:dyDescent="0.25">
      <c r="A32" s="39" t="s">
        <v>109</v>
      </c>
      <c r="B32" s="41" t="s">
        <v>160</v>
      </c>
      <c r="C32" s="36">
        <f>VLOOKUP(A32,[20]Śląski!$A$8:$C$68,3,FALSE)</f>
        <v>30000</v>
      </c>
    </row>
    <row r="33" spans="1:3" ht="25" customHeight="1" x14ac:dyDescent="0.25">
      <c r="A33" s="39" t="s">
        <v>162</v>
      </c>
      <c r="B33" s="41" t="s">
        <v>163</v>
      </c>
      <c r="C33" s="36">
        <f>VLOOKUP(A33,[20]Śląski!$A$8:$C$68,3,FALSE)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VLOOKUP(A34,[20]Śląski!$A$8:$C$68,3,FALSE)</f>
        <v>3000</v>
      </c>
    </row>
    <row r="35" spans="1:3" ht="25" customHeight="1" x14ac:dyDescent="0.25">
      <c r="A35" s="39" t="s">
        <v>182</v>
      </c>
      <c r="B35" s="41" t="s">
        <v>183</v>
      </c>
      <c r="C35" s="36">
        <f>VLOOKUP(A35,[20]Śląski!$A$8:$C$68,3,FALSE)</f>
        <v>36083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VLOOKUP(A36,[20]Śląski!$A$8:$C$68,3,FALSE)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VLOOKUP(A37,[20]Śląski!$A$8:$C$68,3,FALSE)</f>
        <v>231568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VLOOKUP(A38,[20]Śląski!$A$8:$C$68,3,FALSE)</f>
        <v>107366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1559842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73828</v>
      </c>
    </row>
    <row r="42" spans="1:3" ht="25" customHeight="1" x14ac:dyDescent="0.25">
      <c r="A42" s="39" t="s">
        <v>16</v>
      </c>
      <c r="B42" s="41" t="s">
        <v>17</v>
      </c>
      <c r="C42" s="36">
        <f>VLOOKUP(A42,[20]Śląski!$A$8:$C$68,3,FALSE)</f>
        <v>2711</v>
      </c>
    </row>
    <row r="43" spans="1:3" ht="25" customHeight="1" x14ac:dyDescent="0.25">
      <c r="A43" s="39" t="s">
        <v>18</v>
      </c>
      <c r="B43" s="41" t="s">
        <v>19</v>
      </c>
      <c r="C43" s="36">
        <f>VLOOKUP(A43,[20]Śląski!$A$8:$C$68,3,FALSE)</f>
        <v>10437</v>
      </c>
    </row>
    <row r="44" spans="1:3" ht="25" customHeight="1" x14ac:dyDescent="0.25">
      <c r="A44" s="39" t="s">
        <v>20</v>
      </c>
      <c r="B44" s="46" t="s">
        <v>174</v>
      </c>
      <c r="C44" s="36">
        <f>VLOOKUP(A44,[20]Śląski!$A$8:$C$68,3,FALSE)</f>
        <v>498</v>
      </c>
    </row>
    <row r="45" spans="1:3" ht="25" customHeight="1" x14ac:dyDescent="0.25">
      <c r="A45" s="39" t="s">
        <v>37</v>
      </c>
      <c r="B45" s="47" t="s">
        <v>30</v>
      </c>
      <c r="C45" s="36">
        <f>VLOOKUP(A45,[20]Śląski!$A$8:$C$68,3,FALSE)</f>
        <v>130</v>
      </c>
    </row>
    <row r="46" spans="1:3" ht="25" customHeight="1" x14ac:dyDescent="0.25">
      <c r="A46" s="39" t="s">
        <v>38</v>
      </c>
      <c r="B46" s="48" t="s">
        <v>31</v>
      </c>
      <c r="C46" s="36">
        <f>VLOOKUP(A46,[20]Śląski!$A$8:$C$68,3,FALSE)</f>
        <v>130</v>
      </c>
    </row>
    <row r="47" spans="1:3" ht="25" customHeight="1" x14ac:dyDescent="0.25">
      <c r="A47" s="39" t="s">
        <v>39</v>
      </c>
      <c r="B47" s="47" t="s">
        <v>32</v>
      </c>
      <c r="C47" s="36">
        <f>VLOOKUP(A47,[20]Śląski!$A$8:$C$68,3,FALSE)</f>
        <v>10</v>
      </c>
    </row>
    <row r="48" spans="1:3" ht="25" customHeight="1" x14ac:dyDescent="0.25">
      <c r="A48" s="39" t="s">
        <v>40</v>
      </c>
      <c r="B48" s="47" t="s">
        <v>33</v>
      </c>
      <c r="C48" s="36">
        <f>VLOOKUP(A48,[20]Śląski!$A$8:$C$68,3,FALSE)</f>
        <v>7</v>
      </c>
    </row>
    <row r="49" spans="1:3" ht="25" customHeight="1" x14ac:dyDescent="0.25">
      <c r="A49" s="39" t="s">
        <v>41</v>
      </c>
      <c r="B49" s="47" t="s">
        <v>34</v>
      </c>
      <c r="C49" s="36">
        <f>VLOOKUP(A49,[20]Śląski!$A$8:$C$68,3,FALSE)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VLOOKUP(A50,[20]Śląski!$A$8:$C$68,3,FALSE)</f>
        <v>325</v>
      </c>
    </row>
    <row r="51" spans="1:3" ht="25" customHeight="1" x14ac:dyDescent="0.25">
      <c r="A51" s="39" t="s">
        <v>43</v>
      </c>
      <c r="B51" s="47" t="s">
        <v>36</v>
      </c>
      <c r="C51" s="36">
        <f>VLOOKUP(A51,[20]Śląski!$A$8:$C$68,3,FALSE)</f>
        <v>26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'[7]F_wynagr-2020'!$V$17</f>
        <v>44512</v>
      </c>
    </row>
    <row r="53" spans="1:3" ht="25" customHeight="1" x14ac:dyDescent="0.25">
      <c r="A53" s="39" t="s">
        <v>154</v>
      </c>
      <c r="B53" s="47" t="s">
        <v>155</v>
      </c>
      <c r="C53" s="36">
        <f>VLOOKUP(A53,[20]Śląski!$A$8:$C$68,3,FALSE)</f>
        <v>250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9946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2020'!$I$17</f>
        <v>7640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2020'!$L$17</f>
        <v>1091</v>
      </c>
    </row>
    <row r="57" spans="1:3" ht="25" customHeight="1" x14ac:dyDescent="0.25">
      <c r="A57" s="39" t="s">
        <v>50</v>
      </c>
      <c r="B57" s="47" t="s">
        <v>46</v>
      </c>
      <c r="C57" s="36">
        <f>VLOOKUP(A57,[20]Śląski!$A$8:$C$68,3,FALSE)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2020'!$P$17</f>
        <v>1215</v>
      </c>
    </row>
    <row r="59" spans="1:3" ht="25" customHeight="1" x14ac:dyDescent="0.25">
      <c r="A59" s="39" t="s">
        <v>23</v>
      </c>
      <c r="B59" s="41" t="s">
        <v>24</v>
      </c>
      <c r="C59" s="36">
        <f>VLOOKUP(A59,[20]Śląski!$A$8:$C$68,3,FALSE)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VLOOKUP(A60,[20]Śląski!$A$8:$C$68,3,FALSE)</f>
        <v>5400</v>
      </c>
    </row>
    <row r="61" spans="1:3" ht="25" customHeight="1" x14ac:dyDescent="0.25">
      <c r="A61" s="39" t="s">
        <v>26</v>
      </c>
      <c r="B61" s="41" t="s">
        <v>27</v>
      </c>
      <c r="C61" s="36">
        <f>VLOOKUP(A61,[20]Śląski!$A$8:$C$68,3,FALSE)</f>
        <v>324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2314</v>
      </c>
    </row>
    <row r="63" spans="1:3" ht="25" customHeight="1" x14ac:dyDescent="0.25">
      <c r="A63" s="39" t="s">
        <v>99</v>
      </c>
      <c r="B63" s="41" t="s">
        <v>112</v>
      </c>
      <c r="C63" s="36">
        <f>VLOOKUP(A63,[20]Śląski!$A$8:$C$68,3,FALSE)</f>
        <v>250</v>
      </c>
    </row>
    <row r="64" spans="1:3" ht="25" customHeight="1" x14ac:dyDescent="0.25">
      <c r="A64" s="39" t="s">
        <v>28</v>
      </c>
      <c r="B64" s="41" t="s">
        <v>53</v>
      </c>
      <c r="C64" s="36">
        <f>VLOOKUP(A64,[20]Śląski!$A$8:$C$68,3,FALSE)</f>
        <v>726</v>
      </c>
    </row>
    <row r="65" spans="1:3" ht="25" customHeight="1" x14ac:dyDescent="0.25">
      <c r="A65" s="39" t="s">
        <v>29</v>
      </c>
      <c r="B65" s="41" t="s">
        <v>101</v>
      </c>
      <c r="C65" s="36">
        <f>VLOOKUP(A65,[20]Śląski!$A$8:$C$68,3,FALSE)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VLOOKUP(A66,[20]Śląski!$A$8:$C$68,3,FALSE)</f>
        <v>1338</v>
      </c>
    </row>
    <row r="67" spans="1:3" ht="25" customHeight="1" x14ac:dyDescent="0.25">
      <c r="A67" s="14" t="s">
        <v>134</v>
      </c>
      <c r="B67" s="43" t="s">
        <v>113</v>
      </c>
      <c r="C67" s="44">
        <f>VLOOKUP(A67,[20]Śląski!$A$8:$C$68,3,FALSE)</f>
        <v>460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92D050"/>
  </sheetPr>
  <dimension ref="A1:C67"/>
  <sheetViews>
    <sheetView showGridLines="0" view="pageBreakPreview" zoomScale="80" zoomScaleNormal="60" zoomScaleSheetLayoutView="80" workbookViewId="0">
      <pane ySplit="6" topLeftCell="A55" activePane="bottomLeft" state="frozen"/>
      <selection activeCell="I11" sqref="I11"/>
      <selection pane="bottomLef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71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3003672</v>
      </c>
    </row>
    <row r="7" spans="1:3" ht="25" customHeight="1" x14ac:dyDescent="0.25">
      <c r="A7" s="34" t="s">
        <v>1</v>
      </c>
      <c r="B7" s="35" t="s">
        <v>116</v>
      </c>
      <c r="C7" s="36">
        <f>VLOOKUP(A7,[21]Świętokrzyski!$A$8:$C$68,3,FALSE)</f>
        <v>360000</v>
      </c>
    </row>
    <row r="8" spans="1:3" ht="25" customHeight="1" x14ac:dyDescent="0.25">
      <c r="A8" s="34" t="s">
        <v>2</v>
      </c>
      <c r="B8" s="35" t="s">
        <v>117</v>
      </c>
      <c r="C8" s="36">
        <f>VLOOKUP(A8,[21]Świętokrzyski!$A$8:$C$68,3,FALSE)</f>
        <v>158475</v>
      </c>
    </row>
    <row r="9" spans="1:3" ht="25" customHeight="1" x14ac:dyDescent="0.25">
      <c r="A9" s="34" t="s">
        <v>3</v>
      </c>
      <c r="B9" s="35" t="s">
        <v>114</v>
      </c>
      <c r="C9" s="36">
        <f>VLOOKUP(A9,[21]Świętokrzyski!$A$8:$C$68,3,FALSE)+[9]Św!$I$17</f>
        <v>1358801</v>
      </c>
    </row>
    <row r="10" spans="1:3" ht="25" customHeight="1" x14ac:dyDescent="0.25">
      <c r="A10" s="37" t="s">
        <v>54</v>
      </c>
      <c r="B10" s="38" t="s">
        <v>187</v>
      </c>
      <c r="C10" s="36">
        <f>VLOOKUP(A10,[21]Świętokrzyski!$A$8:$C$68,3,FALSE)</f>
        <v>104335</v>
      </c>
    </row>
    <row r="11" spans="1:3" ht="25" customHeight="1" x14ac:dyDescent="0.25">
      <c r="A11" s="37" t="s">
        <v>138</v>
      </c>
      <c r="B11" s="38" t="s">
        <v>141</v>
      </c>
      <c r="C11" s="36">
        <f>VLOOKUP(A11,[21]Świętokrzyski!$A$8:$C$68,3,FALSE)</f>
        <v>91469</v>
      </c>
    </row>
    <row r="12" spans="1:3" ht="25" customHeight="1" x14ac:dyDescent="0.25">
      <c r="A12" s="37" t="s">
        <v>139</v>
      </c>
      <c r="B12" s="38" t="s">
        <v>142</v>
      </c>
      <c r="C12" s="36">
        <f>VLOOKUP(A12,[21]Świętokrzyski!$A$8:$C$68,3,FALSE)</f>
        <v>50519</v>
      </c>
    </row>
    <row r="13" spans="1:3" ht="25" customHeight="1" x14ac:dyDescent="0.25">
      <c r="A13" s="37" t="s">
        <v>140</v>
      </c>
      <c r="B13" s="38" t="s">
        <v>143</v>
      </c>
      <c r="C13" s="36">
        <f>VLOOKUP(A13,[21]Świętokrzyski!$A$8:$C$68,3,FALSE)</f>
        <v>22996</v>
      </c>
    </row>
    <row r="14" spans="1:3" ht="25" customHeight="1" x14ac:dyDescent="0.25">
      <c r="A14" s="34" t="s">
        <v>4</v>
      </c>
      <c r="B14" s="35" t="s">
        <v>122</v>
      </c>
      <c r="C14" s="36">
        <f>VLOOKUP(A14,[21]Świętokrzyski!$A$8:$C$68,3,FALSE)</f>
        <v>91439</v>
      </c>
    </row>
    <row r="15" spans="1:3" ht="25" customHeight="1" x14ac:dyDescent="0.25">
      <c r="A15" s="34" t="s">
        <v>5</v>
      </c>
      <c r="B15" s="35" t="s">
        <v>118</v>
      </c>
      <c r="C15" s="36">
        <f>VLOOKUP(A15,[21]Świętokrzyski!$A$8:$C$68,3,FALSE)</f>
        <v>92144</v>
      </c>
    </row>
    <row r="16" spans="1:3" ht="25" customHeight="1" x14ac:dyDescent="0.25">
      <c r="A16" s="34" t="s">
        <v>6</v>
      </c>
      <c r="B16" s="35" t="s">
        <v>124</v>
      </c>
      <c r="C16" s="36">
        <f>VLOOKUP(A16,[21]Świętokrzyski!$A$8:$C$68,3,FALSE)</f>
        <v>68383</v>
      </c>
    </row>
    <row r="17" spans="1:3" ht="25" customHeight="1" x14ac:dyDescent="0.25">
      <c r="A17" s="34" t="s">
        <v>7</v>
      </c>
      <c r="B17" s="35" t="s">
        <v>123</v>
      </c>
      <c r="C17" s="36">
        <f>VLOOKUP(A17,[21]Świętokrzyski!$A$8:$C$68,3,FALSE)</f>
        <v>31771</v>
      </c>
    </row>
    <row r="18" spans="1:3" ht="25" customHeight="1" x14ac:dyDescent="0.25">
      <c r="A18" s="34" t="s">
        <v>8</v>
      </c>
      <c r="B18" s="35" t="s">
        <v>119</v>
      </c>
      <c r="C18" s="36">
        <f>VLOOKUP(A18,[21]Świętokrzyski!$A$8:$C$68,3,FALSE)</f>
        <v>66599</v>
      </c>
    </row>
    <row r="19" spans="1:3" ht="25" customHeight="1" x14ac:dyDescent="0.25">
      <c r="A19" s="34" t="s">
        <v>9</v>
      </c>
      <c r="B19" s="35" t="s">
        <v>120</v>
      </c>
      <c r="C19" s="36">
        <f>VLOOKUP(A19,[21]Świętokrzyski!$A$8:$C$68,3,FALSE)</f>
        <v>31682</v>
      </c>
    </row>
    <row r="20" spans="1:3" ht="25" customHeight="1" x14ac:dyDescent="0.25">
      <c r="A20" s="34" t="s">
        <v>10</v>
      </c>
      <c r="B20" s="35" t="s">
        <v>125</v>
      </c>
      <c r="C20" s="36">
        <f>VLOOKUP(A20,[21]Świętokrzyski!$A$8:$C$68,3,FALSE)</f>
        <v>9649</v>
      </c>
    </row>
    <row r="21" spans="1:3" ht="25" customHeight="1" x14ac:dyDescent="0.25">
      <c r="A21" s="34" t="s">
        <v>11</v>
      </c>
      <c r="B21" s="35" t="s">
        <v>121</v>
      </c>
      <c r="C21" s="36">
        <f>VLOOKUP(A21,[21]Świętokrzyski!$A$8:$C$68,3,FALSE)+[9]Św!$H$17</f>
        <v>7386</v>
      </c>
    </row>
    <row r="22" spans="1:3" ht="25" customHeight="1" x14ac:dyDescent="0.25">
      <c r="A22" s="34" t="s">
        <v>12</v>
      </c>
      <c r="B22" s="35" t="s">
        <v>159</v>
      </c>
      <c r="C22" s="36">
        <f>VLOOKUP(A22,[21]Świętokrzyski!$A$8:$C$68,3,FALSE)</f>
        <v>60986</v>
      </c>
    </row>
    <row r="23" spans="1:3" ht="25" customHeight="1" x14ac:dyDescent="0.25">
      <c r="A23" s="34" t="s">
        <v>13</v>
      </c>
      <c r="B23" s="35" t="s">
        <v>144</v>
      </c>
      <c r="C23" s="36">
        <f>VLOOKUP(A23,[21]Świętokrzyski!$A$8:$C$68,3,FALSE)</f>
        <v>41000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271300</v>
      </c>
    </row>
    <row r="25" spans="1:3" ht="36" x14ac:dyDescent="0.25">
      <c r="A25" s="34" t="s">
        <v>126</v>
      </c>
      <c r="B25" s="38" t="s">
        <v>146</v>
      </c>
      <c r="C25" s="36">
        <f>VLOOKUP(A25,[21]Świętokrzyski!$A$8:$C$68,3,FALSE)</f>
        <v>270410</v>
      </c>
    </row>
    <row r="26" spans="1:3" ht="25" customHeight="1" x14ac:dyDescent="0.25">
      <c r="A26" s="37" t="s">
        <v>145</v>
      </c>
      <c r="B26" s="38" t="s">
        <v>148</v>
      </c>
      <c r="C26" s="36">
        <f>VLOOKUP(A26,[21]Świętokrzyski!$A$8:$C$68,3,FALSE)</f>
        <v>590</v>
      </c>
    </row>
    <row r="27" spans="1:3" ht="31.5" customHeight="1" x14ac:dyDescent="0.25">
      <c r="A27" s="37" t="s">
        <v>149</v>
      </c>
      <c r="B27" s="38" t="s">
        <v>147</v>
      </c>
      <c r="C27" s="36">
        <f>VLOOKUP(A27,[21]Świętokrzyski!$A$8:$C$68,3,FALSE)</f>
        <v>300</v>
      </c>
    </row>
    <row r="28" spans="1:3" ht="25" customHeight="1" x14ac:dyDescent="0.25">
      <c r="A28" s="39" t="s">
        <v>15</v>
      </c>
      <c r="B28" s="40" t="s">
        <v>110</v>
      </c>
      <c r="C28" s="36">
        <f>VLOOKUP(A28,[21]Świętokrzyski!$A$8:$C$68,3,FALSE)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VLOOKUP(A29,[21]Świętokrzyski!$A$8:$C$68,3,FALSE)</f>
        <v>10018</v>
      </c>
    </row>
    <row r="30" spans="1:3" ht="25" customHeight="1" x14ac:dyDescent="0.25">
      <c r="A30" s="37" t="s">
        <v>151</v>
      </c>
      <c r="B30" s="38" t="s">
        <v>161</v>
      </c>
      <c r="C30" s="36">
        <f>VLOOKUP(A30,[21]Świętokrzyski!$A$8:$C$68,3,FALSE)</f>
        <v>4000</v>
      </c>
    </row>
    <row r="31" spans="1:3" ht="25" customHeight="1" x14ac:dyDescent="0.25">
      <c r="A31" s="39" t="s">
        <v>108</v>
      </c>
      <c r="B31" s="42" t="s">
        <v>111</v>
      </c>
      <c r="C31" s="36">
        <f>VLOOKUP(A31,[21]Świętokrzyski!$A$8:$C$68,3,FALSE)</f>
        <v>296785</v>
      </c>
    </row>
    <row r="32" spans="1:3" ht="25" customHeight="1" x14ac:dyDescent="0.25">
      <c r="A32" s="39" t="s">
        <v>109</v>
      </c>
      <c r="B32" s="41" t="s">
        <v>160</v>
      </c>
      <c r="C32" s="36">
        <f>VLOOKUP(A32,[21]Świętokrzyski!$A$8:$C$68,3,FALSE)</f>
        <v>33825</v>
      </c>
    </row>
    <row r="33" spans="1:3" ht="25" customHeight="1" x14ac:dyDescent="0.25">
      <c r="A33" s="39" t="s">
        <v>162</v>
      </c>
      <c r="B33" s="41" t="s">
        <v>163</v>
      </c>
      <c r="C33" s="36">
        <f>VLOOKUP(A33,[21]Świętokrzyski!$A$8:$C$68,3,FALSE)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VLOOKUP(A34,[21]Świętokrzyski!$A$8:$C$68,3,FALSE)</f>
        <v>529</v>
      </c>
    </row>
    <row r="35" spans="1:3" ht="25" customHeight="1" x14ac:dyDescent="0.25">
      <c r="A35" s="39" t="s">
        <v>182</v>
      </c>
      <c r="B35" s="41" t="s">
        <v>183</v>
      </c>
      <c r="C35" s="36">
        <f>VLOOKUP(A35,[21]Świętokrzyski!$A$8:$C$68,3,FALSE)</f>
        <v>12900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VLOOKUP(A36,[21]Świętokrzyski!$A$8:$C$68,3,FALSE)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VLOOKUP(A37,[21]Świętokrzyski!$A$8:$C$68,3,FALSE)</f>
        <v>66411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VLOOKUP(A38,[21]Świętokrzyski!$A$8:$C$68,3,FALSE)</f>
        <v>28551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389765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20722</v>
      </c>
    </row>
    <row r="42" spans="1:3" ht="25" customHeight="1" x14ac:dyDescent="0.25">
      <c r="A42" s="39" t="s">
        <v>16</v>
      </c>
      <c r="B42" s="41" t="s">
        <v>17</v>
      </c>
      <c r="C42" s="36">
        <f>VLOOKUP(A42,[21]Świętokrzyski!$A$8:$C$68,3,FALSE)</f>
        <v>663</v>
      </c>
    </row>
    <row r="43" spans="1:3" ht="25" customHeight="1" x14ac:dyDescent="0.25">
      <c r="A43" s="39" t="s">
        <v>18</v>
      </c>
      <c r="B43" s="41" t="s">
        <v>19</v>
      </c>
      <c r="C43" s="36">
        <f>VLOOKUP(A43,[21]Świętokrzyski!$A$8:$C$68,3,FALSE)</f>
        <v>2555</v>
      </c>
    </row>
    <row r="44" spans="1:3" ht="25" customHeight="1" x14ac:dyDescent="0.25">
      <c r="A44" s="39" t="s">
        <v>20</v>
      </c>
      <c r="B44" s="46" t="s">
        <v>174</v>
      </c>
      <c r="C44" s="36">
        <f>VLOOKUP(A44,[21]Świętokrzyski!$A$8:$C$68,3,FALSE)</f>
        <v>62</v>
      </c>
    </row>
    <row r="45" spans="1:3" ht="25" customHeight="1" x14ac:dyDescent="0.25">
      <c r="A45" s="39" t="s">
        <v>37</v>
      </c>
      <c r="B45" s="47" t="s">
        <v>30</v>
      </c>
      <c r="C45" s="36">
        <f>VLOOKUP(A45,[21]Świętokrzyski!$A$8:$C$68,3,FALSE)</f>
        <v>7</v>
      </c>
    </row>
    <row r="46" spans="1:3" ht="25" customHeight="1" x14ac:dyDescent="0.25">
      <c r="A46" s="39" t="s">
        <v>38</v>
      </c>
      <c r="B46" s="48" t="s">
        <v>31</v>
      </c>
      <c r="C46" s="36">
        <f>VLOOKUP(A46,[21]Świętokrzyski!$A$8:$C$68,3,FALSE)</f>
        <v>7</v>
      </c>
    </row>
    <row r="47" spans="1:3" ht="25" customHeight="1" x14ac:dyDescent="0.25">
      <c r="A47" s="39" t="s">
        <v>39</v>
      </c>
      <c r="B47" s="47" t="s">
        <v>32</v>
      </c>
      <c r="C47" s="36">
        <f>VLOOKUP(A47,[21]Świętokrzyski!$A$8:$C$68,3,FALSE)</f>
        <v>17</v>
      </c>
    </row>
    <row r="48" spans="1:3" ht="25" customHeight="1" x14ac:dyDescent="0.25">
      <c r="A48" s="39" t="s">
        <v>40</v>
      </c>
      <c r="B48" s="47" t="s">
        <v>33</v>
      </c>
      <c r="C48" s="36">
        <f>VLOOKUP(A48,[21]Świętokrzyski!$A$8:$C$68,3,FALSE)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VLOOKUP(A49,[21]Świętokrzyski!$A$8:$C$68,3,FALSE)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VLOOKUP(A50,[21]Świętokrzyski!$A$8:$C$68,3,FALSE)</f>
        <v>10</v>
      </c>
    </row>
    <row r="51" spans="1:3" ht="25" customHeight="1" x14ac:dyDescent="0.25">
      <c r="A51" s="39" t="s">
        <v>43</v>
      </c>
      <c r="B51" s="47" t="s">
        <v>36</v>
      </c>
      <c r="C51" s="36">
        <f>VLOOKUP(A51,[21]Świętokrzyski!$A$8:$C$68,3,FALSE)</f>
        <v>28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'[7]F_wynagr-2020'!$V$18</f>
        <v>12632</v>
      </c>
    </row>
    <row r="53" spans="1:3" ht="25" customHeight="1" x14ac:dyDescent="0.25">
      <c r="A53" s="39" t="s">
        <v>154</v>
      </c>
      <c r="B53" s="47" t="s">
        <v>155</v>
      </c>
      <c r="C53" s="36">
        <f>VLOOKUP(A53,[21]Świętokrzyski!$A$8:$C$68,3,FALSE)</f>
        <v>40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2834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2020'!$I$18</f>
        <v>2173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2020'!$L$18</f>
        <v>311</v>
      </c>
    </row>
    <row r="57" spans="1:3" ht="25" customHeight="1" x14ac:dyDescent="0.25">
      <c r="A57" s="39" t="s">
        <v>50</v>
      </c>
      <c r="B57" s="47" t="s">
        <v>46</v>
      </c>
      <c r="C57" s="36">
        <f>VLOOKUP(A57,[21]Świętokrzyski!$A$8:$C$68,3,FALSE)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2020'!$P$18</f>
        <v>350</v>
      </c>
    </row>
    <row r="59" spans="1:3" ht="25" customHeight="1" x14ac:dyDescent="0.25">
      <c r="A59" s="39" t="s">
        <v>23</v>
      </c>
      <c r="B59" s="41" t="s">
        <v>24</v>
      </c>
      <c r="C59" s="36">
        <f>VLOOKUP(A59,[21]Świętokrzyski!$A$8:$C$68,3,FALSE)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VLOOKUP(A60,[21]Świętokrzyski!$A$8:$C$68,3,FALSE)</f>
        <v>1782</v>
      </c>
    </row>
    <row r="61" spans="1:3" ht="25" customHeight="1" x14ac:dyDescent="0.25">
      <c r="A61" s="39" t="s">
        <v>26</v>
      </c>
      <c r="B61" s="41" t="s">
        <v>27</v>
      </c>
      <c r="C61" s="36">
        <f>VLOOKUP(A61,[21]Świętokrzyski!$A$8:$C$68,3,FALSE)</f>
        <v>194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22583</v>
      </c>
    </row>
    <row r="63" spans="1:3" ht="25" customHeight="1" x14ac:dyDescent="0.25">
      <c r="A63" s="39" t="s">
        <v>99</v>
      </c>
      <c r="B63" s="41" t="s">
        <v>112</v>
      </c>
      <c r="C63" s="36">
        <f>VLOOKUP(A63,[21]Świętokrzyski!$A$8:$C$68,3,FALSE)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VLOOKUP(A64,[21]Świętokrzyski!$A$8:$C$68,3,FALSE)</f>
        <v>22078</v>
      </c>
    </row>
    <row r="65" spans="1:3" ht="25" customHeight="1" x14ac:dyDescent="0.25">
      <c r="A65" s="39" t="s">
        <v>29</v>
      </c>
      <c r="B65" s="41" t="s">
        <v>101</v>
      </c>
      <c r="C65" s="36">
        <f>VLOOKUP(A65,[21]Świętokrzyski!$A$8:$C$68,3,FALSE)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VLOOKUP(A66,[21]Świętokrzyski!$A$8:$C$68,3,FALSE)</f>
        <v>505</v>
      </c>
    </row>
    <row r="67" spans="1:3" ht="25" customHeight="1" x14ac:dyDescent="0.25">
      <c r="A67" s="14" t="s">
        <v>134</v>
      </c>
      <c r="B67" s="43" t="s">
        <v>113</v>
      </c>
      <c r="C67" s="44">
        <f>VLOOKUP(A67,[21]Świętokrzyski!$A$8:$C$68,3,FALSE)</f>
        <v>1712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92D050"/>
  </sheetPr>
  <dimension ref="A1:C67"/>
  <sheetViews>
    <sheetView showGridLines="0" view="pageBreakPreview" zoomScale="80" zoomScaleNormal="70" zoomScaleSheetLayoutView="80" workbookViewId="0">
      <pane xSplit="2" ySplit="6" topLeftCell="C61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72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3151151</v>
      </c>
    </row>
    <row r="7" spans="1:3" ht="25" customHeight="1" x14ac:dyDescent="0.25">
      <c r="A7" s="34" t="s">
        <v>1</v>
      </c>
      <c r="B7" s="35" t="s">
        <v>116</v>
      </c>
      <c r="C7" s="36">
        <f>VLOOKUP(A7,'[22]Warmińsko-Mazurski'!$A$8:$C$68,3,FALSE)</f>
        <v>443606</v>
      </c>
    </row>
    <row r="8" spans="1:3" ht="25" customHeight="1" x14ac:dyDescent="0.25">
      <c r="A8" s="34" t="s">
        <v>2</v>
      </c>
      <c r="B8" s="35" t="s">
        <v>117</v>
      </c>
      <c r="C8" s="36">
        <f>VLOOKUP(A8,'[22]Warmińsko-Mazurski'!$A$8:$C$68,3,FALSE)</f>
        <v>170906</v>
      </c>
    </row>
    <row r="9" spans="1:3" ht="25" customHeight="1" x14ac:dyDescent="0.25">
      <c r="A9" s="34" t="s">
        <v>3</v>
      </c>
      <c r="B9" s="35" t="s">
        <v>114</v>
      </c>
      <c r="C9" s="36">
        <f>VLOOKUP(A9,'[22]Warmińsko-Mazurski'!$A$8:$C$68,3,FALSE)+[9]Św!$I$18</f>
        <v>1366105</v>
      </c>
    </row>
    <row r="10" spans="1:3" ht="25" customHeight="1" x14ac:dyDescent="0.25">
      <c r="A10" s="37" t="s">
        <v>54</v>
      </c>
      <c r="B10" s="38" t="s">
        <v>187</v>
      </c>
      <c r="C10" s="36">
        <f>VLOOKUP(A10,'[22]Warmińsko-Mazurski'!$A$8:$C$68,3,FALSE)</f>
        <v>99509</v>
      </c>
    </row>
    <row r="11" spans="1:3" ht="25" customHeight="1" x14ac:dyDescent="0.25">
      <c r="A11" s="37" t="s">
        <v>138</v>
      </c>
      <c r="B11" s="38" t="s">
        <v>141</v>
      </c>
      <c r="C11" s="36">
        <f>VLOOKUP(A11,'[22]Warmińsko-Mazurski'!$A$8:$C$68,3,FALSE)</f>
        <v>86891</v>
      </c>
    </row>
    <row r="12" spans="1:3" ht="25" customHeight="1" x14ac:dyDescent="0.25">
      <c r="A12" s="37" t="s">
        <v>139</v>
      </c>
      <c r="B12" s="38" t="s">
        <v>142</v>
      </c>
      <c r="C12" s="36">
        <f>VLOOKUP(A12,'[22]Warmińsko-Mazurski'!$A$8:$C$68,3,FALSE)</f>
        <v>39318</v>
      </c>
    </row>
    <row r="13" spans="1:3" ht="25" customHeight="1" x14ac:dyDescent="0.25">
      <c r="A13" s="37" t="s">
        <v>140</v>
      </c>
      <c r="B13" s="38" t="s">
        <v>143</v>
      </c>
      <c r="C13" s="36">
        <f>VLOOKUP(A13,'[22]Warmińsko-Mazurski'!$A$8:$C$68,3,FALSE)</f>
        <v>16929</v>
      </c>
    </row>
    <row r="14" spans="1:3" ht="25" customHeight="1" x14ac:dyDescent="0.25">
      <c r="A14" s="34" t="s">
        <v>4</v>
      </c>
      <c r="B14" s="35" t="s">
        <v>122</v>
      </c>
      <c r="C14" s="36">
        <f>VLOOKUP(A14,'[22]Warmińsko-Mazurski'!$A$8:$C$68,3,FALSE)</f>
        <v>91413</v>
      </c>
    </row>
    <row r="15" spans="1:3" ht="25" customHeight="1" x14ac:dyDescent="0.25">
      <c r="A15" s="34" t="s">
        <v>5</v>
      </c>
      <c r="B15" s="35" t="s">
        <v>118</v>
      </c>
      <c r="C15" s="36">
        <f>VLOOKUP(A15,'[22]Warmińsko-Mazurski'!$A$8:$C$68,3,FALSE)</f>
        <v>95600</v>
      </c>
    </row>
    <row r="16" spans="1:3" ht="25" customHeight="1" x14ac:dyDescent="0.25">
      <c r="A16" s="34" t="s">
        <v>6</v>
      </c>
      <c r="B16" s="35" t="s">
        <v>124</v>
      </c>
      <c r="C16" s="36">
        <f>VLOOKUP(A16,'[22]Warmińsko-Mazurski'!$A$8:$C$68,3,FALSE)</f>
        <v>57663</v>
      </c>
    </row>
    <row r="17" spans="1:3" ht="25" customHeight="1" x14ac:dyDescent="0.25">
      <c r="A17" s="34" t="s">
        <v>7</v>
      </c>
      <c r="B17" s="35" t="s">
        <v>123</v>
      </c>
      <c r="C17" s="36">
        <f>VLOOKUP(A17,'[22]Warmińsko-Mazurski'!$A$8:$C$68,3,FALSE)</f>
        <v>27268</v>
      </c>
    </row>
    <row r="18" spans="1:3" ht="25" customHeight="1" x14ac:dyDescent="0.25">
      <c r="A18" s="34" t="s">
        <v>8</v>
      </c>
      <c r="B18" s="35" t="s">
        <v>119</v>
      </c>
      <c r="C18" s="36">
        <f>VLOOKUP(A18,'[22]Warmińsko-Mazurski'!$A$8:$C$68,3,FALSE)</f>
        <v>80130</v>
      </c>
    </row>
    <row r="19" spans="1:3" ht="25" customHeight="1" x14ac:dyDescent="0.25">
      <c r="A19" s="34" t="s">
        <v>9</v>
      </c>
      <c r="B19" s="35" t="s">
        <v>120</v>
      </c>
      <c r="C19" s="36">
        <f>VLOOKUP(A19,'[22]Warmińsko-Mazurski'!$A$8:$C$68,3,FALSE)</f>
        <v>26358</v>
      </c>
    </row>
    <row r="20" spans="1:3" ht="25" customHeight="1" x14ac:dyDescent="0.25">
      <c r="A20" s="34" t="s">
        <v>10</v>
      </c>
      <c r="B20" s="35" t="s">
        <v>125</v>
      </c>
      <c r="C20" s="36">
        <f>VLOOKUP(A20,'[22]Warmińsko-Mazurski'!$A$8:$C$68,3,FALSE)</f>
        <v>12169</v>
      </c>
    </row>
    <row r="21" spans="1:3" ht="25" customHeight="1" x14ac:dyDescent="0.25">
      <c r="A21" s="34" t="s">
        <v>11</v>
      </c>
      <c r="B21" s="35" t="s">
        <v>121</v>
      </c>
      <c r="C21" s="36">
        <f>VLOOKUP(A21,'[22]Warmińsko-Mazurski'!$A$8:$C$68,3,FALSE)+[9]Św!$H$18</f>
        <v>7932</v>
      </c>
    </row>
    <row r="22" spans="1:3" ht="25" customHeight="1" x14ac:dyDescent="0.25">
      <c r="A22" s="34" t="s">
        <v>12</v>
      </c>
      <c r="B22" s="35" t="s">
        <v>159</v>
      </c>
      <c r="C22" s="36">
        <f>VLOOKUP(A22,'[22]Warmińsko-Mazurski'!$A$8:$C$68,3,FALSE)</f>
        <v>67155</v>
      </c>
    </row>
    <row r="23" spans="1:3" ht="25" customHeight="1" x14ac:dyDescent="0.25">
      <c r="A23" s="34" t="s">
        <v>13</v>
      </c>
      <c r="B23" s="35" t="s">
        <v>144</v>
      </c>
      <c r="C23" s="36">
        <f>VLOOKUP(A23,'[22]Warmińsko-Mazurski'!$A$8:$C$68,3,FALSE)</f>
        <v>46777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288622</v>
      </c>
    </row>
    <row r="25" spans="1:3" ht="36" x14ac:dyDescent="0.25">
      <c r="A25" s="34" t="s">
        <v>126</v>
      </c>
      <c r="B25" s="38" t="s">
        <v>146</v>
      </c>
      <c r="C25" s="36">
        <f>VLOOKUP(A25,'[22]Warmińsko-Mazurski'!$A$8:$C$68,3,FALSE)</f>
        <v>287952</v>
      </c>
    </row>
    <row r="26" spans="1:3" ht="25" customHeight="1" x14ac:dyDescent="0.25">
      <c r="A26" s="37" t="s">
        <v>145</v>
      </c>
      <c r="B26" s="38" t="s">
        <v>148</v>
      </c>
      <c r="C26" s="36">
        <f>VLOOKUP(A26,'[22]Warmińsko-Mazurski'!$A$8:$C$68,3,FALSE)</f>
        <v>520</v>
      </c>
    </row>
    <row r="27" spans="1:3" ht="31.5" customHeight="1" x14ac:dyDescent="0.25">
      <c r="A27" s="37" t="s">
        <v>149</v>
      </c>
      <c r="B27" s="38" t="s">
        <v>147</v>
      </c>
      <c r="C27" s="36">
        <f>VLOOKUP(A27,'[22]Warmińsko-Mazurski'!$A$8:$C$68,3,FALSE)</f>
        <v>150</v>
      </c>
    </row>
    <row r="28" spans="1:3" ht="25" customHeight="1" x14ac:dyDescent="0.25">
      <c r="A28" s="39" t="s">
        <v>15</v>
      </c>
      <c r="B28" s="40" t="s">
        <v>110</v>
      </c>
      <c r="C28" s="36">
        <f>VLOOKUP(A28,'[22]Warmińsko-Mazurski'!$A$8:$C$68,3,FALSE)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VLOOKUP(A29,'[22]Warmińsko-Mazurski'!$A$8:$C$68,3,FALSE)</f>
        <v>35912</v>
      </c>
    </row>
    <row r="30" spans="1:3" ht="25" customHeight="1" x14ac:dyDescent="0.25">
      <c r="A30" s="37" t="s">
        <v>151</v>
      </c>
      <c r="B30" s="38" t="s">
        <v>161</v>
      </c>
      <c r="C30" s="36">
        <f>VLOOKUP(A30,'[22]Warmińsko-Mazurski'!$A$8:$C$68,3,FALSE)</f>
        <v>50</v>
      </c>
    </row>
    <row r="31" spans="1:3" ht="25" customHeight="1" x14ac:dyDescent="0.25">
      <c r="A31" s="39" t="s">
        <v>108</v>
      </c>
      <c r="B31" s="42" t="s">
        <v>111</v>
      </c>
      <c r="C31" s="36">
        <f>VLOOKUP(A31,'[22]Warmińsko-Mazurski'!$A$8:$C$68,3,FALSE)</f>
        <v>320141</v>
      </c>
    </row>
    <row r="32" spans="1:3" ht="25" customHeight="1" x14ac:dyDescent="0.25">
      <c r="A32" s="39" t="s">
        <v>109</v>
      </c>
      <c r="B32" s="41" t="s">
        <v>160</v>
      </c>
      <c r="C32" s="36">
        <f>VLOOKUP(A32,'[22]Warmińsko-Mazurski'!$A$8:$C$68,3,FALSE)</f>
        <v>0</v>
      </c>
    </row>
    <row r="33" spans="1:3" ht="25" customHeight="1" x14ac:dyDescent="0.25">
      <c r="A33" s="39" t="s">
        <v>162</v>
      </c>
      <c r="B33" s="41" t="s">
        <v>163</v>
      </c>
      <c r="C33" s="36">
        <f>VLOOKUP(A33,'[22]Warmińsko-Mazurski'!$A$8:$C$68,3,FALSE)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VLOOKUP(A34,'[22]Warmińsko-Mazurski'!$A$8:$C$68,3,FALSE)</f>
        <v>500</v>
      </c>
    </row>
    <row r="35" spans="1:3" ht="25" customHeight="1" x14ac:dyDescent="0.25">
      <c r="A35" s="39" t="s">
        <v>182</v>
      </c>
      <c r="B35" s="41" t="s">
        <v>183</v>
      </c>
      <c r="C35" s="36">
        <f>VLOOKUP(A35,'[22]Warmińsko-Mazurski'!$A$8:$C$68,3,FALSE)</f>
        <v>12894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VLOOKUP(A36,'[22]Warmińsko-Mazurski'!$A$8:$C$68,3,FALSE)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VLOOKUP(A37,'[22]Warmińsko-Mazurski'!$A$8:$C$68,3,FALSE)</f>
        <v>109666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VLOOKUP(A38,'[22]Warmińsko-Mazurski'!$A$8:$C$68,3,FALSE)</f>
        <v>28806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392492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23347</v>
      </c>
    </row>
    <row r="42" spans="1:3" ht="25" customHeight="1" x14ac:dyDescent="0.25">
      <c r="A42" s="39" t="s">
        <v>16</v>
      </c>
      <c r="B42" s="41" t="s">
        <v>17</v>
      </c>
      <c r="C42" s="36">
        <f>VLOOKUP(A42,'[22]Warmińsko-Mazurski'!$A$8:$C$68,3,FALSE)</f>
        <v>827</v>
      </c>
    </row>
    <row r="43" spans="1:3" ht="25" customHeight="1" x14ac:dyDescent="0.25">
      <c r="A43" s="39" t="s">
        <v>18</v>
      </c>
      <c r="B43" s="41" t="s">
        <v>19</v>
      </c>
      <c r="C43" s="36">
        <f>VLOOKUP(A43,'[22]Warmińsko-Mazurski'!$A$8:$C$68,3,FALSE)</f>
        <v>3334</v>
      </c>
    </row>
    <row r="44" spans="1:3" ht="25" customHeight="1" x14ac:dyDescent="0.25">
      <c r="A44" s="39" t="s">
        <v>20</v>
      </c>
      <c r="B44" s="46" t="s">
        <v>174</v>
      </c>
      <c r="C44" s="36">
        <f>VLOOKUP(A44,'[22]Warmińsko-Mazurski'!$A$8:$C$68,3,FALSE)</f>
        <v>169</v>
      </c>
    </row>
    <row r="45" spans="1:3" ht="25" customHeight="1" x14ac:dyDescent="0.25">
      <c r="A45" s="39" t="s">
        <v>37</v>
      </c>
      <c r="B45" s="47" t="s">
        <v>30</v>
      </c>
      <c r="C45" s="36">
        <f>VLOOKUP(A45,'[22]Warmińsko-Mazurski'!$A$8:$C$68,3,FALSE)</f>
        <v>33</v>
      </c>
    </row>
    <row r="46" spans="1:3" ht="25" customHeight="1" x14ac:dyDescent="0.25">
      <c r="A46" s="39" t="s">
        <v>38</v>
      </c>
      <c r="B46" s="48" t="s">
        <v>31</v>
      </c>
      <c r="C46" s="36">
        <f>VLOOKUP(A46,'[22]Warmińsko-Mazurski'!$A$8:$C$68,3,FALSE)</f>
        <v>30</v>
      </c>
    </row>
    <row r="47" spans="1:3" ht="25" customHeight="1" x14ac:dyDescent="0.25">
      <c r="A47" s="39" t="s">
        <v>39</v>
      </c>
      <c r="B47" s="47" t="s">
        <v>32</v>
      </c>
      <c r="C47" s="36">
        <f>VLOOKUP(A47,'[22]Warmińsko-Mazurski'!$A$8:$C$68,3,FALSE)</f>
        <v>13</v>
      </c>
    </row>
    <row r="48" spans="1:3" ht="25" customHeight="1" x14ac:dyDescent="0.25">
      <c r="A48" s="39" t="s">
        <v>40</v>
      </c>
      <c r="B48" s="47" t="s">
        <v>33</v>
      </c>
      <c r="C48" s="36">
        <f>VLOOKUP(A48,'[22]Warmińsko-Mazurski'!$A$8:$C$68,3,FALSE)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VLOOKUP(A49,'[22]Warmińsko-Mazurski'!$A$8:$C$68,3,FALSE)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VLOOKUP(A50,'[22]Warmińsko-Mazurski'!$A$8:$C$68,3,FALSE)</f>
        <v>120</v>
      </c>
    </row>
    <row r="51" spans="1:3" ht="25" customHeight="1" x14ac:dyDescent="0.25">
      <c r="A51" s="39" t="s">
        <v>43</v>
      </c>
      <c r="B51" s="47" t="s">
        <v>36</v>
      </c>
      <c r="C51" s="36">
        <f>VLOOKUP(A51,'[22]Warmińsko-Mazurski'!$A$8:$C$68,3,FALSE)</f>
        <v>3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'[7]F_wynagr-2020'!$V$19</f>
        <v>13634</v>
      </c>
    </row>
    <row r="53" spans="1:3" ht="25" customHeight="1" x14ac:dyDescent="0.25">
      <c r="A53" s="39" t="s">
        <v>154</v>
      </c>
      <c r="B53" s="47" t="s">
        <v>155</v>
      </c>
      <c r="C53" s="36">
        <f>VLOOKUP(A53,'[22]Warmińsko-Mazurski'!$A$8:$C$68,3,FALSE)</f>
        <v>0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3044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2020'!$I$19</f>
        <v>2342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2020'!$L$19</f>
        <v>335</v>
      </c>
    </row>
    <row r="57" spans="1:3" ht="25" customHeight="1" x14ac:dyDescent="0.25">
      <c r="A57" s="39" t="s">
        <v>50</v>
      </c>
      <c r="B57" s="47" t="s">
        <v>46</v>
      </c>
      <c r="C57" s="36">
        <f>VLOOKUP(A57,'[22]Warmińsko-Mazurski'!$A$8:$C$68,3,FALSE)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2020'!$P$19</f>
        <v>367</v>
      </c>
    </row>
    <row r="59" spans="1:3" ht="25" customHeight="1" x14ac:dyDescent="0.25">
      <c r="A59" s="39" t="s">
        <v>23</v>
      </c>
      <c r="B59" s="41" t="s">
        <v>24</v>
      </c>
      <c r="C59" s="36">
        <f>VLOOKUP(A59,'[22]Warmińsko-Mazurski'!$A$8:$C$68,3,FALSE)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VLOOKUP(A60,'[22]Warmińsko-Mazurski'!$A$8:$C$68,3,FALSE)</f>
        <v>2162</v>
      </c>
    </row>
    <row r="61" spans="1:3" ht="25" customHeight="1" x14ac:dyDescent="0.25">
      <c r="A61" s="39" t="s">
        <v>26</v>
      </c>
      <c r="B61" s="41" t="s">
        <v>27</v>
      </c>
      <c r="C61" s="36">
        <f>VLOOKUP(A61,'[22]Warmińsko-Mazurski'!$A$8:$C$68,3,FALSE)</f>
        <v>177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825</v>
      </c>
    </row>
    <row r="63" spans="1:3" ht="25" customHeight="1" x14ac:dyDescent="0.25">
      <c r="A63" s="39" t="s">
        <v>99</v>
      </c>
      <c r="B63" s="41" t="s">
        <v>112</v>
      </c>
      <c r="C63" s="36">
        <f>VLOOKUP(A63,'[22]Warmińsko-Mazurski'!$A$8:$C$68,3,FALSE)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VLOOKUP(A64,'[22]Warmińsko-Mazurski'!$A$8:$C$68,3,FALSE)</f>
        <v>0</v>
      </c>
    </row>
    <row r="65" spans="1:3" ht="25" customHeight="1" x14ac:dyDescent="0.25">
      <c r="A65" s="39" t="s">
        <v>29</v>
      </c>
      <c r="B65" s="41" t="s">
        <v>101</v>
      </c>
      <c r="C65" s="36">
        <f>VLOOKUP(A65,'[22]Warmińsko-Mazurski'!$A$8:$C$68,3,FALSE)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VLOOKUP(A66,'[22]Warmińsko-Mazurski'!$A$8:$C$68,3,FALSE)</f>
        <v>825</v>
      </c>
    </row>
    <row r="67" spans="1:3" ht="25" customHeight="1" x14ac:dyDescent="0.25">
      <c r="A67" s="14" t="s">
        <v>134</v>
      </c>
      <c r="B67" s="43" t="s">
        <v>113</v>
      </c>
      <c r="C67" s="44">
        <f>VLOOKUP(A67,'[22]Warmińsko-Mazurski'!$A$8:$C$68,3,FALSE)</f>
        <v>45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92D050"/>
  </sheetPr>
  <dimension ref="A1:C67"/>
  <sheetViews>
    <sheetView showGridLines="0" view="pageBreakPreview" zoomScale="80" zoomScaleNormal="70" zoomScaleSheetLayoutView="80" workbookViewId="0">
      <pane xSplit="2" ySplit="6" topLeftCell="C61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73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8181194</v>
      </c>
    </row>
    <row r="7" spans="1:3" ht="25" customHeight="1" x14ac:dyDescent="0.25">
      <c r="A7" s="34" t="s">
        <v>1</v>
      </c>
      <c r="B7" s="35" t="s">
        <v>116</v>
      </c>
      <c r="C7" s="36">
        <f>VLOOKUP(A7,[23]Wielkopolski!$A$8:$C$68,3,FALSE)</f>
        <v>1144931</v>
      </c>
    </row>
    <row r="8" spans="1:3" ht="25" customHeight="1" x14ac:dyDescent="0.25">
      <c r="A8" s="34" t="s">
        <v>2</v>
      </c>
      <c r="B8" s="35" t="s">
        <v>117</v>
      </c>
      <c r="C8" s="36">
        <f>VLOOKUP(A8,[23]Wielkopolski!$A$8:$C$68,3,FALSE)</f>
        <v>508968</v>
      </c>
    </row>
    <row r="9" spans="1:3" ht="25" customHeight="1" x14ac:dyDescent="0.25">
      <c r="A9" s="34" t="s">
        <v>3</v>
      </c>
      <c r="B9" s="35" t="s">
        <v>114</v>
      </c>
      <c r="C9" s="36">
        <f>VLOOKUP(A9,[23]Wielkopolski!$A$8:$C$68,3,FALSE)+[9]Św!$I$19</f>
        <v>3886813</v>
      </c>
    </row>
    <row r="10" spans="1:3" ht="25" customHeight="1" x14ac:dyDescent="0.25">
      <c r="A10" s="37" t="s">
        <v>54</v>
      </c>
      <c r="B10" s="38" t="s">
        <v>187</v>
      </c>
      <c r="C10" s="36">
        <f>VLOOKUP(A10,[23]Wielkopolski!$A$8:$C$68,3,FALSE)</f>
        <v>399916</v>
      </c>
    </row>
    <row r="11" spans="1:3" ht="25" customHeight="1" x14ac:dyDescent="0.25">
      <c r="A11" s="37" t="s">
        <v>138</v>
      </c>
      <c r="B11" s="38" t="s">
        <v>141</v>
      </c>
      <c r="C11" s="36">
        <f>VLOOKUP(A11,[23]Wielkopolski!$A$8:$C$68,3,FALSE)</f>
        <v>366443</v>
      </c>
    </row>
    <row r="12" spans="1:3" ht="25" customHeight="1" x14ac:dyDescent="0.25">
      <c r="A12" s="37" t="s">
        <v>139</v>
      </c>
      <c r="B12" s="38" t="s">
        <v>142</v>
      </c>
      <c r="C12" s="36">
        <f>VLOOKUP(A12,[23]Wielkopolski!$A$8:$C$68,3,FALSE)</f>
        <v>140193</v>
      </c>
    </row>
    <row r="13" spans="1:3" ht="25" customHeight="1" x14ac:dyDescent="0.25">
      <c r="A13" s="37" t="s">
        <v>140</v>
      </c>
      <c r="B13" s="38" t="s">
        <v>143</v>
      </c>
      <c r="C13" s="36">
        <f>VLOOKUP(A13,[23]Wielkopolski!$A$8:$C$68,3,FALSE)</f>
        <v>68413</v>
      </c>
    </row>
    <row r="14" spans="1:3" ht="25" customHeight="1" x14ac:dyDescent="0.25">
      <c r="A14" s="34" t="s">
        <v>4</v>
      </c>
      <c r="B14" s="35" t="s">
        <v>122</v>
      </c>
      <c r="C14" s="36">
        <f>VLOOKUP(A14,[23]Wielkopolski!$A$8:$C$68,3,FALSE)</f>
        <v>245616</v>
      </c>
    </row>
    <row r="15" spans="1:3" ht="25" customHeight="1" x14ac:dyDescent="0.25">
      <c r="A15" s="34" t="s">
        <v>5</v>
      </c>
      <c r="B15" s="35" t="s">
        <v>118</v>
      </c>
      <c r="C15" s="36">
        <f>VLOOKUP(A15,[23]Wielkopolski!$A$8:$C$68,3,FALSE)</f>
        <v>234217</v>
      </c>
    </row>
    <row r="16" spans="1:3" ht="25" customHeight="1" x14ac:dyDescent="0.25">
      <c r="A16" s="34" t="s">
        <v>6</v>
      </c>
      <c r="B16" s="35" t="s">
        <v>124</v>
      </c>
      <c r="C16" s="36">
        <f>VLOOKUP(A16,[23]Wielkopolski!$A$8:$C$68,3,FALSE)</f>
        <v>111173</v>
      </c>
    </row>
    <row r="17" spans="1:3" ht="25" customHeight="1" x14ac:dyDescent="0.25">
      <c r="A17" s="34" t="s">
        <v>7</v>
      </c>
      <c r="B17" s="35" t="s">
        <v>123</v>
      </c>
      <c r="C17" s="36">
        <f>VLOOKUP(A17,[23]Wielkopolski!$A$8:$C$68,3,FALSE)</f>
        <v>75121</v>
      </c>
    </row>
    <row r="18" spans="1:3" ht="25" customHeight="1" x14ac:dyDescent="0.25">
      <c r="A18" s="34" t="s">
        <v>8</v>
      </c>
      <c r="B18" s="35" t="s">
        <v>119</v>
      </c>
      <c r="C18" s="36">
        <f>VLOOKUP(A18,[23]Wielkopolski!$A$8:$C$68,3,FALSE)</f>
        <v>154734</v>
      </c>
    </row>
    <row r="19" spans="1:3" ht="25" customHeight="1" x14ac:dyDescent="0.25">
      <c r="A19" s="34" t="s">
        <v>9</v>
      </c>
      <c r="B19" s="35" t="s">
        <v>120</v>
      </c>
      <c r="C19" s="36">
        <f>VLOOKUP(A19,[23]Wielkopolski!$A$8:$C$68,3,FALSE)</f>
        <v>80000</v>
      </c>
    </row>
    <row r="20" spans="1:3" ht="25" customHeight="1" x14ac:dyDescent="0.25">
      <c r="A20" s="34" t="s">
        <v>10</v>
      </c>
      <c r="B20" s="35" t="s">
        <v>125</v>
      </c>
      <c r="C20" s="36">
        <f>VLOOKUP(A20,[23]Wielkopolski!$A$8:$C$68,3,FALSE)</f>
        <v>21019</v>
      </c>
    </row>
    <row r="21" spans="1:3" ht="25" customHeight="1" x14ac:dyDescent="0.25">
      <c r="A21" s="34" t="s">
        <v>11</v>
      </c>
      <c r="B21" s="35" t="s">
        <v>121</v>
      </c>
      <c r="C21" s="36">
        <f>VLOOKUP(A21,[23]Wielkopolski!$A$8:$C$68,3,FALSE)+[9]Św!$H$19</f>
        <v>26228</v>
      </c>
    </row>
    <row r="22" spans="1:3" ht="25" customHeight="1" x14ac:dyDescent="0.25">
      <c r="A22" s="34" t="s">
        <v>12</v>
      </c>
      <c r="B22" s="35" t="s">
        <v>159</v>
      </c>
      <c r="C22" s="36">
        <f>VLOOKUP(A22,[23]Wielkopolski!$A$8:$C$68,3,FALSE)</f>
        <v>209656</v>
      </c>
    </row>
    <row r="23" spans="1:3" ht="25" customHeight="1" x14ac:dyDescent="0.25">
      <c r="A23" s="34" t="s">
        <v>13</v>
      </c>
      <c r="B23" s="35" t="s">
        <v>144</v>
      </c>
      <c r="C23" s="36">
        <f>VLOOKUP(A23,[23]Wielkopolski!$A$8:$C$68,3,FALSE)</f>
        <v>125995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796004</v>
      </c>
    </row>
    <row r="25" spans="1:3" ht="36" x14ac:dyDescent="0.25">
      <c r="A25" s="34" t="s">
        <v>126</v>
      </c>
      <c r="B25" s="38" t="s">
        <v>146</v>
      </c>
      <c r="C25" s="36">
        <f>VLOOKUP(A25,[23]Wielkopolski!$A$8:$C$68,3,FALSE)</f>
        <v>792004</v>
      </c>
    </row>
    <row r="26" spans="1:3" ht="25" customHeight="1" x14ac:dyDescent="0.25">
      <c r="A26" s="37" t="s">
        <v>145</v>
      </c>
      <c r="B26" s="38" t="s">
        <v>148</v>
      </c>
      <c r="C26" s="36">
        <f>VLOOKUP(A26,[23]Wielkopolski!$A$8:$C$68,3,FALSE)</f>
        <v>2000</v>
      </c>
    </row>
    <row r="27" spans="1:3" ht="31.5" customHeight="1" x14ac:dyDescent="0.25">
      <c r="A27" s="37" t="s">
        <v>149</v>
      </c>
      <c r="B27" s="38" t="s">
        <v>147</v>
      </c>
      <c r="C27" s="36">
        <f>VLOOKUP(A27,[23]Wielkopolski!$A$8:$C$68,3,FALSE)</f>
        <v>2000</v>
      </c>
    </row>
    <row r="28" spans="1:3" ht="25" customHeight="1" x14ac:dyDescent="0.25">
      <c r="A28" s="39" t="s">
        <v>15</v>
      </c>
      <c r="B28" s="40" t="s">
        <v>110</v>
      </c>
      <c r="C28" s="36">
        <f>VLOOKUP(A28,[23]Wielkopolski!$A$8:$C$68,3,FALSE)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VLOOKUP(A29,[23]Wielkopolski!$A$8:$C$68,3,FALSE)</f>
        <v>55696</v>
      </c>
    </row>
    <row r="30" spans="1:3" ht="25" customHeight="1" x14ac:dyDescent="0.25">
      <c r="A30" s="37" t="s">
        <v>151</v>
      </c>
      <c r="B30" s="38" t="s">
        <v>161</v>
      </c>
      <c r="C30" s="36">
        <f>VLOOKUP(A30,[23]Wielkopolski!$A$8:$C$68,3,FALSE)</f>
        <v>0</v>
      </c>
    </row>
    <row r="31" spans="1:3" ht="25" customHeight="1" x14ac:dyDescent="0.25">
      <c r="A31" s="39" t="s">
        <v>108</v>
      </c>
      <c r="B31" s="42" t="s">
        <v>111</v>
      </c>
      <c r="C31" s="36">
        <f>VLOOKUP(A31,[23]Wielkopolski!$A$8:$C$68,3,FALSE)</f>
        <v>454123</v>
      </c>
    </row>
    <row r="32" spans="1:3" ht="25" customHeight="1" x14ac:dyDescent="0.25">
      <c r="A32" s="39" t="s">
        <v>109</v>
      </c>
      <c r="B32" s="41" t="s">
        <v>160</v>
      </c>
      <c r="C32" s="36">
        <f>VLOOKUP(A32,[23]Wielkopolski!$A$8:$C$68,3,FALSE)</f>
        <v>30000</v>
      </c>
    </row>
    <row r="33" spans="1:3" ht="25" customHeight="1" x14ac:dyDescent="0.25">
      <c r="A33" s="39" t="s">
        <v>162</v>
      </c>
      <c r="B33" s="41" t="s">
        <v>163</v>
      </c>
      <c r="C33" s="36">
        <f>VLOOKUP(A33,[23]Wielkopolski!$A$8:$C$68,3,FALSE)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VLOOKUP(A34,[23]Wielkopolski!$A$8:$C$68,3,FALSE)</f>
        <v>5000</v>
      </c>
    </row>
    <row r="35" spans="1:3" ht="25" customHeight="1" x14ac:dyDescent="0.25">
      <c r="A35" s="39" t="s">
        <v>182</v>
      </c>
      <c r="B35" s="41" t="s">
        <v>183</v>
      </c>
      <c r="C35" s="36">
        <f>VLOOKUP(A35,[23]Wielkopolski!$A$8:$C$68,3,FALSE)</f>
        <v>15900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VLOOKUP(A36,[23]Wielkopolski!$A$8:$C$68,3,FALSE)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VLOOKUP(A37,[23]Wielkopolski!$A$8:$C$68,3,FALSE)</f>
        <v>171054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VLOOKUP(A38,[23]Wielkopolski!$A$8:$C$68,3,FALSE)</f>
        <v>67586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1230860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48507</v>
      </c>
    </row>
    <row r="42" spans="1:3" ht="25" customHeight="1" x14ac:dyDescent="0.25">
      <c r="A42" s="39" t="s">
        <v>16</v>
      </c>
      <c r="B42" s="41" t="s">
        <v>17</v>
      </c>
      <c r="C42" s="36">
        <f>VLOOKUP(A42,[23]Wielkopolski!$A$8:$C$68,3,FALSE)+50</f>
        <v>2687</v>
      </c>
    </row>
    <row r="43" spans="1:3" ht="25" customHeight="1" x14ac:dyDescent="0.25">
      <c r="A43" s="39" t="s">
        <v>18</v>
      </c>
      <c r="B43" s="41" t="s">
        <v>19</v>
      </c>
      <c r="C43" s="36">
        <f>VLOOKUP(A43,[23]Wielkopolski!$A$8:$C$68,3,FALSE)</f>
        <v>9469</v>
      </c>
    </row>
    <row r="44" spans="1:3" ht="25" customHeight="1" x14ac:dyDescent="0.25">
      <c r="A44" s="39" t="s">
        <v>20</v>
      </c>
      <c r="B44" s="46" t="s">
        <v>174</v>
      </c>
      <c r="C44" s="36">
        <f>VLOOKUP(A44,[23]Wielkopolski!$A$8:$C$68,3,FALSE)</f>
        <v>594</v>
      </c>
    </row>
    <row r="45" spans="1:3" ht="25" customHeight="1" x14ac:dyDescent="0.25">
      <c r="A45" s="39" t="s">
        <v>37</v>
      </c>
      <c r="B45" s="47" t="s">
        <v>30</v>
      </c>
      <c r="C45" s="36">
        <f>VLOOKUP(A45,[23]Wielkopolski!$A$8:$C$68,3,FALSE)</f>
        <v>55</v>
      </c>
    </row>
    <row r="46" spans="1:3" ht="25" customHeight="1" x14ac:dyDescent="0.25">
      <c r="A46" s="39" t="s">
        <v>38</v>
      </c>
      <c r="B46" s="48" t="s">
        <v>31</v>
      </c>
      <c r="C46" s="36">
        <f>VLOOKUP(A46,[23]Wielkopolski!$A$8:$C$68,3,FALSE)</f>
        <v>55</v>
      </c>
    </row>
    <row r="47" spans="1:3" ht="25" customHeight="1" x14ac:dyDescent="0.25">
      <c r="A47" s="39" t="s">
        <v>39</v>
      </c>
      <c r="B47" s="47" t="s">
        <v>32</v>
      </c>
      <c r="C47" s="36">
        <f>VLOOKUP(A47,[23]Wielkopolski!$A$8:$C$68,3,FALSE)</f>
        <v>258</v>
      </c>
    </row>
    <row r="48" spans="1:3" ht="25" customHeight="1" x14ac:dyDescent="0.25">
      <c r="A48" s="39" t="s">
        <v>40</v>
      </c>
      <c r="B48" s="47" t="s">
        <v>33</v>
      </c>
      <c r="C48" s="36">
        <f>VLOOKUP(A48,[23]Wielkopolski!$A$8:$C$68,3,FALSE)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VLOOKUP(A49,[23]Wielkopolski!$A$8:$C$68,3,FALSE)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VLOOKUP(A50,[23]Wielkopolski!$A$8:$C$68,3,FALSE)</f>
        <v>275</v>
      </c>
    </row>
    <row r="51" spans="1:3" ht="25" customHeight="1" x14ac:dyDescent="0.25">
      <c r="A51" s="39" t="s">
        <v>43</v>
      </c>
      <c r="B51" s="47" t="s">
        <v>36</v>
      </c>
      <c r="C51" s="36">
        <f>VLOOKUP(A51,[23]Wielkopolski!$A$8:$C$68,3,FALSE)</f>
        <v>6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'[7]F_wynagr-2020'!$V$20</f>
        <v>26020</v>
      </c>
    </row>
    <row r="53" spans="1:3" ht="25" customHeight="1" x14ac:dyDescent="0.25">
      <c r="A53" s="39" t="s">
        <v>154</v>
      </c>
      <c r="B53" s="47" t="s">
        <v>155</v>
      </c>
      <c r="C53" s="36">
        <f>VLOOKUP(A53,[23]Wielkopolski!$A$8:$C$68,3,FALSE)</f>
        <v>123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5820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2020'!$I$20</f>
        <v>4471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2020'!$L$20</f>
        <v>638</v>
      </c>
    </row>
    <row r="57" spans="1:3" ht="25" customHeight="1" x14ac:dyDescent="0.25">
      <c r="A57" s="39" t="s">
        <v>50</v>
      </c>
      <c r="B57" s="47" t="s">
        <v>46</v>
      </c>
      <c r="C57" s="36">
        <f>VLOOKUP(A57,[23]Wielkopolski!$A$8:$C$68,3,FALSE)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2020'!$P$20</f>
        <v>711</v>
      </c>
    </row>
    <row r="59" spans="1:3" ht="25" customHeight="1" x14ac:dyDescent="0.25">
      <c r="A59" s="39" t="s">
        <v>23</v>
      </c>
      <c r="B59" s="41" t="s">
        <v>24</v>
      </c>
      <c r="C59" s="36">
        <f>VLOOKUP(A59,[23]Wielkopolski!$A$8:$C$68,3,FALSE)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VLOOKUP(A60,[23]Wielkopolski!$A$8:$C$68,3,FALSE)</f>
        <v>3519</v>
      </c>
    </row>
    <row r="61" spans="1:3" ht="25" customHeight="1" x14ac:dyDescent="0.25">
      <c r="A61" s="39" t="s">
        <v>26</v>
      </c>
      <c r="B61" s="41" t="s">
        <v>27</v>
      </c>
      <c r="C61" s="36">
        <f>VLOOKUP(A61,[23]Wielkopolski!$A$8:$C$68,3,FALSE)</f>
        <v>398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14300</v>
      </c>
    </row>
    <row r="63" spans="1:3" ht="25" customHeight="1" x14ac:dyDescent="0.25">
      <c r="A63" s="39" t="s">
        <v>99</v>
      </c>
      <c r="B63" s="41" t="s">
        <v>112</v>
      </c>
      <c r="C63" s="36">
        <f>VLOOKUP(A63,[23]Wielkopolski!$A$8:$C$68,3,FALSE)-50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VLOOKUP(A64,[23]Wielkopolski!$A$8:$C$68,3,FALSE)</f>
        <v>13300</v>
      </c>
    </row>
    <row r="65" spans="1:3" ht="25" customHeight="1" x14ac:dyDescent="0.25">
      <c r="A65" s="39" t="s">
        <v>29</v>
      </c>
      <c r="B65" s="41" t="s">
        <v>101</v>
      </c>
      <c r="C65" s="36">
        <f>VLOOKUP(A65,[23]Wielkopolski!$A$8:$C$68,3,FALSE)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VLOOKUP(A66,[23]Wielkopolski!$A$8:$C$68,3,FALSE)</f>
        <v>1000</v>
      </c>
    </row>
    <row r="67" spans="1:3" ht="25" customHeight="1" x14ac:dyDescent="0.25">
      <c r="A67" s="14" t="s">
        <v>134</v>
      </c>
      <c r="B67" s="43" t="s">
        <v>113</v>
      </c>
      <c r="C67" s="44">
        <f>VLOOKUP(A67,[23]Wielkopolski!$A$8:$C$68,3,FALSE)</f>
        <v>950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92D050"/>
  </sheetPr>
  <dimension ref="A1:C67"/>
  <sheetViews>
    <sheetView showGridLines="0" view="pageBreakPreview" zoomScale="80" zoomScaleNormal="70" zoomScaleSheetLayoutView="80" workbookViewId="0">
      <pane xSplit="2" ySplit="6" topLeftCell="C7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74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3923137</v>
      </c>
    </row>
    <row r="7" spans="1:3" ht="25" customHeight="1" x14ac:dyDescent="0.25">
      <c r="A7" s="34" t="s">
        <v>1</v>
      </c>
      <c r="B7" s="35" t="s">
        <v>116</v>
      </c>
      <c r="C7" s="36">
        <f>VLOOKUP(A7,[24]Zachodniopomorski!$A$8:$C$68,3,FALSE)</f>
        <v>537605</v>
      </c>
    </row>
    <row r="8" spans="1:3" ht="25" customHeight="1" x14ac:dyDescent="0.25">
      <c r="A8" s="34" t="s">
        <v>2</v>
      </c>
      <c r="B8" s="35" t="s">
        <v>117</v>
      </c>
      <c r="C8" s="36">
        <f>VLOOKUP(A8,[24]Zachodniopomorski!$A$8:$C$68,3,FALSE)</f>
        <v>201988</v>
      </c>
    </row>
    <row r="9" spans="1:3" ht="25" customHeight="1" x14ac:dyDescent="0.25">
      <c r="A9" s="34" t="s">
        <v>3</v>
      </c>
      <c r="B9" s="35" t="s">
        <v>114</v>
      </c>
      <c r="C9" s="36">
        <f>VLOOKUP(A9,[24]Zachodniopomorski!$A$8:$C$68,3,FALSE)+[9]Św!$I$20</f>
        <v>1853863</v>
      </c>
    </row>
    <row r="10" spans="1:3" ht="25" customHeight="1" x14ac:dyDescent="0.25">
      <c r="A10" s="37" t="s">
        <v>54</v>
      </c>
      <c r="B10" s="38" t="s">
        <v>187</v>
      </c>
      <c r="C10" s="36">
        <f>VLOOKUP(A10,[24]Zachodniopomorski!$A$8:$C$68,3,FALSE)</f>
        <v>142632</v>
      </c>
    </row>
    <row r="11" spans="1:3" ht="25" customHeight="1" x14ac:dyDescent="0.25">
      <c r="A11" s="37" t="s">
        <v>138</v>
      </c>
      <c r="B11" s="38" t="s">
        <v>141</v>
      </c>
      <c r="C11" s="36">
        <f>VLOOKUP(A11,[24]Zachodniopomorski!$A$8:$C$68,3,FALSE)</f>
        <v>128526</v>
      </c>
    </row>
    <row r="12" spans="1:3" ht="25" customHeight="1" x14ac:dyDescent="0.25">
      <c r="A12" s="37" t="s">
        <v>139</v>
      </c>
      <c r="B12" s="38" t="s">
        <v>142</v>
      </c>
      <c r="C12" s="36">
        <f>VLOOKUP(A12,[24]Zachodniopomorski!$A$8:$C$68,3,FALSE)</f>
        <v>60917</v>
      </c>
    </row>
    <row r="13" spans="1:3" ht="25" customHeight="1" x14ac:dyDescent="0.25">
      <c r="A13" s="37" t="s">
        <v>140</v>
      </c>
      <c r="B13" s="38" t="s">
        <v>143</v>
      </c>
      <c r="C13" s="36">
        <f>VLOOKUP(A13,[24]Zachodniopomorski!$A$8:$C$68,3,FALSE)</f>
        <v>26978</v>
      </c>
    </row>
    <row r="14" spans="1:3" ht="25" customHeight="1" x14ac:dyDescent="0.25">
      <c r="A14" s="34" t="s">
        <v>4</v>
      </c>
      <c r="B14" s="35" t="s">
        <v>122</v>
      </c>
      <c r="C14" s="36">
        <f>VLOOKUP(A14,[24]Zachodniopomorski!$A$8:$C$68,3,FALSE)</f>
        <v>98100</v>
      </c>
    </row>
    <row r="15" spans="1:3" ht="25" customHeight="1" x14ac:dyDescent="0.25">
      <c r="A15" s="34" t="s">
        <v>5</v>
      </c>
      <c r="B15" s="35" t="s">
        <v>118</v>
      </c>
      <c r="C15" s="36">
        <f>VLOOKUP(A15,[24]Zachodniopomorski!$A$8:$C$68,3,FALSE)</f>
        <v>115366</v>
      </c>
    </row>
    <row r="16" spans="1:3" ht="25" customHeight="1" x14ac:dyDescent="0.25">
      <c r="A16" s="34" t="s">
        <v>6</v>
      </c>
      <c r="B16" s="35" t="s">
        <v>124</v>
      </c>
      <c r="C16" s="36">
        <f>VLOOKUP(A16,[24]Zachodniopomorski!$A$8:$C$68,3,FALSE)</f>
        <v>61440</v>
      </c>
    </row>
    <row r="17" spans="1:3" ht="25" customHeight="1" x14ac:dyDescent="0.25">
      <c r="A17" s="34" t="s">
        <v>7</v>
      </c>
      <c r="B17" s="35" t="s">
        <v>123</v>
      </c>
      <c r="C17" s="36">
        <f>VLOOKUP(A17,[24]Zachodniopomorski!$A$8:$C$68,3,FALSE)</f>
        <v>22876</v>
      </c>
    </row>
    <row r="18" spans="1:3" ht="25" customHeight="1" x14ac:dyDescent="0.25">
      <c r="A18" s="34" t="s">
        <v>8</v>
      </c>
      <c r="B18" s="35" t="s">
        <v>119</v>
      </c>
      <c r="C18" s="36">
        <f>VLOOKUP(A18,[24]Zachodniopomorski!$A$8:$C$68,3,FALSE)</f>
        <v>89870</v>
      </c>
    </row>
    <row r="19" spans="1:3" ht="25" customHeight="1" x14ac:dyDescent="0.25">
      <c r="A19" s="34" t="s">
        <v>9</v>
      </c>
      <c r="B19" s="35" t="s">
        <v>120</v>
      </c>
      <c r="C19" s="36">
        <f>VLOOKUP(A19,[24]Zachodniopomorski!$A$8:$C$68,3,FALSE)</f>
        <v>34347</v>
      </c>
    </row>
    <row r="20" spans="1:3" ht="25" customHeight="1" x14ac:dyDescent="0.25">
      <c r="A20" s="34" t="s">
        <v>10</v>
      </c>
      <c r="B20" s="35" t="s">
        <v>125</v>
      </c>
      <c r="C20" s="36">
        <f>VLOOKUP(A20,[24]Zachodniopomorski!$A$8:$C$68,3,FALSE)</f>
        <v>2690</v>
      </c>
    </row>
    <row r="21" spans="1:3" ht="25" customHeight="1" x14ac:dyDescent="0.25">
      <c r="A21" s="34" t="s">
        <v>11</v>
      </c>
      <c r="B21" s="35" t="s">
        <v>121</v>
      </c>
      <c r="C21" s="36">
        <f>VLOOKUP(A21,[24]Zachodniopomorski!$A$8:$C$68,3,FALSE)+[9]Św!$H$20</f>
        <v>13861</v>
      </c>
    </row>
    <row r="22" spans="1:3" ht="25" customHeight="1" x14ac:dyDescent="0.25">
      <c r="A22" s="34" t="s">
        <v>12</v>
      </c>
      <c r="B22" s="35" t="s">
        <v>159</v>
      </c>
      <c r="C22" s="36">
        <f>VLOOKUP(A22,[24]Zachodniopomorski!$A$8:$C$68,3,FALSE)</f>
        <v>157390</v>
      </c>
    </row>
    <row r="23" spans="1:3" ht="25" customHeight="1" x14ac:dyDescent="0.25">
      <c r="A23" s="34" t="s">
        <v>13</v>
      </c>
      <c r="B23" s="35" t="s">
        <v>144</v>
      </c>
      <c r="C23" s="36">
        <f>VLOOKUP(A23,[24]Zachodniopomorski!$A$8:$C$68,3,FALSE)</f>
        <v>57680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376916</v>
      </c>
    </row>
    <row r="25" spans="1:3" ht="36" x14ac:dyDescent="0.25">
      <c r="A25" s="34" t="s">
        <v>126</v>
      </c>
      <c r="B25" s="38" t="s">
        <v>146</v>
      </c>
      <c r="C25" s="36">
        <f>VLOOKUP(A25,[24]Zachodniopomorski!$A$8:$C$68,3,FALSE)</f>
        <v>376266</v>
      </c>
    </row>
    <row r="26" spans="1:3" ht="25" customHeight="1" x14ac:dyDescent="0.25">
      <c r="A26" s="37" t="s">
        <v>145</v>
      </c>
      <c r="B26" s="38" t="s">
        <v>148</v>
      </c>
      <c r="C26" s="36">
        <f>VLOOKUP(A26,[24]Zachodniopomorski!$A$8:$C$68,3,FALSE)</f>
        <v>250</v>
      </c>
    </row>
    <row r="27" spans="1:3" ht="31.5" customHeight="1" x14ac:dyDescent="0.25">
      <c r="A27" s="37" t="s">
        <v>149</v>
      </c>
      <c r="B27" s="38" t="s">
        <v>147</v>
      </c>
      <c r="C27" s="36">
        <f>VLOOKUP(A27,[24]Zachodniopomorski!$A$8:$C$68,3,FALSE)</f>
        <v>400</v>
      </c>
    </row>
    <row r="28" spans="1:3" ht="25" customHeight="1" x14ac:dyDescent="0.25">
      <c r="A28" s="39" t="s">
        <v>15</v>
      </c>
      <c r="B28" s="40" t="s">
        <v>110</v>
      </c>
      <c r="C28" s="36">
        <f>VLOOKUP(A28,[24]Zachodniopomorski!$A$8:$C$68,3,FALSE)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VLOOKUP(A29,[24]Zachodniopomorski!$A$8:$C$68,3,FALSE)</f>
        <v>30572</v>
      </c>
    </row>
    <row r="30" spans="1:3" ht="25" customHeight="1" x14ac:dyDescent="0.25">
      <c r="A30" s="37" t="s">
        <v>151</v>
      </c>
      <c r="B30" s="38" t="s">
        <v>161</v>
      </c>
      <c r="C30" s="36">
        <f>VLOOKUP(A30,[24]Zachodniopomorski!$A$8:$C$68,3,FALSE)</f>
        <v>0</v>
      </c>
    </row>
    <row r="31" spans="1:3" ht="25" customHeight="1" x14ac:dyDescent="0.25">
      <c r="A31" s="39" t="s">
        <v>108</v>
      </c>
      <c r="B31" s="42" t="s">
        <v>111</v>
      </c>
      <c r="C31" s="36">
        <f>VLOOKUP(A31,[24]Zachodniopomorski!$A$8:$C$68,3,FALSE)</f>
        <v>254086</v>
      </c>
    </row>
    <row r="32" spans="1:3" ht="25" customHeight="1" x14ac:dyDescent="0.25">
      <c r="A32" s="39" t="s">
        <v>109</v>
      </c>
      <c r="B32" s="41" t="s">
        <v>160</v>
      </c>
      <c r="C32" s="36">
        <f>VLOOKUP(A32,[24]Zachodniopomorski!$A$8:$C$68,3,FALSE)</f>
        <v>0</v>
      </c>
    </row>
    <row r="33" spans="1:3" ht="25" customHeight="1" x14ac:dyDescent="0.25">
      <c r="A33" s="39" t="s">
        <v>162</v>
      </c>
      <c r="B33" s="41" t="s">
        <v>163</v>
      </c>
      <c r="C33" s="36">
        <f>VLOOKUP(A33,[24]Zachodniopomorski!$A$8:$C$68,3,FALSE)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VLOOKUP(A34,[24]Zachodniopomorski!$A$8:$C$68,3,FALSE)</f>
        <v>1500</v>
      </c>
    </row>
    <row r="35" spans="1:3" ht="25" customHeight="1" x14ac:dyDescent="0.25">
      <c r="A35" s="39" t="s">
        <v>182</v>
      </c>
      <c r="B35" s="41" t="s">
        <v>183</v>
      </c>
      <c r="C35" s="36">
        <f>VLOOKUP(A35,[24]Zachodniopomorski!$A$8:$C$68,3,FALSE)</f>
        <v>12987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VLOOKUP(A36,[24]Zachodniopomorski!$A$8:$C$68,3,FALSE)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VLOOKUP(A37,[24]Zachodniopomorski!$A$8:$C$68,3,FALSE)</f>
        <v>116491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VLOOKUP(A38,[24]Zachodniopomorski!$A$8:$C$68,3,FALSE)</f>
        <v>34893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532420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26967</v>
      </c>
    </row>
    <row r="42" spans="1:3" ht="25" customHeight="1" x14ac:dyDescent="0.25">
      <c r="A42" s="39" t="s">
        <v>16</v>
      </c>
      <c r="B42" s="41" t="s">
        <v>17</v>
      </c>
      <c r="C42" s="36">
        <f>VLOOKUP(A42,[24]Zachodniopomorski!$A$8:$C$68,3,FALSE)+55</f>
        <v>924</v>
      </c>
    </row>
    <row r="43" spans="1:3" ht="25" customHeight="1" x14ac:dyDescent="0.25">
      <c r="A43" s="39" t="s">
        <v>18</v>
      </c>
      <c r="B43" s="41" t="s">
        <v>19</v>
      </c>
      <c r="C43" s="36">
        <f>VLOOKUP(A43,[24]Zachodniopomorski!$A$8:$C$68,3,FALSE)+17</f>
        <v>3073</v>
      </c>
    </row>
    <row r="44" spans="1:3" ht="25" customHeight="1" x14ac:dyDescent="0.25">
      <c r="A44" s="39" t="s">
        <v>20</v>
      </c>
      <c r="B44" s="46" t="s">
        <v>174</v>
      </c>
      <c r="C44" s="36">
        <f>VLOOKUP(A44,[24]Zachodniopomorski!$A$8:$C$68,3,FALSE)</f>
        <v>302</v>
      </c>
    </row>
    <row r="45" spans="1:3" ht="25" customHeight="1" x14ac:dyDescent="0.25">
      <c r="A45" s="39" t="s">
        <v>37</v>
      </c>
      <c r="B45" s="47" t="s">
        <v>30</v>
      </c>
      <c r="C45" s="36">
        <f>VLOOKUP(A45,[24]Zachodniopomorski!$A$8:$C$68,3,FALSE)</f>
        <v>28</v>
      </c>
    </row>
    <row r="46" spans="1:3" ht="25" customHeight="1" x14ac:dyDescent="0.25">
      <c r="A46" s="39" t="s">
        <v>38</v>
      </c>
      <c r="B46" s="48" t="s">
        <v>31</v>
      </c>
      <c r="C46" s="36">
        <f>VLOOKUP(A46,[24]Zachodniopomorski!$A$8:$C$68,3,FALSE)</f>
        <v>28</v>
      </c>
    </row>
    <row r="47" spans="1:3" ht="25" customHeight="1" x14ac:dyDescent="0.25">
      <c r="A47" s="39" t="s">
        <v>39</v>
      </c>
      <c r="B47" s="47" t="s">
        <v>32</v>
      </c>
      <c r="C47" s="36">
        <f>VLOOKUP(A47,[24]Zachodniopomorski!$A$8:$C$68,3,FALSE)</f>
        <v>26</v>
      </c>
    </row>
    <row r="48" spans="1:3" ht="25" customHeight="1" x14ac:dyDescent="0.25">
      <c r="A48" s="39" t="s">
        <v>40</v>
      </c>
      <c r="B48" s="47" t="s">
        <v>33</v>
      </c>
      <c r="C48" s="36">
        <f>VLOOKUP(A48,[24]Zachodniopomorski!$A$8:$C$68,3,FALSE)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VLOOKUP(A49,[24]Zachodniopomorski!$A$8:$C$68,3,FALSE)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VLOOKUP(A50,[24]Zachodniopomorski!$A$8:$C$68,3,FALSE)</f>
        <v>205</v>
      </c>
    </row>
    <row r="51" spans="1:3" ht="25" customHeight="1" x14ac:dyDescent="0.25">
      <c r="A51" s="39" t="s">
        <v>43</v>
      </c>
      <c r="B51" s="47" t="s">
        <v>36</v>
      </c>
      <c r="C51" s="36">
        <f>VLOOKUP(A51,[24]Zachodniopomorski!$A$8:$C$68,3,FALSE)</f>
        <v>43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'[7]F_wynagr-2020'!$V$21</f>
        <v>16321</v>
      </c>
    </row>
    <row r="53" spans="1:3" ht="25" customHeight="1" x14ac:dyDescent="0.25">
      <c r="A53" s="39" t="s">
        <v>154</v>
      </c>
      <c r="B53" s="47" t="s">
        <v>155</v>
      </c>
      <c r="C53" s="36">
        <f>VLOOKUP(A53,[24]Zachodniopomorski!$A$8:$C$68,3,FALSE)</f>
        <v>50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3653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2020'!$I$21</f>
        <v>2802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2020'!$L$21</f>
        <v>400</v>
      </c>
    </row>
    <row r="57" spans="1:3" ht="25" customHeight="1" x14ac:dyDescent="0.25">
      <c r="A57" s="39" t="s">
        <v>50</v>
      </c>
      <c r="B57" s="47" t="s">
        <v>46</v>
      </c>
      <c r="C57" s="36">
        <f>VLOOKUP(A57,[24]Zachodniopomorski!$A$8:$C$68,3,FALSE)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2020'!$P$21</f>
        <v>451</v>
      </c>
    </row>
    <row r="59" spans="1:3" ht="25" customHeight="1" x14ac:dyDescent="0.25">
      <c r="A59" s="39" t="s">
        <v>23</v>
      </c>
      <c r="B59" s="41" t="s">
        <v>24</v>
      </c>
      <c r="C59" s="36">
        <f>VLOOKUP(A59,[24]Zachodniopomorski!$A$8:$C$68,3,FALSE)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VLOOKUP(A60,[24]Zachodniopomorski!$A$8:$C$68,3,FALSE)</f>
        <v>2537</v>
      </c>
    </row>
    <row r="61" spans="1:3" ht="25" customHeight="1" x14ac:dyDescent="0.25">
      <c r="A61" s="39" t="s">
        <v>26</v>
      </c>
      <c r="B61" s="41" t="s">
        <v>27</v>
      </c>
      <c r="C61" s="36">
        <f>VLOOKUP(A61,[24]Zachodniopomorski!$A$8:$C$68,3,FALSE)</f>
        <v>157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581</v>
      </c>
    </row>
    <row r="63" spans="1:3" ht="25" customHeight="1" x14ac:dyDescent="0.25">
      <c r="A63" s="39" t="s">
        <v>99</v>
      </c>
      <c r="B63" s="41" t="s">
        <v>112</v>
      </c>
      <c r="C63" s="36">
        <f>VLOOKUP(A63,[24]Zachodniopomorski!$A$8:$C$68,3,FALSE)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VLOOKUP(A64,[24]Zachodniopomorski!$A$8:$C$68,3,FALSE)</f>
        <v>0</v>
      </c>
    </row>
    <row r="65" spans="1:3" ht="25" customHeight="1" x14ac:dyDescent="0.25">
      <c r="A65" s="39" t="s">
        <v>29</v>
      </c>
      <c r="B65" s="41" t="s">
        <v>101</v>
      </c>
      <c r="C65" s="36">
        <f>VLOOKUP(A65,[24]Zachodniopomorski!$A$8:$C$68,3,FALSE)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VLOOKUP(A66,[24]Zachodniopomorski!$A$8:$C$68,3,FALSE)</f>
        <v>581</v>
      </c>
    </row>
    <row r="67" spans="1:3" ht="25" customHeight="1" x14ac:dyDescent="0.25">
      <c r="A67" s="14" t="s">
        <v>134</v>
      </c>
      <c r="B67" s="43" t="s">
        <v>113</v>
      </c>
      <c r="C67" s="44">
        <f>VLOOKUP(A67,[24]Zachodniopomorski!$A$8:$C$68,3,FALSE)</f>
        <v>57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0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92D050"/>
  </sheetPr>
  <dimension ref="A1:C70"/>
  <sheetViews>
    <sheetView showGridLines="0" view="pageBreakPreview" zoomScale="80" zoomScaleNormal="70" zoomScaleSheetLayoutView="80" workbookViewId="0">
      <pane xSplit="2" ySplit="6" topLeftCell="C7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204</v>
      </c>
      <c r="B2" s="59"/>
      <c r="C2" s="52"/>
    </row>
    <row r="3" spans="1:3" x14ac:dyDescent="0.25">
      <c r="A3" s="60"/>
      <c r="B3" s="31"/>
      <c r="C3" s="53" t="s">
        <v>198</v>
      </c>
    </row>
    <row r="4" spans="1:3" s="62" customFormat="1" ht="96" customHeight="1" x14ac:dyDescent="0.25">
      <c r="A4" s="61" t="s">
        <v>115</v>
      </c>
      <c r="B4" s="61" t="s">
        <v>52</v>
      </c>
      <c r="C4" s="1" t="s">
        <v>200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769370</v>
      </c>
    </row>
    <row r="7" spans="1:3" ht="25" customHeight="1" x14ac:dyDescent="0.25">
      <c r="A7" s="34" t="s">
        <v>1</v>
      </c>
      <c r="B7" s="54" t="s">
        <v>116</v>
      </c>
      <c r="C7" s="55">
        <v>0</v>
      </c>
    </row>
    <row r="8" spans="1:3" ht="25" customHeight="1" x14ac:dyDescent="0.25">
      <c r="A8" s="34" t="s">
        <v>2</v>
      </c>
      <c r="B8" s="54" t="s">
        <v>117</v>
      </c>
      <c r="C8" s="55">
        <v>0</v>
      </c>
    </row>
    <row r="9" spans="1:3" ht="25" customHeight="1" x14ac:dyDescent="0.25">
      <c r="A9" s="34" t="s">
        <v>3</v>
      </c>
      <c r="B9" s="54" t="s">
        <v>114</v>
      </c>
      <c r="C9" s="55">
        <v>0</v>
      </c>
    </row>
    <row r="10" spans="1:3" ht="25" customHeight="1" x14ac:dyDescent="0.25">
      <c r="A10" s="34" t="s">
        <v>54</v>
      </c>
      <c r="B10" s="56" t="s">
        <v>187</v>
      </c>
      <c r="C10" s="55">
        <v>0</v>
      </c>
    </row>
    <row r="11" spans="1:3" ht="25" customHeight="1" x14ac:dyDescent="0.25">
      <c r="A11" s="34" t="s">
        <v>138</v>
      </c>
      <c r="B11" s="56" t="s">
        <v>141</v>
      </c>
      <c r="C11" s="55">
        <v>0</v>
      </c>
    </row>
    <row r="12" spans="1:3" ht="25" customHeight="1" x14ac:dyDescent="0.25">
      <c r="A12" s="34" t="s">
        <v>139</v>
      </c>
      <c r="B12" s="56" t="s">
        <v>142</v>
      </c>
      <c r="C12" s="55">
        <v>0</v>
      </c>
    </row>
    <row r="13" spans="1:3" ht="25" customHeight="1" x14ac:dyDescent="0.25">
      <c r="A13" s="34" t="s">
        <v>140</v>
      </c>
      <c r="B13" s="56" t="s">
        <v>143</v>
      </c>
      <c r="C13" s="55">
        <v>0</v>
      </c>
    </row>
    <row r="14" spans="1:3" ht="25" customHeight="1" x14ac:dyDescent="0.25">
      <c r="A14" s="34" t="s">
        <v>4</v>
      </c>
      <c r="B14" s="54" t="s">
        <v>122</v>
      </c>
      <c r="C14" s="55">
        <v>0</v>
      </c>
    </row>
    <row r="15" spans="1:3" ht="25" customHeight="1" x14ac:dyDescent="0.25">
      <c r="A15" s="34" t="s">
        <v>5</v>
      </c>
      <c r="B15" s="54" t="s">
        <v>118</v>
      </c>
      <c r="C15" s="55">
        <v>0</v>
      </c>
    </row>
    <row r="16" spans="1:3" ht="25" customHeight="1" x14ac:dyDescent="0.25">
      <c r="A16" s="34" t="s">
        <v>6</v>
      </c>
      <c r="B16" s="54" t="s">
        <v>124</v>
      </c>
      <c r="C16" s="55">
        <v>0</v>
      </c>
    </row>
    <row r="17" spans="1:3" ht="25" customHeight="1" x14ac:dyDescent="0.25">
      <c r="A17" s="34" t="s">
        <v>7</v>
      </c>
      <c r="B17" s="54" t="s">
        <v>123</v>
      </c>
      <c r="C17" s="55">
        <v>0</v>
      </c>
    </row>
    <row r="18" spans="1:3" ht="25" customHeight="1" x14ac:dyDescent="0.25">
      <c r="A18" s="34" t="s">
        <v>8</v>
      </c>
      <c r="B18" s="54" t="s">
        <v>119</v>
      </c>
      <c r="C18" s="55">
        <v>0</v>
      </c>
    </row>
    <row r="19" spans="1:3" ht="25" customHeight="1" x14ac:dyDescent="0.25">
      <c r="A19" s="34" t="s">
        <v>9</v>
      </c>
      <c r="B19" s="54" t="s">
        <v>120</v>
      </c>
      <c r="C19" s="55">
        <v>0</v>
      </c>
    </row>
    <row r="20" spans="1:3" ht="25" customHeight="1" x14ac:dyDescent="0.25">
      <c r="A20" s="34" t="s">
        <v>10</v>
      </c>
      <c r="B20" s="54" t="s">
        <v>125</v>
      </c>
      <c r="C20" s="55">
        <v>0</v>
      </c>
    </row>
    <row r="21" spans="1:3" ht="25" customHeight="1" x14ac:dyDescent="0.25">
      <c r="A21" s="34" t="s">
        <v>11</v>
      </c>
      <c r="B21" s="54" t="s">
        <v>121</v>
      </c>
      <c r="C21" s="55">
        <v>0</v>
      </c>
    </row>
    <row r="22" spans="1:3" ht="25" customHeight="1" x14ac:dyDescent="0.25">
      <c r="A22" s="34" t="s">
        <v>12</v>
      </c>
      <c r="B22" s="54" t="s">
        <v>159</v>
      </c>
      <c r="C22" s="55">
        <v>0</v>
      </c>
    </row>
    <row r="23" spans="1:3" ht="25" customHeight="1" x14ac:dyDescent="0.25">
      <c r="A23" s="34" t="s">
        <v>13</v>
      </c>
      <c r="B23" s="54" t="s">
        <v>144</v>
      </c>
      <c r="C23" s="55">
        <v>0</v>
      </c>
    </row>
    <row r="24" spans="1:3" ht="25" customHeight="1" x14ac:dyDescent="0.25">
      <c r="A24" s="37" t="s">
        <v>14</v>
      </c>
      <c r="B24" s="35" t="s">
        <v>167</v>
      </c>
      <c r="C24" s="55">
        <v>0</v>
      </c>
    </row>
    <row r="25" spans="1:3" ht="36" x14ac:dyDescent="0.25">
      <c r="A25" s="34" t="s">
        <v>126</v>
      </c>
      <c r="B25" s="56" t="s">
        <v>146</v>
      </c>
      <c r="C25" s="55">
        <v>0</v>
      </c>
    </row>
    <row r="26" spans="1:3" ht="25" customHeight="1" x14ac:dyDescent="0.25">
      <c r="A26" s="34" t="s">
        <v>145</v>
      </c>
      <c r="B26" s="56" t="s">
        <v>148</v>
      </c>
      <c r="C26" s="55">
        <v>0</v>
      </c>
    </row>
    <row r="27" spans="1:3" ht="31.5" customHeight="1" x14ac:dyDescent="0.25">
      <c r="A27" s="34" t="s">
        <v>149</v>
      </c>
      <c r="B27" s="56" t="s">
        <v>147</v>
      </c>
      <c r="C27" s="55">
        <v>0</v>
      </c>
    </row>
    <row r="28" spans="1:3" ht="25" customHeight="1" x14ac:dyDescent="0.25">
      <c r="A28" s="39" t="s">
        <v>15</v>
      </c>
      <c r="B28" s="40" t="s">
        <v>110</v>
      </c>
      <c r="C28" s="55">
        <v>719370</v>
      </c>
    </row>
    <row r="29" spans="1:3" ht="25" customHeight="1" x14ac:dyDescent="0.25">
      <c r="A29" s="39" t="s">
        <v>107</v>
      </c>
      <c r="B29" s="42" t="s">
        <v>150</v>
      </c>
      <c r="C29" s="55"/>
    </row>
    <row r="30" spans="1:3" ht="25" customHeight="1" x14ac:dyDescent="0.25">
      <c r="A30" s="34" t="s">
        <v>151</v>
      </c>
      <c r="B30" s="56" t="s">
        <v>161</v>
      </c>
      <c r="C30" s="55">
        <v>0</v>
      </c>
    </row>
    <row r="31" spans="1:3" ht="25" customHeight="1" x14ac:dyDescent="0.25">
      <c r="A31" s="39" t="s">
        <v>108</v>
      </c>
      <c r="B31" s="42" t="s">
        <v>111</v>
      </c>
      <c r="C31" s="55">
        <v>0</v>
      </c>
    </row>
    <row r="32" spans="1:3" ht="25" customHeight="1" x14ac:dyDescent="0.25">
      <c r="A32" s="39" t="s">
        <v>109</v>
      </c>
      <c r="B32" s="42" t="s">
        <v>160</v>
      </c>
      <c r="C32" s="55">
        <v>0</v>
      </c>
    </row>
    <row r="33" spans="1:3" ht="25" customHeight="1" x14ac:dyDescent="0.25">
      <c r="A33" s="39" t="s">
        <v>162</v>
      </c>
      <c r="B33" s="42" t="s">
        <v>163</v>
      </c>
      <c r="C33" s="55">
        <f>424672-374672</f>
        <v>50000</v>
      </c>
    </row>
    <row r="34" spans="1:3" ht="25" customHeight="1" x14ac:dyDescent="0.25">
      <c r="A34" s="39" t="s">
        <v>175</v>
      </c>
      <c r="B34" s="42" t="s">
        <v>177</v>
      </c>
      <c r="C34" s="55">
        <v>0</v>
      </c>
    </row>
    <row r="35" spans="1:3" ht="25" customHeight="1" x14ac:dyDescent="0.25">
      <c r="A35" s="39" t="s">
        <v>182</v>
      </c>
      <c r="B35" s="41" t="s">
        <v>183</v>
      </c>
      <c r="C35" s="55">
        <v>0</v>
      </c>
    </row>
    <row r="36" spans="1:3" s="45" customFormat="1" ht="25" customHeight="1" x14ac:dyDescent="0.25">
      <c r="A36" s="21" t="s">
        <v>56</v>
      </c>
      <c r="B36" s="43" t="s">
        <v>57</v>
      </c>
      <c r="C36" s="57"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57">
        <v>0</v>
      </c>
    </row>
    <row r="38" spans="1:3" s="45" customFormat="1" ht="43.5" customHeight="1" x14ac:dyDescent="0.25">
      <c r="A38" s="21" t="s">
        <v>176</v>
      </c>
      <c r="B38" s="43" t="s">
        <v>178</v>
      </c>
      <c r="C38" s="57">
        <v>0</v>
      </c>
    </row>
    <row r="39" spans="1:3" s="45" customFormat="1" ht="25" customHeight="1" x14ac:dyDescent="0.25">
      <c r="A39" s="21" t="s">
        <v>190</v>
      </c>
      <c r="B39" s="43" t="s">
        <v>191</v>
      </c>
      <c r="C39" s="57">
        <v>100000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v>0</v>
      </c>
    </row>
    <row r="41" spans="1:3" ht="25" customHeight="1" x14ac:dyDescent="0.25">
      <c r="A41" s="68" t="s">
        <v>130</v>
      </c>
      <c r="B41" s="15" t="s">
        <v>173</v>
      </c>
      <c r="C41" s="16">
        <f>C42+C43+C44+C52+C54+C60+C61+C59</f>
        <v>369103</v>
      </c>
    </row>
    <row r="42" spans="1:3" ht="25" customHeight="1" x14ac:dyDescent="0.25">
      <c r="A42" s="39" t="s">
        <v>16</v>
      </c>
      <c r="B42" s="41" t="s">
        <v>17</v>
      </c>
      <c r="C42" s="49">
        <v>3688</v>
      </c>
    </row>
    <row r="43" spans="1:3" ht="25" customHeight="1" x14ac:dyDescent="0.25">
      <c r="A43" s="39" t="s">
        <v>18</v>
      </c>
      <c r="B43" s="41" t="s">
        <v>19</v>
      </c>
      <c r="C43" s="49">
        <f>158973+8167+122+720</f>
        <v>167982</v>
      </c>
    </row>
    <row r="44" spans="1:3" ht="25" customHeight="1" x14ac:dyDescent="0.25">
      <c r="A44" s="39" t="s">
        <v>20</v>
      </c>
      <c r="B44" s="46" t="s">
        <v>174</v>
      </c>
      <c r="C44" s="49">
        <v>638</v>
      </c>
    </row>
    <row r="45" spans="1:3" ht="25" customHeight="1" x14ac:dyDescent="0.25">
      <c r="A45" s="39" t="s">
        <v>37</v>
      </c>
      <c r="B45" s="47" t="s">
        <v>30</v>
      </c>
      <c r="C45" s="49">
        <v>100</v>
      </c>
    </row>
    <row r="46" spans="1:3" ht="25" customHeight="1" x14ac:dyDescent="0.25">
      <c r="A46" s="39" t="s">
        <v>38</v>
      </c>
      <c r="B46" s="48" t="s">
        <v>31</v>
      </c>
      <c r="C46" s="49">
        <v>100</v>
      </c>
    </row>
    <row r="47" spans="1:3" ht="25" customHeight="1" x14ac:dyDescent="0.25">
      <c r="A47" s="39" t="s">
        <v>39</v>
      </c>
      <c r="B47" s="47" t="s">
        <v>32</v>
      </c>
      <c r="C47" s="49">
        <v>94</v>
      </c>
    </row>
    <row r="48" spans="1:3" ht="25" customHeight="1" x14ac:dyDescent="0.25">
      <c r="A48" s="39" t="s">
        <v>40</v>
      </c>
      <c r="B48" s="47" t="s">
        <v>33</v>
      </c>
      <c r="C48" s="49">
        <v>15</v>
      </c>
    </row>
    <row r="49" spans="1:3" ht="25" customHeight="1" x14ac:dyDescent="0.25">
      <c r="A49" s="39" t="s">
        <v>41</v>
      </c>
      <c r="B49" s="47" t="s">
        <v>34</v>
      </c>
      <c r="C49" s="49">
        <v>0</v>
      </c>
    </row>
    <row r="50" spans="1:3" ht="25" customHeight="1" x14ac:dyDescent="0.25">
      <c r="A50" s="39" t="s">
        <v>42</v>
      </c>
      <c r="B50" s="47" t="s">
        <v>35</v>
      </c>
      <c r="C50" s="49">
        <v>234</v>
      </c>
    </row>
    <row r="51" spans="1:3" ht="25" customHeight="1" x14ac:dyDescent="0.25">
      <c r="A51" s="39" t="s">
        <v>43</v>
      </c>
      <c r="B51" s="47" t="s">
        <v>36</v>
      </c>
      <c r="C51" s="49">
        <v>195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'[7]F_wynagr-2020'!$V$22</f>
        <v>112379</v>
      </c>
    </row>
    <row r="53" spans="1:3" ht="25" customHeight="1" x14ac:dyDescent="0.25">
      <c r="A53" s="39" t="s">
        <v>154</v>
      </c>
      <c r="B53" s="47" t="s">
        <v>155</v>
      </c>
      <c r="C53" s="36">
        <v>628</v>
      </c>
    </row>
    <row r="54" spans="1:3" ht="25" customHeight="1" x14ac:dyDescent="0.25">
      <c r="A54" s="39" t="s">
        <v>22</v>
      </c>
      <c r="B54" s="46" t="s">
        <v>170</v>
      </c>
      <c r="C54" s="49">
        <f>SUM(C55:C58)</f>
        <v>26980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2020'!$I$22</f>
        <v>19304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2020'!$L$22</f>
        <v>2755</v>
      </c>
    </row>
    <row r="57" spans="1:3" ht="25" customHeight="1" x14ac:dyDescent="0.25">
      <c r="A57" s="39" t="s">
        <v>50</v>
      </c>
      <c r="B57" s="47" t="s">
        <v>46</v>
      </c>
      <c r="C57" s="36"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2020'!$P$22</f>
        <v>4921</v>
      </c>
    </row>
    <row r="59" spans="1:3" ht="25" customHeight="1" x14ac:dyDescent="0.25">
      <c r="A59" s="39" t="s">
        <v>23</v>
      </c>
      <c r="B59" s="41" t="s">
        <v>24</v>
      </c>
      <c r="C59" s="49">
        <v>50</v>
      </c>
    </row>
    <row r="60" spans="1:3" ht="25" customHeight="1" x14ac:dyDescent="0.25">
      <c r="A60" s="39" t="s">
        <v>25</v>
      </c>
      <c r="B60" s="41" t="s">
        <v>156</v>
      </c>
      <c r="C60" s="36">
        <v>54368</v>
      </c>
    </row>
    <row r="61" spans="1:3" ht="25" customHeight="1" x14ac:dyDescent="0.25">
      <c r="A61" s="39" t="s">
        <v>26</v>
      </c>
      <c r="B61" s="41" t="s">
        <v>27</v>
      </c>
      <c r="C61" s="49">
        <v>3018</v>
      </c>
    </row>
    <row r="62" spans="1:3" ht="25" customHeight="1" x14ac:dyDescent="0.25">
      <c r="A62" s="14" t="s">
        <v>132</v>
      </c>
      <c r="B62" s="43" t="s">
        <v>157</v>
      </c>
      <c r="C62" s="67">
        <f>SUM(C63:C66)</f>
        <v>286425</v>
      </c>
    </row>
    <row r="63" spans="1:3" ht="25" customHeight="1" x14ac:dyDescent="0.25">
      <c r="A63" s="39" t="s">
        <v>99</v>
      </c>
      <c r="B63" s="41" t="s">
        <v>112</v>
      </c>
      <c r="C63" s="36">
        <v>800</v>
      </c>
    </row>
    <row r="64" spans="1:3" ht="25" customHeight="1" x14ac:dyDescent="0.25">
      <c r="A64" s="39" t="s">
        <v>28</v>
      </c>
      <c r="B64" s="41" t="s">
        <v>53</v>
      </c>
      <c r="C64" s="36">
        <v>0</v>
      </c>
    </row>
    <row r="65" spans="1:3" ht="25" customHeight="1" x14ac:dyDescent="0.25">
      <c r="A65" s="39" t="s">
        <v>29</v>
      </c>
      <c r="B65" s="41" t="s">
        <v>101</v>
      </c>
      <c r="C65" s="36">
        <v>0</v>
      </c>
    </row>
    <row r="66" spans="1:3" ht="25" customHeight="1" x14ac:dyDescent="0.25">
      <c r="A66" s="39" t="s">
        <v>100</v>
      </c>
      <c r="B66" s="41" t="s">
        <v>102</v>
      </c>
      <c r="C66" s="36">
        <f>284870+755</f>
        <v>285625</v>
      </c>
    </row>
    <row r="67" spans="1:3" ht="25" customHeight="1" x14ac:dyDescent="0.25">
      <c r="A67" s="14" t="s">
        <v>134</v>
      </c>
      <c r="B67" s="43" t="s">
        <v>113</v>
      </c>
      <c r="C67" s="67">
        <v>10182</v>
      </c>
    </row>
    <row r="70" spans="1:3" x14ac:dyDescent="0.25">
      <c r="C70" s="58"/>
    </row>
  </sheetData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92D050"/>
  </sheetPr>
  <dimension ref="A1:C72"/>
  <sheetViews>
    <sheetView showGridLines="0" view="pageBreakPreview" zoomScale="80" zoomScaleNormal="60" zoomScaleSheetLayoutView="80" workbookViewId="0">
      <pane xSplit="2" ySplit="6" topLeftCell="C58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205</v>
      </c>
      <c r="B2" s="59"/>
      <c r="C2" s="72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201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90725827</v>
      </c>
    </row>
    <row r="7" spans="1:3" ht="25" customHeight="1" x14ac:dyDescent="0.25">
      <c r="A7" s="34" t="s">
        <v>1</v>
      </c>
      <c r="B7" s="35" t="s">
        <v>116</v>
      </c>
      <c r="C7" s="36">
        <f>SUM(Dolnośląski:Zachodniopomorski!C7)</f>
        <v>12473553</v>
      </c>
    </row>
    <row r="8" spans="1:3" ht="25" customHeight="1" x14ac:dyDescent="0.25">
      <c r="A8" s="34" t="s">
        <v>2</v>
      </c>
      <c r="B8" s="35" t="s">
        <v>117</v>
      </c>
      <c r="C8" s="36">
        <f>SUM(Dolnośląski:Zachodniopomorski!C8)</f>
        <v>5030894</v>
      </c>
    </row>
    <row r="9" spans="1:3" ht="25" customHeight="1" x14ac:dyDescent="0.25">
      <c r="A9" s="34" t="s">
        <v>3</v>
      </c>
      <c r="B9" s="35" t="s">
        <v>114</v>
      </c>
      <c r="C9" s="36">
        <f>SUM(Dolnośląski:Zachodniopomorski!C9)</f>
        <v>42971268</v>
      </c>
    </row>
    <row r="10" spans="1:3" ht="25" customHeight="1" x14ac:dyDescent="0.25">
      <c r="A10" s="37" t="s">
        <v>54</v>
      </c>
      <c r="B10" s="38" t="s">
        <v>187</v>
      </c>
      <c r="C10" s="36">
        <f>SUM(Dolnośląski:Zachodniopomorski!C10)</f>
        <v>4034435</v>
      </c>
    </row>
    <row r="11" spans="1:3" ht="25" customHeight="1" x14ac:dyDescent="0.25">
      <c r="A11" s="37" t="s">
        <v>138</v>
      </c>
      <c r="B11" s="38" t="s">
        <v>141</v>
      </c>
      <c r="C11" s="36">
        <f>SUM(Dolnośląski:Zachodniopomorski!C11)</f>
        <v>3622670</v>
      </c>
    </row>
    <row r="12" spans="1:3" ht="25" customHeight="1" x14ac:dyDescent="0.25">
      <c r="A12" s="37" t="s">
        <v>139</v>
      </c>
      <c r="B12" s="38" t="s">
        <v>142</v>
      </c>
      <c r="C12" s="36">
        <f>SUM(Dolnośląski:Zachodniopomorski!C12)</f>
        <v>1456310</v>
      </c>
    </row>
    <row r="13" spans="1:3" ht="25" customHeight="1" x14ac:dyDescent="0.25">
      <c r="A13" s="37" t="s">
        <v>140</v>
      </c>
      <c r="B13" s="38" t="s">
        <v>143</v>
      </c>
      <c r="C13" s="36">
        <f>SUM(Dolnośląski:Zachodniopomorski!C13)</f>
        <v>683935</v>
      </c>
    </row>
    <row r="14" spans="1:3" ht="25" customHeight="1" x14ac:dyDescent="0.25">
      <c r="A14" s="34" t="s">
        <v>4</v>
      </c>
      <c r="B14" s="35" t="s">
        <v>122</v>
      </c>
      <c r="C14" s="36">
        <f>SUM(Dolnośląski:Zachodniopomorski!C14)</f>
        <v>2756778</v>
      </c>
    </row>
    <row r="15" spans="1:3" ht="25" customHeight="1" x14ac:dyDescent="0.25">
      <c r="A15" s="34" t="s">
        <v>5</v>
      </c>
      <c r="B15" s="35" t="s">
        <v>118</v>
      </c>
      <c r="C15" s="36">
        <f>SUM(Dolnośląski:Zachodniopomorski!C15)</f>
        <v>2876228</v>
      </c>
    </row>
    <row r="16" spans="1:3" ht="25" customHeight="1" x14ac:dyDescent="0.25">
      <c r="A16" s="34" t="s">
        <v>6</v>
      </c>
      <c r="B16" s="35" t="s">
        <v>124</v>
      </c>
      <c r="C16" s="36">
        <f>SUM(Dolnośląski:Zachodniopomorski!C16)</f>
        <v>1868050</v>
      </c>
    </row>
    <row r="17" spans="1:3" ht="25" customHeight="1" x14ac:dyDescent="0.25">
      <c r="A17" s="34" t="s">
        <v>7</v>
      </c>
      <c r="B17" s="35" t="s">
        <v>123</v>
      </c>
      <c r="C17" s="36">
        <f>SUM(Dolnośląski:Zachodniopomorski!C17)</f>
        <v>794146</v>
      </c>
    </row>
    <row r="18" spans="1:3" ht="25" customHeight="1" x14ac:dyDescent="0.25">
      <c r="A18" s="34" t="s">
        <v>8</v>
      </c>
      <c r="B18" s="35" t="s">
        <v>119</v>
      </c>
      <c r="C18" s="36">
        <f>SUM(Dolnośląski:Zachodniopomorski!C18)</f>
        <v>1893992</v>
      </c>
    </row>
    <row r="19" spans="1:3" ht="25" customHeight="1" x14ac:dyDescent="0.25">
      <c r="A19" s="34" t="s">
        <v>9</v>
      </c>
      <c r="B19" s="35" t="s">
        <v>120</v>
      </c>
      <c r="C19" s="36">
        <f>SUM(Dolnośląski:Zachodniopomorski!C19)</f>
        <v>800448</v>
      </c>
    </row>
    <row r="20" spans="1:3" ht="25" customHeight="1" x14ac:dyDescent="0.25">
      <c r="A20" s="34" t="s">
        <v>10</v>
      </c>
      <c r="B20" s="35" t="s">
        <v>125</v>
      </c>
      <c r="C20" s="36">
        <f>SUM(Dolnośląski:Zachodniopomorski!C20)</f>
        <v>245488</v>
      </c>
    </row>
    <row r="21" spans="1:3" ht="25" customHeight="1" x14ac:dyDescent="0.25">
      <c r="A21" s="34" t="s">
        <v>11</v>
      </c>
      <c r="B21" s="35" t="s">
        <v>121</v>
      </c>
      <c r="C21" s="36">
        <f>SUM(Dolnośląski:Zachodniopomorski!C21)</f>
        <v>264193</v>
      </c>
    </row>
    <row r="22" spans="1:3" ht="25" customHeight="1" x14ac:dyDescent="0.25">
      <c r="A22" s="34" t="s">
        <v>12</v>
      </c>
      <c r="B22" s="35" t="s">
        <v>159</v>
      </c>
      <c r="C22" s="36">
        <f>SUM(Dolnośląski:Zachodniopomorski!C22)</f>
        <v>2216498</v>
      </c>
    </row>
    <row r="23" spans="1:3" ht="25" customHeight="1" x14ac:dyDescent="0.25">
      <c r="A23" s="34" t="s">
        <v>13</v>
      </c>
      <c r="B23" s="35" t="s">
        <v>144</v>
      </c>
      <c r="C23" s="36">
        <f>SUM(Dolnośląski:Zachodniopomorski!C23)</f>
        <v>1265800</v>
      </c>
    </row>
    <row r="24" spans="1:3" ht="25" customHeight="1" x14ac:dyDescent="0.25">
      <c r="A24" s="37" t="s">
        <v>14</v>
      </c>
      <c r="B24" s="35" t="s">
        <v>167</v>
      </c>
      <c r="C24" s="36">
        <f>SUM(Dolnośląski:Zachodniopomorski!C24)</f>
        <v>8464235</v>
      </c>
    </row>
    <row r="25" spans="1:3" ht="36" x14ac:dyDescent="0.25">
      <c r="A25" s="34" t="s">
        <v>126</v>
      </c>
      <c r="B25" s="38" t="s">
        <v>146</v>
      </c>
      <c r="C25" s="36">
        <f>SUM(Dolnośląski:Zachodniopomorski!C25)</f>
        <v>8422946</v>
      </c>
    </row>
    <row r="26" spans="1:3" ht="25" customHeight="1" x14ac:dyDescent="0.25">
      <c r="A26" s="37" t="s">
        <v>145</v>
      </c>
      <c r="B26" s="38" t="s">
        <v>148</v>
      </c>
      <c r="C26" s="36">
        <f>SUM(Dolnośląski:Zachodniopomorski!C26)</f>
        <v>25746</v>
      </c>
    </row>
    <row r="27" spans="1:3" ht="31.5" customHeight="1" x14ac:dyDescent="0.25">
      <c r="A27" s="37" t="s">
        <v>149</v>
      </c>
      <c r="B27" s="38" t="s">
        <v>147</v>
      </c>
      <c r="C27" s="36">
        <f>SUM(Dolnośląski:Zachodniopomorski!C27)</f>
        <v>15543</v>
      </c>
    </row>
    <row r="28" spans="1:3" ht="25" customHeight="1" x14ac:dyDescent="0.25">
      <c r="A28" s="39" t="s">
        <v>15</v>
      </c>
      <c r="B28" s="40" t="s">
        <v>110</v>
      </c>
      <c r="C28" s="36">
        <f>SUM(Dolnośląski:Zachodniopomorski!C28)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SUM(Dolnośląski:Zachodniopomorski!C29)</f>
        <v>714748</v>
      </c>
    </row>
    <row r="30" spans="1:3" ht="25" customHeight="1" x14ac:dyDescent="0.25">
      <c r="A30" s="37" t="s">
        <v>151</v>
      </c>
      <c r="B30" s="38" t="s">
        <v>161</v>
      </c>
      <c r="C30" s="36">
        <f>SUM(Dolnośląski:Zachodniopomorski!C30)</f>
        <v>170650</v>
      </c>
    </row>
    <row r="31" spans="1:3" ht="25" customHeight="1" x14ac:dyDescent="0.25">
      <c r="A31" s="39" t="s">
        <v>108</v>
      </c>
      <c r="B31" s="42" t="s">
        <v>111</v>
      </c>
      <c r="C31" s="36">
        <f>SUM(Dolnośląski:Zachodniopomorski!C31)</f>
        <v>5429389</v>
      </c>
    </row>
    <row r="32" spans="1:3" ht="25" customHeight="1" x14ac:dyDescent="0.25">
      <c r="A32" s="39" t="s">
        <v>109</v>
      </c>
      <c r="B32" s="41" t="s">
        <v>160</v>
      </c>
      <c r="C32" s="36">
        <f>SUM(Dolnośląski:Zachodniopomorski!C32)</f>
        <v>112734</v>
      </c>
    </row>
    <row r="33" spans="1:3" ht="25" customHeight="1" x14ac:dyDescent="0.25">
      <c r="A33" s="39" t="s">
        <v>162</v>
      </c>
      <c r="B33" s="41" t="s">
        <v>163</v>
      </c>
      <c r="C33" s="36">
        <f>SUM(Dolnośląski:Zachodniopomorski!C33)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SUM(Dolnośląski:Zachodniopomorski!C34)</f>
        <v>21388</v>
      </c>
    </row>
    <row r="35" spans="1:3" ht="25" customHeight="1" x14ac:dyDescent="0.25">
      <c r="A35" s="39" t="s">
        <v>182</v>
      </c>
      <c r="B35" s="41" t="s">
        <v>183</v>
      </c>
      <c r="C35" s="36">
        <f>SUM(Dolnośląski:Zachodniopomorski!C35)</f>
        <v>525997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SUM(Dolnośląski:Zachodniopomorski!C36)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SUM(Dolnośląski:Zachodniopomorski!C37)</f>
        <v>2166421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SUM(Dolnośląski:Zachodniopomorski!C38)</f>
        <v>836000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f>SUM(Dolnośląski:Zachodniopomorski!C39)</f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SUM(Dolnośląski:Zachodniopomorski!C40)</f>
        <v>12941490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587049</v>
      </c>
    </row>
    <row r="42" spans="1:3" ht="25" customHeight="1" x14ac:dyDescent="0.25">
      <c r="A42" s="39" t="s">
        <v>16</v>
      </c>
      <c r="B42" s="41" t="s">
        <v>17</v>
      </c>
      <c r="C42" s="36">
        <f>SUM(Dolnośląski:Zachodniopomorski!C42)</f>
        <v>23667</v>
      </c>
    </row>
    <row r="43" spans="1:3" ht="25" customHeight="1" x14ac:dyDescent="0.25">
      <c r="A43" s="39" t="s">
        <v>18</v>
      </c>
      <c r="B43" s="41" t="s">
        <v>19</v>
      </c>
      <c r="C43" s="36">
        <f>SUM(Dolnośląski:Zachodniopomorski!C43)</f>
        <v>90164</v>
      </c>
    </row>
    <row r="44" spans="1:3" ht="25" customHeight="1" x14ac:dyDescent="0.25">
      <c r="A44" s="39" t="s">
        <v>20</v>
      </c>
      <c r="B44" s="46" t="s">
        <v>174</v>
      </c>
      <c r="C44" s="49">
        <f>C45+C47+C48+C49+C50+C51</f>
        <v>4318</v>
      </c>
    </row>
    <row r="45" spans="1:3" ht="25" customHeight="1" x14ac:dyDescent="0.25">
      <c r="A45" s="39" t="s">
        <v>37</v>
      </c>
      <c r="B45" s="47" t="s">
        <v>30</v>
      </c>
      <c r="C45" s="36">
        <f>SUM(Dolnośląski:Zachodniopomorski!C45)</f>
        <v>571</v>
      </c>
    </row>
    <row r="46" spans="1:3" ht="25" customHeight="1" x14ac:dyDescent="0.25">
      <c r="A46" s="39" t="s">
        <v>38</v>
      </c>
      <c r="B46" s="48" t="s">
        <v>31</v>
      </c>
      <c r="C46" s="36">
        <f>SUM(Dolnośląski:Zachodniopomorski!C46)</f>
        <v>568</v>
      </c>
    </row>
    <row r="47" spans="1:3" ht="25" customHeight="1" x14ac:dyDescent="0.25">
      <c r="A47" s="39" t="s">
        <v>39</v>
      </c>
      <c r="B47" s="47" t="s">
        <v>32</v>
      </c>
      <c r="C47" s="36">
        <f>SUM(Dolnośląski:Zachodniopomorski!C47)</f>
        <v>673</v>
      </c>
    </row>
    <row r="48" spans="1:3" ht="25" customHeight="1" x14ac:dyDescent="0.25">
      <c r="A48" s="39" t="s">
        <v>40</v>
      </c>
      <c r="B48" s="47" t="s">
        <v>33</v>
      </c>
      <c r="C48" s="36">
        <f>SUM(Dolnośląski:Zachodniopomorski!C48)</f>
        <v>8</v>
      </c>
    </row>
    <row r="49" spans="1:3" ht="25" customHeight="1" x14ac:dyDescent="0.25">
      <c r="A49" s="39" t="s">
        <v>41</v>
      </c>
      <c r="B49" s="47" t="s">
        <v>34</v>
      </c>
      <c r="C49" s="36">
        <f>SUM(Dolnośląski:Zachodniopomorski!C49)</f>
        <v>0</v>
      </c>
    </row>
    <row r="50" spans="1:3" ht="25" customHeight="1" x14ac:dyDescent="0.25">
      <c r="A50" s="39" t="s">
        <v>42</v>
      </c>
      <c r="B50" s="47" t="s">
        <v>35</v>
      </c>
      <c r="C50" s="36">
        <f>SUM(Dolnośląski:Zachodniopomorski!C50)</f>
        <v>2759</v>
      </c>
    </row>
    <row r="51" spans="1:3" ht="25" customHeight="1" x14ac:dyDescent="0.25">
      <c r="A51" s="39" t="s">
        <v>43</v>
      </c>
      <c r="B51" s="47" t="s">
        <v>36</v>
      </c>
      <c r="C51" s="36">
        <f>SUM(Dolnośląski:Zachodniopomorski!C51)</f>
        <v>307</v>
      </c>
    </row>
    <row r="52" spans="1:3" ht="25" customHeight="1" x14ac:dyDescent="0.25">
      <c r="A52" s="39" t="s">
        <v>21</v>
      </c>
      <c r="B52" s="41" t="s">
        <v>153</v>
      </c>
      <c r="C52" s="36">
        <f>SUM(Dolnośląski:Zachodniopomorski!C52)</f>
        <v>340846</v>
      </c>
    </row>
    <row r="53" spans="1:3" ht="25" customHeight="1" x14ac:dyDescent="0.25">
      <c r="A53" s="39" t="s">
        <v>154</v>
      </c>
      <c r="B53" s="47" t="s">
        <v>155</v>
      </c>
      <c r="C53" s="36">
        <f>SUM(Dolnośląski:Zachodniopomorski!C53)</f>
        <v>1033</v>
      </c>
    </row>
    <row r="54" spans="1:3" ht="25" customHeight="1" x14ac:dyDescent="0.25">
      <c r="A54" s="39" t="s">
        <v>22</v>
      </c>
      <c r="B54" s="46" t="s">
        <v>170</v>
      </c>
      <c r="C54" s="50">
        <f>C55+C56+C57+C58</f>
        <v>76228</v>
      </c>
    </row>
    <row r="55" spans="1:3" ht="25" customHeight="1" x14ac:dyDescent="0.25">
      <c r="A55" s="39" t="s">
        <v>48</v>
      </c>
      <c r="B55" s="47" t="s">
        <v>44</v>
      </c>
      <c r="C55" s="36">
        <f>SUM(Dolnośląski:Zachodniopomorski!C55)</f>
        <v>58532</v>
      </c>
    </row>
    <row r="56" spans="1:3" ht="25" customHeight="1" x14ac:dyDescent="0.25">
      <c r="A56" s="39" t="s">
        <v>49</v>
      </c>
      <c r="B56" s="47" t="s">
        <v>45</v>
      </c>
      <c r="C56" s="36">
        <f>SUM(Dolnośląski:Zachodniopomorski!C56)</f>
        <v>8360</v>
      </c>
    </row>
    <row r="57" spans="1:3" ht="25" customHeight="1" x14ac:dyDescent="0.25">
      <c r="A57" s="39" t="s">
        <v>50</v>
      </c>
      <c r="B57" s="47" t="s">
        <v>46</v>
      </c>
      <c r="C57" s="36">
        <f>SUM(Dolnośląski:Zachodniopomorski!C57)</f>
        <v>0</v>
      </c>
    </row>
    <row r="58" spans="1:3" ht="25" customHeight="1" x14ac:dyDescent="0.25">
      <c r="A58" s="39" t="s">
        <v>51</v>
      </c>
      <c r="B58" s="47" t="s">
        <v>47</v>
      </c>
      <c r="C58" s="36">
        <f>SUM(Dolnośląski:Zachodniopomorski!C58)</f>
        <v>9336</v>
      </c>
    </row>
    <row r="59" spans="1:3" ht="25" customHeight="1" x14ac:dyDescent="0.25">
      <c r="A59" s="39" t="s">
        <v>23</v>
      </c>
      <c r="B59" s="41" t="s">
        <v>24</v>
      </c>
      <c r="C59" s="36">
        <f>SUM(Dolnośląski:Zachodniopomorski!C59)</f>
        <v>0</v>
      </c>
    </row>
    <row r="60" spans="1:3" ht="25" customHeight="1" x14ac:dyDescent="0.25">
      <c r="A60" s="39" t="s">
        <v>25</v>
      </c>
      <c r="B60" s="41" t="s">
        <v>156</v>
      </c>
      <c r="C60" s="36">
        <f>SUM(Dolnośląski:Zachodniopomorski!C60)</f>
        <v>47377</v>
      </c>
    </row>
    <row r="61" spans="1:3" ht="25" customHeight="1" x14ac:dyDescent="0.25">
      <c r="A61" s="39" t="s">
        <v>26</v>
      </c>
      <c r="B61" s="41" t="s">
        <v>27</v>
      </c>
      <c r="C61" s="36">
        <f>SUM(Dolnośląski:Zachodniopomorski!C61)</f>
        <v>4449</v>
      </c>
    </row>
    <row r="62" spans="1:3" ht="25" customHeight="1" x14ac:dyDescent="0.25">
      <c r="A62" s="14" t="s">
        <v>132</v>
      </c>
      <c r="B62" s="43" t="s">
        <v>157</v>
      </c>
      <c r="C62" s="16">
        <f>C63+C64+C65+C66</f>
        <v>163589</v>
      </c>
    </row>
    <row r="63" spans="1:3" ht="25" customHeight="1" x14ac:dyDescent="0.25">
      <c r="A63" s="39" t="s">
        <v>99</v>
      </c>
      <c r="B63" s="41" t="s">
        <v>112</v>
      </c>
      <c r="C63" s="36">
        <f>SUM(Dolnośląski:Zachodniopomorski!C63)</f>
        <v>250</v>
      </c>
    </row>
    <row r="64" spans="1:3" ht="25" customHeight="1" x14ac:dyDescent="0.25">
      <c r="A64" s="39" t="s">
        <v>28</v>
      </c>
      <c r="B64" s="41" t="s">
        <v>53</v>
      </c>
      <c r="C64" s="36">
        <f>SUM(Dolnośląski:Zachodniopomorski!C64)</f>
        <v>132565</v>
      </c>
    </row>
    <row r="65" spans="1:3" ht="25" customHeight="1" x14ac:dyDescent="0.25">
      <c r="A65" s="39" t="s">
        <v>29</v>
      </c>
      <c r="B65" s="41" t="s">
        <v>101</v>
      </c>
      <c r="C65" s="36">
        <f>SUM(Dolnośląski:Zachodniopomorski!C65)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SUM(Dolnośląski:Zachodniopomorski!C66)</f>
        <v>30774</v>
      </c>
    </row>
    <row r="67" spans="1:3" ht="25" customHeight="1" x14ac:dyDescent="0.25">
      <c r="A67" s="14" t="s">
        <v>134</v>
      </c>
      <c r="B67" s="43" t="s">
        <v>113</v>
      </c>
      <c r="C67" s="16">
        <f>SUM(Dolnośląski:Zachodniopomorski!C67)</f>
        <v>24386</v>
      </c>
    </row>
    <row r="71" spans="1:3" x14ac:dyDescent="0.25">
      <c r="C71" s="51"/>
    </row>
    <row r="72" spans="1:3" x14ac:dyDescent="0.25">
      <c r="C72" s="51"/>
    </row>
  </sheetData>
  <sheetProtection formatCells="0" formatColumns="0" formatRows="0" insertColumns="0" insertRows="0" insertHyperlinks="0" deleteColumns="0" deleteRows="0"/>
  <mergeCells count="1">
    <mergeCell ref="A1:C1"/>
  </mergeCells>
  <phoneticPr fontId="0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92D050"/>
  </sheetPr>
  <dimension ref="A1:C69"/>
  <sheetViews>
    <sheetView showGridLines="0" view="pageBreakPreview" zoomScale="80" zoomScaleNormal="70" zoomScaleSheetLayoutView="80" workbookViewId="0">
      <pane ySplit="6" topLeftCell="A49" activePane="bottomLeft" state="frozen"/>
      <selection activeCell="I11" sqref="I11"/>
      <selection pane="bottomLef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59</v>
      </c>
      <c r="B2" s="59"/>
      <c r="C2" s="71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6842628</v>
      </c>
    </row>
    <row r="7" spans="1:3" ht="25" customHeight="1" x14ac:dyDescent="0.25">
      <c r="A7" s="34" t="s">
        <v>1</v>
      </c>
      <c r="B7" s="35" t="s">
        <v>116</v>
      </c>
      <c r="C7" s="36">
        <f>VLOOKUP(A7,[8]Dolnośląski!$A$8:$C$68,3,FALSE)-3146</f>
        <v>962908</v>
      </c>
    </row>
    <row r="8" spans="1:3" ht="25" customHeight="1" x14ac:dyDescent="0.25">
      <c r="A8" s="34" t="s">
        <v>2</v>
      </c>
      <c r="B8" s="35" t="s">
        <v>117</v>
      </c>
      <c r="C8" s="36">
        <f>VLOOKUP(A8,[8]Dolnośląski!$A$8:$C$68,3,FALSE)</f>
        <v>396274</v>
      </c>
    </row>
    <row r="9" spans="1:3" ht="25" customHeight="1" x14ac:dyDescent="0.25">
      <c r="A9" s="34" t="s">
        <v>3</v>
      </c>
      <c r="B9" s="35" t="s">
        <v>114</v>
      </c>
      <c r="C9" s="36">
        <f>VLOOKUP(A9,[8]Dolnośląski!$A$8:$C$68,3,FALSE)+[9]Św!$I$5</f>
        <v>3248673</v>
      </c>
    </row>
    <row r="10" spans="1:3" ht="25" customHeight="1" x14ac:dyDescent="0.25">
      <c r="A10" s="37" t="s">
        <v>54</v>
      </c>
      <c r="B10" s="38" t="s">
        <v>187</v>
      </c>
      <c r="C10" s="36">
        <f>VLOOKUP(A10,[8]Dolnośląski!$A$8:$C$68,3,FALSE)</f>
        <v>337653</v>
      </c>
    </row>
    <row r="11" spans="1:3" ht="25" customHeight="1" x14ac:dyDescent="0.25">
      <c r="A11" s="37" t="s">
        <v>138</v>
      </c>
      <c r="B11" s="38" t="s">
        <v>141</v>
      </c>
      <c r="C11" s="36">
        <f>VLOOKUP(A11,[8]Dolnośląski!$A$8:$C$68,3,FALSE)</f>
        <v>303862</v>
      </c>
    </row>
    <row r="12" spans="1:3" ht="25" customHeight="1" x14ac:dyDescent="0.25">
      <c r="A12" s="37" t="s">
        <v>139</v>
      </c>
      <c r="B12" s="38" t="s">
        <v>142</v>
      </c>
      <c r="C12" s="36">
        <f>VLOOKUP(A12,[8]Dolnośląski!$A$8:$C$68,3,FALSE)</f>
        <v>114471</v>
      </c>
    </row>
    <row r="13" spans="1:3" ht="25" customHeight="1" x14ac:dyDescent="0.25">
      <c r="A13" s="37" t="s">
        <v>140</v>
      </c>
      <c r="B13" s="38" t="s">
        <v>143</v>
      </c>
      <c r="C13" s="36">
        <f>VLOOKUP(A13,[8]Dolnośląski!$A$8:$C$68,3,FALSE)</f>
        <v>54367</v>
      </c>
    </row>
    <row r="14" spans="1:3" ht="25" customHeight="1" x14ac:dyDescent="0.25">
      <c r="A14" s="34" t="s">
        <v>4</v>
      </c>
      <c r="B14" s="35" t="s">
        <v>122</v>
      </c>
      <c r="C14" s="36">
        <f>VLOOKUP(A14,[8]Dolnośląski!$A$8:$C$68,3,FALSE)</f>
        <v>232274</v>
      </c>
    </row>
    <row r="15" spans="1:3" ht="25" customHeight="1" x14ac:dyDescent="0.25">
      <c r="A15" s="34" t="s">
        <v>5</v>
      </c>
      <c r="B15" s="35" t="s">
        <v>118</v>
      </c>
      <c r="C15" s="36">
        <f>VLOOKUP(A15,[8]Dolnośląski!$A$8:$C$68,3,FALSE)</f>
        <v>223081</v>
      </c>
    </row>
    <row r="16" spans="1:3" ht="25" customHeight="1" x14ac:dyDescent="0.25">
      <c r="A16" s="34" t="s">
        <v>6</v>
      </c>
      <c r="B16" s="35" t="s">
        <v>124</v>
      </c>
      <c r="C16" s="36">
        <f>VLOOKUP(A16,[8]Dolnośląski!$A$8:$C$68,3,FALSE)</f>
        <v>151688</v>
      </c>
    </row>
    <row r="17" spans="1:3" ht="25" customHeight="1" x14ac:dyDescent="0.25">
      <c r="A17" s="34" t="s">
        <v>7</v>
      </c>
      <c r="B17" s="35" t="s">
        <v>123</v>
      </c>
      <c r="C17" s="36">
        <f>VLOOKUP(A17,[8]Dolnośląski!$A$8:$C$68,3,FALSE)</f>
        <v>76617</v>
      </c>
    </row>
    <row r="18" spans="1:3" ht="25" customHeight="1" x14ac:dyDescent="0.25">
      <c r="A18" s="34" t="s">
        <v>8</v>
      </c>
      <c r="B18" s="35" t="s">
        <v>119</v>
      </c>
      <c r="C18" s="36">
        <f>VLOOKUP(A18,[8]Dolnośląski!$A$8:$C$68,3,FALSE)</f>
        <v>130371</v>
      </c>
    </row>
    <row r="19" spans="1:3" ht="25" customHeight="1" x14ac:dyDescent="0.25">
      <c r="A19" s="34" t="s">
        <v>9</v>
      </c>
      <c r="B19" s="35" t="s">
        <v>120</v>
      </c>
      <c r="C19" s="36">
        <f>VLOOKUP(A19,[8]Dolnośląski!$A$8:$C$68,3,FALSE)+3146</f>
        <v>77522</v>
      </c>
    </row>
    <row r="20" spans="1:3" ht="25" customHeight="1" x14ac:dyDescent="0.25">
      <c r="A20" s="34" t="s">
        <v>10</v>
      </c>
      <c r="B20" s="35" t="s">
        <v>125</v>
      </c>
      <c r="C20" s="36">
        <f>VLOOKUP(A20,[8]Dolnośląski!$A$8:$C$68,3,FALSE)</f>
        <v>19662</v>
      </c>
    </row>
    <row r="21" spans="1:3" ht="25" customHeight="1" x14ac:dyDescent="0.25">
      <c r="A21" s="34" t="s">
        <v>11</v>
      </c>
      <c r="B21" s="35" t="s">
        <v>121</v>
      </c>
      <c r="C21" s="36">
        <f>VLOOKUP(A21,[8]Dolnośląski!$A$8:$C$68,3,FALSE)+[9]Św!$H$5</f>
        <v>19449</v>
      </c>
    </row>
    <row r="22" spans="1:3" ht="25" customHeight="1" x14ac:dyDescent="0.25">
      <c r="A22" s="34" t="s">
        <v>12</v>
      </c>
      <c r="B22" s="35" t="s">
        <v>159</v>
      </c>
      <c r="C22" s="36">
        <f>VLOOKUP(A22,[8]Dolnośląski!$A$8:$C$68,3,FALSE)</f>
        <v>152733</v>
      </c>
    </row>
    <row r="23" spans="1:3" ht="25" customHeight="1" x14ac:dyDescent="0.25">
      <c r="A23" s="34" t="s">
        <v>13</v>
      </c>
      <c r="B23" s="35" t="s">
        <v>144</v>
      </c>
      <c r="C23" s="36">
        <f>VLOOKUP(A23,[8]Dolnośląski!$A$8:$C$68,3,FALSE)</f>
        <v>97000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638333</v>
      </c>
    </row>
    <row r="25" spans="1:3" ht="36" x14ac:dyDescent="0.25">
      <c r="A25" s="34" t="s">
        <v>126</v>
      </c>
      <c r="B25" s="38" t="s">
        <v>146</v>
      </c>
      <c r="C25" s="36">
        <f>VLOOKUP(A25,[8]Dolnośląski!$A$8:$C$68,3,FALSE)</f>
        <v>636333</v>
      </c>
    </row>
    <row r="26" spans="1:3" ht="25" customHeight="1" x14ac:dyDescent="0.25">
      <c r="A26" s="37" t="s">
        <v>145</v>
      </c>
      <c r="B26" s="38" t="s">
        <v>148</v>
      </c>
      <c r="C26" s="36">
        <f>VLOOKUP(A26,[8]Dolnośląski!$A$8:$C$68,3,FALSE)</f>
        <v>1000</v>
      </c>
    </row>
    <row r="27" spans="1:3" ht="31.5" customHeight="1" x14ac:dyDescent="0.25">
      <c r="A27" s="37" t="s">
        <v>149</v>
      </c>
      <c r="B27" s="38" t="s">
        <v>147</v>
      </c>
      <c r="C27" s="36">
        <f>VLOOKUP(A27,[8]Dolnośląski!$A$8:$C$68,3,FALSE)</f>
        <v>1000</v>
      </c>
    </row>
    <row r="28" spans="1:3" ht="25" customHeight="1" x14ac:dyDescent="0.25">
      <c r="A28" s="39" t="s">
        <v>15</v>
      </c>
      <c r="B28" s="40" t="s">
        <v>110</v>
      </c>
      <c r="C28" s="36">
        <f>VLOOKUP(A28,[8]Dolnośląski!$A$8:$C$68,3,FALSE)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VLOOKUP(A29,[8]Dolnośląski!$A$8:$C$68,3,FALSE)</f>
        <v>36522</v>
      </c>
    </row>
    <row r="30" spans="1:3" ht="25" customHeight="1" x14ac:dyDescent="0.25">
      <c r="A30" s="37" t="s">
        <v>151</v>
      </c>
      <c r="B30" s="38" t="s">
        <v>161</v>
      </c>
      <c r="C30" s="36">
        <f>VLOOKUP(A30,[8]Dolnośląski!$A$8:$C$68,3,FALSE)</f>
        <v>17827</v>
      </c>
    </row>
    <row r="31" spans="1:3" ht="25" customHeight="1" x14ac:dyDescent="0.25">
      <c r="A31" s="39" t="s">
        <v>108</v>
      </c>
      <c r="B31" s="42" t="s">
        <v>111</v>
      </c>
      <c r="C31" s="36">
        <f>VLOOKUP(A31,[8]Dolnośląski!$A$8:$C$68,3,FALSE)</f>
        <v>356685</v>
      </c>
    </row>
    <row r="32" spans="1:3" ht="25" customHeight="1" x14ac:dyDescent="0.25">
      <c r="A32" s="39" t="s">
        <v>109</v>
      </c>
      <c r="B32" s="41" t="s">
        <v>160</v>
      </c>
      <c r="C32" s="36">
        <f>VLOOKUP(A32,[8]Dolnośląski!$A$8:$C$68,3,FALSE)</f>
        <v>0</v>
      </c>
    </row>
    <row r="33" spans="1:3" ht="25" customHeight="1" x14ac:dyDescent="0.25">
      <c r="A33" s="39" t="s">
        <v>162</v>
      </c>
      <c r="B33" s="41" t="s">
        <v>163</v>
      </c>
      <c r="C33" s="36">
        <f>VLOOKUP(A33,[8]Dolnośląski!$A$8:$C$68,3,FALSE)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VLOOKUP(A34,[8]Dolnośląski!$A$8:$C$68,3,FALSE)</f>
        <v>100</v>
      </c>
    </row>
    <row r="35" spans="1:3" ht="25" customHeight="1" x14ac:dyDescent="0.25">
      <c r="A35" s="39" t="s">
        <v>182</v>
      </c>
      <c r="B35" s="41" t="s">
        <v>183</v>
      </c>
      <c r="C35" s="36">
        <f>VLOOKUP(A35,[8]Dolnośląski!$A$8:$C$68,3,FALSE)</f>
        <v>22736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VLOOKUP(A36,[8]Dolnośląski!$A$8:$C$68,3,FALSE)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VLOOKUP(A37,[8]Dolnośląski!$A$8:$C$68,3,FALSE)</f>
        <v>160015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VLOOKUP(A38,[8]Dolnośląski!$A$8:$C$68,3,FALSE)</f>
        <v>63374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1014389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41489</v>
      </c>
    </row>
    <row r="42" spans="1:3" ht="25" customHeight="1" x14ac:dyDescent="0.25">
      <c r="A42" s="39" t="s">
        <v>16</v>
      </c>
      <c r="B42" s="41" t="s">
        <v>17</v>
      </c>
      <c r="C42" s="36">
        <f>VLOOKUP(A42,[8]Dolnośląski!$A$8:$C$68,3,FALSE)</f>
        <v>1627</v>
      </c>
    </row>
    <row r="43" spans="1:3" ht="25" customHeight="1" x14ac:dyDescent="0.25">
      <c r="A43" s="39" t="s">
        <v>18</v>
      </c>
      <c r="B43" s="41" t="s">
        <v>19</v>
      </c>
      <c r="C43" s="36">
        <f>VLOOKUP(A43,[8]Dolnośląski!$A$8:$C$68,3,FALSE)</f>
        <v>5383</v>
      </c>
    </row>
    <row r="44" spans="1:3" ht="25" customHeight="1" x14ac:dyDescent="0.25">
      <c r="A44" s="39" t="s">
        <v>20</v>
      </c>
      <c r="B44" s="46" t="s">
        <v>174</v>
      </c>
      <c r="C44" s="36">
        <f>VLOOKUP(A44,[8]Dolnośląski!$A$8:$C$68,3,FALSE)</f>
        <v>376</v>
      </c>
    </row>
    <row r="45" spans="1:3" ht="25" customHeight="1" x14ac:dyDescent="0.25">
      <c r="A45" s="39" t="s">
        <v>37</v>
      </c>
      <c r="B45" s="47" t="s">
        <v>30</v>
      </c>
      <c r="C45" s="36">
        <f>VLOOKUP(A45,[8]Dolnośląski!$A$8:$C$68,3,FALSE)</f>
        <v>57</v>
      </c>
    </row>
    <row r="46" spans="1:3" ht="25" customHeight="1" x14ac:dyDescent="0.25">
      <c r="A46" s="39" t="s">
        <v>38</v>
      </c>
      <c r="B46" s="48" t="s">
        <v>31</v>
      </c>
      <c r="C46" s="36">
        <f>VLOOKUP(A46,[8]Dolnośląski!$A$8:$C$68,3,FALSE)</f>
        <v>57</v>
      </c>
    </row>
    <row r="47" spans="1:3" ht="25" customHeight="1" x14ac:dyDescent="0.25">
      <c r="A47" s="39" t="s">
        <v>39</v>
      </c>
      <c r="B47" s="47" t="s">
        <v>32</v>
      </c>
      <c r="C47" s="36">
        <f>VLOOKUP(A47,[8]Dolnośląski!$A$8:$C$68,3,FALSE)</f>
        <v>72</v>
      </c>
    </row>
    <row r="48" spans="1:3" ht="25" customHeight="1" x14ac:dyDescent="0.25">
      <c r="A48" s="39" t="s">
        <v>40</v>
      </c>
      <c r="B48" s="47" t="s">
        <v>33</v>
      </c>
      <c r="C48" s="36">
        <f>VLOOKUP(A48,[8]Dolnośląski!$A$8:$C$68,3,FALSE)</f>
        <v>1</v>
      </c>
    </row>
    <row r="49" spans="1:3" ht="25" customHeight="1" x14ac:dyDescent="0.25">
      <c r="A49" s="39" t="s">
        <v>41</v>
      </c>
      <c r="B49" s="47" t="s">
        <v>34</v>
      </c>
      <c r="C49" s="36">
        <f>VLOOKUP(A49,[8]Dolnośląski!$A$8:$C$68,3,FALSE)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VLOOKUP(A50,[8]Dolnośląski!$A$8:$C$68,3,FALSE)</f>
        <v>244</v>
      </c>
    </row>
    <row r="51" spans="1:3" ht="25" customHeight="1" x14ac:dyDescent="0.25">
      <c r="A51" s="39" t="s">
        <v>43</v>
      </c>
      <c r="B51" s="47" t="s">
        <v>36</v>
      </c>
      <c r="C51" s="36">
        <f>VLOOKUP(A51,[8]Dolnośląski!$A$8:$C$68,3,FALSE)</f>
        <v>2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'[7]F_wynagr-2020'!$V$6</f>
        <v>25215</v>
      </c>
    </row>
    <row r="53" spans="1:3" ht="25" customHeight="1" x14ac:dyDescent="0.25">
      <c r="A53" s="39" t="s">
        <v>154</v>
      </c>
      <c r="B53" s="47" t="s">
        <v>155</v>
      </c>
      <c r="C53" s="36">
        <f>VLOOKUP(A53,[8]Dolnośląski!$A$8:$C$68,3,FALSE)</f>
        <v>100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5636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2020'!$I$6</f>
        <v>4327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2020'!$L$6</f>
        <v>618</v>
      </c>
    </row>
    <row r="57" spans="1:3" ht="25" customHeight="1" x14ac:dyDescent="0.25">
      <c r="A57" s="39" t="s">
        <v>50</v>
      </c>
      <c r="B57" s="47" t="s">
        <v>46</v>
      </c>
      <c r="C57" s="36">
        <f>VLOOKUP(A57,[8]Dolnośląski!$A$8:$C$68,3,FALSE)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2020'!$P$6</f>
        <v>691</v>
      </c>
    </row>
    <row r="59" spans="1:3" ht="25" customHeight="1" x14ac:dyDescent="0.25">
      <c r="A59" s="39" t="s">
        <v>23</v>
      </c>
      <c r="B59" s="41" t="s">
        <v>24</v>
      </c>
      <c r="C59" s="36">
        <f>VLOOKUP(A59,[8]Dolnośląski!$A$8:$C$68,3,FALSE)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VLOOKUP(A60,[8]Dolnośląski!$A$8:$C$68,3,FALSE)</f>
        <v>3041</v>
      </c>
    </row>
    <row r="61" spans="1:3" ht="25" customHeight="1" x14ac:dyDescent="0.25">
      <c r="A61" s="39" t="s">
        <v>26</v>
      </c>
      <c r="B61" s="41" t="s">
        <v>27</v>
      </c>
      <c r="C61" s="36">
        <f>VLOOKUP(A61,[8]Dolnośląski!$A$8:$C$68,3,FALSE)</f>
        <v>211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8155</v>
      </c>
    </row>
    <row r="63" spans="1:3" ht="25" customHeight="1" x14ac:dyDescent="0.25">
      <c r="A63" s="39" t="s">
        <v>99</v>
      </c>
      <c r="B63" s="41" t="s">
        <v>112</v>
      </c>
      <c r="C63" s="36">
        <f>VLOOKUP(A63,[8]Dolnośląski!$A$8:$C$68,3,FALSE)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VLOOKUP(A64,[8]Dolnośląski!$A$8:$C$68,3,FALSE)</f>
        <v>6495</v>
      </c>
    </row>
    <row r="65" spans="1:3" ht="25" customHeight="1" x14ac:dyDescent="0.25">
      <c r="A65" s="39" t="s">
        <v>29</v>
      </c>
      <c r="B65" s="41" t="s">
        <v>101</v>
      </c>
      <c r="C65" s="36">
        <f>VLOOKUP(A65,[8]Dolnośląski!$A$8:$C$68,3,FALSE)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VLOOKUP(A66,[8]Dolnośląski!$A$8:$C$68,3,FALSE)</f>
        <v>1660</v>
      </c>
    </row>
    <row r="67" spans="1:3" ht="25" customHeight="1" x14ac:dyDescent="0.25">
      <c r="A67" s="14" t="s">
        <v>134</v>
      </c>
      <c r="B67" s="43" t="s">
        <v>113</v>
      </c>
      <c r="C67" s="44">
        <f>VLOOKUP(A67,[8]Dolnośląski!$A$8:$C$68,3,FALSE)</f>
        <v>1117</v>
      </c>
    </row>
    <row r="69" spans="1:3" x14ac:dyDescent="0.25">
      <c r="B69" s="78" t="s">
        <v>206</v>
      </c>
      <c r="C69" s="33">
        <f>ROUND(3.5*12*1.23,0)</f>
        <v>52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92D050"/>
  </sheetPr>
  <dimension ref="A1:C67"/>
  <sheetViews>
    <sheetView showGridLines="0" view="pageBreakPreview" zoomScale="80" zoomScaleNormal="70" zoomScaleSheetLayoutView="80" workbookViewId="0">
      <pane xSplit="2" ySplit="6" topLeftCell="C55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60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4812041</v>
      </c>
    </row>
    <row r="7" spans="1:3" ht="25" customHeight="1" x14ac:dyDescent="0.25">
      <c r="A7" s="34" t="s">
        <v>1</v>
      </c>
      <c r="B7" s="35" t="s">
        <v>116</v>
      </c>
      <c r="C7" s="36">
        <f>VLOOKUP(A7,'[10]Kujawsko-Pomorski'!$A$8:$C$68,3,FALSE)</f>
        <v>626058</v>
      </c>
    </row>
    <row r="8" spans="1:3" ht="25" customHeight="1" x14ac:dyDescent="0.25">
      <c r="A8" s="34" t="s">
        <v>2</v>
      </c>
      <c r="B8" s="35" t="s">
        <v>117</v>
      </c>
      <c r="C8" s="36">
        <f>VLOOKUP(A8,'[10]Kujawsko-Pomorski'!$A$8:$C$68,3,FALSE)</f>
        <v>232073</v>
      </c>
    </row>
    <row r="9" spans="1:3" ht="25" customHeight="1" x14ac:dyDescent="0.25">
      <c r="A9" s="34" t="s">
        <v>3</v>
      </c>
      <c r="B9" s="35" t="s">
        <v>114</v>
      </c>
      <c r="C9" s="36">
        <f>VLOOKUP(A9,'[10]Kujawsko-Pomorski'!$A$8:$C$68,3,FALSE)+[9]Św!$I$6</f>
        <v>2383129</v>
      </c>
    </row>
    <row r="10" spans="1:3" ht="25" customHeight="1" x14ac:dyDescent="0.25">
      <c r="A10" s="37" t="s">
        <v>54</v>
      </c>
      <c r="B10" s="38" t="s">
        <v>187</v>
      </c>
      <c r="C10" s="36">
        <f>VLOOKUP(A10,'[10]Kujawsko-Pomorski'!$A$8:$C$68,3,FALSE)</f>
        <v>210655</v>
      </c>
    </row>
    <row r="11" spans="1:3" ht="25" customHeight="1" x14ac:dyDescent="0.25">
      <c r="A11" s="37" t="s">
        <v>138</v>
      </c>
      <c r="B11" s="38" t="s">
        <v>141</v>
      </c>
      <c r="C11" s="36">
        <f>VLOOKUP(A11,'[10]Kujawsko-Pomorski'!$A$8:$C$68,3,FALSE)</f>
        <v>187901</v>
      </c>
    </row>
    <row r="12" spans="1:3" ht="25" customHeight="1" x14ac:dyDescent="0.25">
      <c r="A12" s="37" t="s">
        <v>139</v>
      </c>
      <c r="B12" s="38" t="s">
        <v>142</v>
      </c>
      <c r="C12" s="36">
        <f>VLOOKUP(A12,'[10]Kujawsko-Pomorski'!$A$8:$C$68,3,FALSE)</f>
        <v>82136</v>
      </c>
    </row>
    <row r="13" spans="1:3" ht="25" customHeight="1" x14ac:dyDescent="0.25">
      <c r="A13" s="37" t="s">
        <v>140</v>
      </c>
      <c r="B13" s="38" t="s">
        <v>143</v>
      </c>
      <c r="C13" s="36">
        <f>VLOOKUP(A13,'[10]Kujawsko-Pomorski'!$A$8:$C$68,3,FALSE)</f>
        <v>37355</v>
      </c>
    </row>
    <row r="14" spans="1:3" ht="25" customHeight="1" x14ac:dyDescent="0.25">
      <c r="A14" s="34" t="s">
        <v>4</v>
      </c>
      <c r="B14" s="35" t="s">
        <v>122</v>
      </c>
      <c r="C14" s="36">
        <f>VLOOKUP(A14,'[10]Kujawsko-Pomorski'!$A$8:$C$68,3,FALSE)</f>
        <v>146258</v>
      </c>
    </row>
    <row r="15" spans="1:3" ht="25" customHeight="1" x14ac:dyDescent="0.25">
      <c r="A15" s="34" t="s">
        <v>5</v>
      </c>
      <c r="B15" s="35" t="s">
        <v>118</v>
      </c>
      <c r="C15" s="36">
        <f>VLOOKUP(A15,'[10]Kujawsko-Pomorski'!$A$8:$C$68,3,FALSE)</f>
        <v>138023</v>
      </c>
    </row>
    <row r="16" spans="1:3" ht="25" customHeight="1" x14ac:dyDescent="0.25">
      <c r="A16" s="34" t="s">
        <v>6</v>
      </c>
      <c r="B16" s="35" t="s">
        <v>124</v>
      </c>
      <c r="C16" s="36">
        <f>VLOOKUP(A16,'[10]Kujawsko-Pomorski'!$A$8:$C$68,3,FALSE)</f>
        <v>83582</v>
      </c>
    </row>
    <row r="17" spans="1:3" ht="25" customHeight="1" x14ac:dyDescent="0.25">
      <c r="A17" s="34" t="s">
        <v>7</v>
      </c>
      <c r="B17" s="35" t="s">
        <v>123</v>
      </c>
      <c r="C17" s="36">
        <f>VLOOKUP(A17,'[10]Kujawsko-Pomorski'!$A$8:$C$68,3,FALSE)</f>
        <v>51167</v>
      </c>
    </row>
    <row r="18" spans="1:3" ht="25" customHeight="1" x14ac:dyDescent="0.25">
      <c r="A18" s="34" t="s">
        <v>8</v>
      </c>
      <c r="B18" s="35" t="s">
        <v>119</v>
      </c>
      <c r="C18" s="36">
        <f>VLOOKUP(A18,'[10]Kujawsko-Pomorski'!$A$8:$C$68,3,FALSE)</f>
        <v>100850</v>
      </c>
    </row>
    <row r="19" spans="1:3" ht="25" customHeight="1" x14ac:dyDescent="0.25">
      <c r="A19" s="34" t="s">
        <v>9</v>
      </c>
      <c r="B19" s="35" t="s">
        <v>120</v>
      </c>
      <c r="C19" s="36">
        <f>VLOOKUP(A19,'[10]Kujawsko-Pomorski'!$A$8:$C$68,3,FALSE)</f>
        <v>43732</v>
      </c>
    </row>
    <row r="20" spans="1:3" ht="25" customHeight="1" x14ac:dyDescent="0.25">
      <c r="A20" s="34" t="s">
        <v>10</v>
      </c>
      <c r="B20" s="35" t="s">
        <v>125</v>
      </c>
      <c r="C20" s="36">
        <f>VLOOKUP(A20,'[10]Kujawsko-Pomorski'!$A$8:$C$68,3,FALSE)</f>
        <v>16550</v>
      </c>
    </row>
    <row r="21" spans="1:3" ht="25" customHeight="1" x14ac:dyDescent="0.25">
      <c r="A21" s="34" t="s">
        <v>11</v>
      </c>
      <c r="B21" s="35" t="s">
        <v>121</v>
      </c>
      <c r="C21" s="36">
        <f>VLOOKUP(A21,'[10]Kujawsko-Pomorski'!$A$8:$C$68,3,FALSE)+[9]Św!$H$6</f>
        <v>16744</v>
      </c>
    </row>
    <row r="22" spans="1:3" ht="25" customHeight="1" x14ac:dyDescent="0.25">
      <c r="A22" s="34" t="s">
        <v>12</v>
      </c>
      <c r="B22" s="35" t="s">
        <v>159</v>
      </c>
      <c r="C22" s="36">
        <f>VLOOKUP(A22,'[10]Kujawsko-Pomorski'!$A$8:$C$68,3,FALSE)</f>
        <v>113711</v>
      </c>
    </row>
    <row r="23" spans="1:3" ht="25" customHeight="1" x14ac:dyDescent="0.25">
      <c r="A23" s="34" t="s">
        <v>13</v>
      </c>
      <c r="B23" s="35" t="s">
        <v>144</v>
      </c>
      <c r="C23" s="36">
        <f>VLOOKUP(A23,'[10]Kujawsko-Pomorski'!$A$8:$C$68,3,FALSE)</f>
        <v>60500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490515</v>
      </c>
    </row>
    <row r="25" spans="1:3" ht="36" x14ac:dyDescent="0.25">
      <c r="A25" s="34" t="s">
        <v>126</v>
      </c>
      <c r="B25" s="38" t="s">
        <v>146</v>
      </c>
      <c r="C25" s="36">
        <f>VLOOKUP(A25,'[10]Kujawsko-Pomorski'!$A$8:$C$68,3,FALSE)</f>
        <v>489453</v>
      </c>
    </row>
    <row r="26" spans="1:3" ht="25" customHeight="1" x14ac:dyDescent="0.25">
      <c r="A26" s="37" t="s">
        <v>145</v>
      </c>
      <c r="B26" s="38" t="s">
        <v>148</v>
      </c>
      <c r="C26" s="36">
        <f>VLOOKUP(A26,'[10]Kujawsko-Pomorski'!$A$8:$C$68,3,FALSE)</f>
        <v>555</v>
      </c>
    </row>
    <row r="27" spans="1:3" ht="31.5" customHeight="1" x14ac:dyDescent="0.25">
      <c r="A27" s="37" t="s">
        <v>149</v>
      </c>
      <c r="B27" s="38" t="s">
        <v>147</v>
      </c>
      <c r="C27" s="36">
        <f>VLOOKUP(A27,'[10]Kujawsko-Pomorski'!$A$8:$C$68,3,FALSE)</f>
        <v>507</v>
      </c>
    </row>
    <row r="28" spans="1:3" ht="25" customHeight="1" x14ac:dyDescent="0.25">
      <c r="A28" s="39" t="s">
        <v>15</v>
      </c>
      <c r="B28" s="40" t="s">
        <v>110</v>
      </c>
      <c r="C28" s="36">
        <f>VLOOKUP(A28,'[10]Kujawsko-Pomorski'!$A$8:$C$68,3,FALSE)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VLOOKUP(A29,'[10]Kujawsko-Pomorski'!$A$8:$C$68,3,FALSE)</f>
        <v>33483</v>
      </c>
    </row>
    <row r="30" spans="1:3" ht="25" customHeight="1" x14ac:dyDescent="0.25">
      <c r="A30" s="37" t="s">
        <v>151</v>
      </c>
      <c r="B30" s="38" t="s">
        <v>161</v>
      </c>
      <c r="C30" s="36">
        <f>VLOOKUP(A30,'[10]Kujawsko-Pomorski'!$A$8:$C$68,3,FALSE)</f>
        <v>0</v>
      </c>
    </row>
    <row r="31" spans="1:3" ht="25" customHeight="1" x14ac:dyDescent="0.25">
      <c r="A31" s="39" t="s">
        <v>108</v>
      </c>
      <c r="B31" s="42" t="s">
        <v>111</v>
      </c>
      <c r="C31" s="36">
        <f>VLOOKUP(A31,'[10]Kujawsko-Pomorski'!$A$8:$C$68,3,FALSE)</f>
        <v>256023</v>
      </c>
    </row>
    <row r="32" spans="1:3" ht="25" customHeight="1" x14ac:dyDescent="0.25">
      <c r="A32" s="39" t="s">
        <v>109</v>
      </c>
      <c r="B32" s="41" t="s">
        <v>160</v>
      </c>
      <c r="C32" s="36">
        <f>VLOOKUP(A32,'[10]Kujawsko-Pomorski'!$A$8:$C$68,3,FALSE)</f>
        <v>446</v>
      </c>
    </row>
    <row r="33" spans="1:3" ht="25" customHeight="1" x14ac:dyDescent="0.25">
      <c r="A33" s="39" t="s">
        <v>162</v>
      </c>
      <c r="B33" s="41" t="s">
        <v>163</v>
      </c>
      <c r="C33" s="36">
        <f>VLOOKUP(A33,'[10]Kujawsko-Pomorski'!$A$8:$C$68,3,FALSE)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VLOOKUP(A34,'[10]Kujawsko-Pomorski'!$A$8:$C$68,3,FALSE)</f>
        <v>600</v>
      </c>
    </row>
    <row r="35" spans="1:3" ht="25" customHeight="1" x14ac:dyDescent="0.25">
      <c r="A35" s="39" t="s">
        <v>182</v>
      </c>
      <c r="B35" s="41" t="s">
        <v>183</v>
      </c>
      <c r="C35" s="36">
        <f>VLOOKUP(A35,'[10]Kujawsko-Pomorski'!$A$8:$C$68,3,FALSE)</f>
        <v>18597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VLOOKUP(A36,'[10]Kujawsko-Pomorski'!$A$8:$C$68,3,FALSE)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VLOOKUP(A37,'[10]Kujawsko-Pomorski'!$A$8:$C$68,3,FALSE)</f>
        <v>127584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VLOOKUP(A38,'[10]Kujawsko-Pomorski'!$A$8:$C$68,3,FALSE)</f>
        <v>47010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715771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39811</v>
      </c>
    </row>
    <row r="42" spans="1:3" ht="25" customHeight="1" x14ac:dyDescent="0.25">
      <c r="A42" s="39" t="s">
        <v>16</v>
      </c>
      <c r="B42" s="41" t="s">
        <v>17</v>
      </c>
      <c r="C42" s="36">
        <f>VLOOKUP(A42,'[10]Kujawsko-Pomorski'!$A$8:$C$68,3,FALSE)</f>
        <v>1578</v>
      </c>
    </row>
    <row r="43" spans="1:3" ht="25" customHeight="1" x14ac:dyDescent="0.25">
      <c r="A43" s="39" t="s">
        <v>18</v>
      </c>
      <c r="B43" s="41" t="s">
        <v>19</v>
      </c>
      <c r="C43" s="36">
        <f>VLOOKUP(A43,'[10]Kujawsko-Pomorski'!$A$8:$C$68,3,FALSE)</f>
        <v>8243</v>
      </c>
    </row>
    <row r="44" spans="1:3" ht="25" customHeight="1" x14ac:dyDescent="0.25">
      <c r="A44" s="39" t="s">
        <v>20</v>
      </c>
      <c r="B44" s="46" t="s">
        <v>174</v>
      </c>
      <c r="C44" s="36">
        <f>VLOOKUP(A44,'[10]Kujawsko-Pomorski'!$A$8:$C$68,3,FALSE)</f>
        <v>287</v>
      </c>
    </row>
    <row r="45" spans="1:3" ht="25" customHeight="1" x14ac:dyDescent="0.25">
      <c r="A45" s="39" t="s">
        <v>37</v>
      </c>
      <c r="B45" s="47" t="s">
        <v>30</v>
      </c>
      <c r="C45" s="36">
        <f>VLOOKUP(A45,'[10]Kujawsko-Pomorski'!$A$8:$C$68,3,FALSE)</f>
        <v>51</v>
      </c>
    </row>
    <row r="46" spans="1:3" ht="25" customHeight="1" x14ac:dyDescent="0.25">
      <c r="A46" s="39" t="s">
        <v>38</v>
      </c>
      <c r="B46" s="48" t="s">
        <v>31</v>
      </c>
      <c r="C46" s="36">
        <f>VLOOKUP(A46,'[10]Kujawsko-Pomorski'!$A$8:$C$68,3,FALSE)</f>
        <v>51</v>
      </c>
    </row>
    <row r="47" spans="1:3" ht="25" customHeight="1" x14ac:dyDescent="0.25">
      <c r="A47" s="39" t="s">
        <v>39</v>
      </c>
      <c r="B47" s="47" t="s">
        <v>32</v>
      </c>
      <c r="C47" s="36">
        <f>VLOOKUP(A47,'[10]Kujawsko-Pomorski'!$A$8:$C$68,3,FALSE)</f>
        <v>41</v>
      </c>
    </row>
    <row r="48" spans="1:3" ht="25" customHeight="1" x14ac:dyDescent="0.25">
      <c r="A48" s="39" t="s">
        <v>40</v>
      </c>
      <c r="B48" s="47" t="s">
        <v>33</v>
      </c>
      <c r="C48" s="36">
        <f>VLOOKUP(A48,'[10]Kujawsko-Pomorski'!$A$8:$C$68,3,FALSE)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VLOOKUP(A49,'[10]Kujawsko-Pomorski'!$A$8:$C$68,3,FALSE)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VLOOKUP(A50,'[10]Kujawsko-Pomorski'!$A$8:$C$68,3,FALSE)</f>
        <v>180</v>
      </c>
    </row>
    <row r="51" spans="1:3" ht="25" customHeight="1" x14ac:dyDescent="0.25">
      <c r="A51" s="39" t="s">
        <v>43</v>
      </c>
      <c r="B51" s="47" t="s">
        <v>36</v>
      </c>
      <c r="C51" s="36">
        <f>VLOOKUP(A51,'[10]Kujawsko-Pomorski'!$A$8:$C$68,3,FALSE)</f>
        <v>15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'[7]F_wynagr-2020'!$V$7</f>
        <v>17468</v>
      </c>
    </row>
    <row r="53" spans="1:3" ht="25" customHeight="1" x14ac:dyDescent="0.25">
      <c r="A53" s="39" t="s">
        <v>154</v>
      </c>
      <c r="B53" s="47" t="s">
        <v>155</v>
      </c>
      <c r="C53" s="36">
        <f>VLOOKUP(A53,'[10]Kujawsko-Pomorski'!$A$8:$C$68,3,FALSE)</f>
        <v>0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3907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2020'!$I$7</f>
        <v>3000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2020'!$L$7</f>
        <v>428</v>
      </c>
    </row>
    <row r="57" spans="1:3" ht="25" customHeight="1" x14ac:dyDescent="0.25">
      <c r="A57" s="39" t="s">
        <v>50</v>
      </c>
      <c r="B57" s="47" t="s">
        <v>46</v>
      </c>
      <c r="C57" s="36">
        <f>VLOOKUP(A57,'[10]Kujawsko-Pomorski'!$A$8:$C$68,3,FALSE)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2020'!$P$7</f>
        <v>479</v>
      </c>
    </row>
    <row r="59" spans="1:3" ht="25" customHeight="1" x14ac:dyDescent="0.25">
      <c r="A59" s="39" t="s">
        <v>23</v>
      </c>
      <c r="B59" s="41" t="s">
        <v>24</v>
      </c>
      <c r="C59" s="36">
        <f>VLOOKUP(A59,'[10]Kujawsko-Pomorski'!$A$8:$C$68,3,FALSE)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VLOOKUP(A60,'[10]Kujawsko-Pomorski'!$A$8:$C$68,3,FALSE)</f>
        <v>8000</v>
      </c>
    </row>
    <row r="61" spans="1:3" ht="25" customHeight="1" x14ac:dyDescent="0.25">
      <c r="A61" s="39" t="s">
        <v>26</v>
      </c>
      <c r="B61" s="41" t="s">
        <v>27</v>
      </c>
      <c r="C61" s="36">
        <f>VLOOKUP(A61,'[10]Kujawsko-Pomorski'!$A$8:$C$68,3,FALSE)</f>
        <v>328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22905</v>
      </c>
    </row>
    <row r="63" spans="1:3" ht="25" customHeight="1" x14ac:dyDescent="0.25">
      <c r="A63" s="39" t="s">
        <v>99</v>
      </c>
      <c r="B63" s="41" t="s">
        <v>112</v>
      </c>
      <c r="C63" s="36">
        <f>VLOOKUP(A63,'[10]Kujawsko-Pomorski'!$A$8:$C$68,3,FALSE)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VLOOKUP(A64,'[10]Kujawsko-Pomorski'!$A$8:$C$68,3,FALSE)</f>
        <v>18305</v>
      </c>
    </row>
    <row r="65" spans="1:3" ht="25" customHeight="1" x14ac:dyDescent="0.25">
      <c r="A65" s="39" t="s">
        <v>29</v>
      </c>
      <c r="B65" s="41" t="s">
        <v>101</v>
      </c>
      <c r="C65" s="36">
        <f>VLOOKUP(A65,'[10]Kujawsko-Pomorski'!$A$8:$C$68,3,FALSE)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VLOOKUP(A66,'[10]Kujawsko-Pomorski'!$A$8:$C$68,3,FALSE)</f>
        <v>4600</v>
      </c>
    </row>
    <row r="67" spans="1:3" ht="25" customHeight="1" x14ac:dyDescent="0.25">
      <c r="A67" s="14" t="s">
        <v>134</v>
      </c>
      <c r="B67" s="43" t="s">
        <v>113</v>
      </c>
      <c r="C67" s="44">
        <f>VLOOKUP(A67,'[10]Kujawsko-Pomorski'!$A$8:$C$68,3,FALSE)</f>
        <v>5000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C67"/>
  <sheetViews>
    <sheetView showGridLines="0" view="pageBreakPreview" zoomScale="80" zoomScaleNormal="70" zoomScaleSheetLayoutView="80" workbookViewId="0">
      <pane xSplit="2" ySplit="6" topLeftCell="C61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61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5049536</v>
      </c>
    </row>
    <row r="7" spans="1:3" ht="25" customHeight="1" x14ac:dyDescent="0.25">
      <c r="A7" s="34" t="s">
        <v>1</v>
      </c>
      <c r="B7" s="35" t="s">
        <v>116</v>
      </c>
      <c r="C7" s="36">
        <f>VLOOKUP(A7,[11]Lubelski!$A$8:$C$68,3,FALSE)</f>
        <v>672716</v>
      </c>
    </row>
    <row r="8" spans="1:3" ht="25" customHeight="1" x14ac:dyDescent="0.25">
      <c r="A8" s="34" t="s">
        <v>2</v>
      </c>
      <c r="B8" s="35" t="s">
        <v>117</v>
      </c>
      <c r="C8" s="36">
        <f>VLOOKUP(A8,[11]Lubelski!$A$8:$C$68,3,FALSE)</f>
        <v>231405</v>
      </c>
    </row>
    <row r="9" spans="1:3" ht="25" customHeight="1" x14ac:dyDescent="0.25">
      <c r="A9" s="34" t="s">
        <v>3</v>
      </c>
      <c r="B9" s="35" t="s">
        <v>114</v>
      </c>
      <c r="C9" s="36">
        <f>VLOOKUP(A9,[11]Lubelski!$A$8:$C$68,3,FALSE)+[9]Św!$I$7</f>
        <v>2448082</v>
      </c>
    </row>
    <row r="10" spans="1:3" ht="25" customHeight="1" x14ac:dyDescent="0.25">
      <c r="A10" s="37" t="s">
        <v>54</v>
      </c>
      <c r="B10" s="38" t="s">
        <v>187</v>
      </c>
      <c r="C10" s="36">
        <f>VLOOKUP(A10,[11]Lubelski!$A$8:$C$68,3,FALSE)</f>
        <v>229105</v>
      </c>
    </row>
    <row r="11" spans="1:3" ht="25" customHeight="1" x14ac:dyDescent="0.25">
      <c r="A11" s="37" t="s">
        <v>138</v>
      </c>
      <c r="B11" s="38" t="s">
        <v>141</v>
      </c>
      <c r="C11" s="36">
        <f>VLOOKUP(A11,[11]Lubelski!$A$8:$C$68,3,FALSE)</f>
        <v>208570</v>
      </c>
    </row>
    <row r="12" spans="1:3" ht="25" customHeight="1" x14ac:dyDescent="0.25">
      <c r="A12" s="37" t="s">
        <v>139</v>
      </c>
      <c r="B12" s="38" t="s">
        <v>142</v>
      </c>
      <c r="C12" s="36">
        <f>VLOOKUP(A12,[11]Lubelski!$A$8:$C$68,3,FALSE)</f>
        <v>97538</v>
      </c>
    </row>
    <row r="13" spans="1:3" ht="25" customHeight="1" x14ac:dyDescent="0.25">
      <c r="A13" s="37" t="s">
        <v>140</v>
      </c>
      <c r="B13" s="38" t="s">
        <v>143</v>
      </c>
      <c r="C13" s="36">
        <f>VLOOKUP(A13,[11]Lubelski!$A$8:$C$68,3,FALSE)</f>
        <v>43552</v>
      </c>
    </row>
    <row r="14" spans="1:3" ht="25" customHeight="1" x14ac:dyDescent="0.25">
      <c r="A14" s="34" t="s">
        <v>4</v>
      </c>
      <c r="B14" s="35" t="s">
        <v>122</v>
      </c>
      <c r="C14" s="36">
        <f>VLOOKUP(A14,[11]Lubelski!$A$8:$C$68,3,FALSE)</f>
        <v>168874</v>
      </c>
    </row>
    <row r="15" spans="1:3" ht="25" customHeight="1" x14ac:dyDescent="0.25">
      <c r="A15" s="34" t="s">
        <v>5</v>
      </c>
      <c r="B15" s="35" t="s">
        <v>118</v>
      </c>
      <c r="C15" s="36">
        <f>VLOOKUP(A15,[11]Lubelski!$A$8:$C$68,3,FALSE)</f>
        <v>141000</v>
      </c>
    </row>
    <row r="16" spans="1:3" ht="25" customHeight="1" x14ac:dyDescent="0.25">
      <c r="A16" s="34" t="s">
        <v>6</v>
      </c>
      <c r="B16" s="35" t="s">
        <v>124</v>
      </c>
      <c r="C16" s="36">
        <f>VLOOKUP(A16,[11]Lubelski!$A$8:$C$68,3,FALSE)</f>
        <v>102483</v>
      </c>
    </row>
    <row r="17" spans="1:3" ht="25" customHeight="1" x14ac:dyDescent="0.25">
      <c r="A17" s="34" t="s">
        <v>7</v>
      </c>
      <c r="B17" s="35" t="s">
        <v>123</v>
      </c>
      <c r="C17" s="36">
        <f>VLOOKUP(A17,[11]Lubelski!$A$8:$C$68,3,FALSE)</f>
        <v>34216</v>
      </c>
    </row>
    <row r="18" spans="1:3" ht="25" customHeight="1" x14ac:dyDescent="0.25">
      <c r="A18" s="34" t="s">
        <v>8</v>
      </c>
      <c r="B18" s="35" t="s">
        <v>119</v>
      </c>
      <c r="C18" s="36">
        <f>VLOOKUP(A18,[11]Lubelski!$A$8:$C$68,3,FALSE)</f>
        <v>126738</v>
      </c>
    </row>
    <row r="19" spans="1:3" ht="25" customHeight="1" x14ac:dyDescent="0.25">
      <c r="A19" s="34" t="s">
        <v>9</v>
      </c>
      <c r="B19" s="35" t="s">
        <v>120</v>
      </c>
      <c r="C19" s="36">
        <f>VLOOKUP(A19,[11]Lubelski!$A$8:$C$68,3,FALSE)</f>
        <v>47500</v>
      </c>
    </row>
    <row r="20" spans="1:3" ht="25" customHeight="1" x14ac:dyDescent="0.25">
      <c r="A20" s="34" t="s">
        <v>10</v>
      </c>
      <c r="B20" s="35" t="s">
        <v>125</v>
      </c>
      <c r="C20" s="36">
        <f>VLOOKUP(A20,[11]Lubelski!$A$8:$C$68,3,FALSE)</f>
        <v>8682</v>
      </c>
    </row>
    <row r="21" spans="1:3" ht="25" customHeight="1" x14ac:dyDescent="0.25">
      <c r="A21" s="34" t="s">
        <v>11</v>
      </c>
      <c r="B21" s="35" t="s">
        <v>121</v>
      </c>
      <c r="C21" s="36">
        <f>VLOOKUP(A21,[11]Lubelski!$A$8:$C$68,3,FALSE)+[9]Św!$H$7</f>
        <v>15541</v>
      </c>
    </row>
    <row r="22" spans="1:3" ht="25" customHeight="1" x14ac:dyDescent="0.25">
      <c r="A22" s="34" t="s">
        <v>12</v>
      </c>
      <c r="B22" s="35" t="s">
        <v>159</v>
      </c>
      <c r="C22" s="36">
        <f>VLOOKUP(A22,[11]Lubelski!$A$8:$C$68,3,FALSE)</f>
        <v>145633</v>
      </c>
    </row>
    <row r="23" spans="1:3" ht="25" customHeight="1" x14ac:dyDescent="0.25">
      <c r="A23" s="34" t="s">
        <v>13</v>
      </c>
      <c r="B23" s="35" t="s">
        <v>144</v>
      </c>
      <c r="C23" s="36">
        <f>VLOOKUP(A23,[11]Lubelski!$A$8:$C$68,3,FALSE)</f>
        <v>62426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440316</v>
      </c>
    </row>
    <row r="25" spans="1:3" ht="36" x14ac:dyDescent="0.25">
      <c r="A25" s="34" t="s">
        <v>126</v>
      </c>
      <c r="B25" s="38" t="s">
        <v>146</v>
      </c>
      <c r="C25" s="36">
        <f>VLOOKUP(A25,[11]Lubelski!$A$8:$C$68,3,FALSE)</f>
        <v>437816</v>
      </c>
    </row>
    <row r="26" spans="1:3" ht="25" customHeight="1" x14ac:dyDescent="0.25">
      <c r="A26" s="37" t="s">
        <v>145</v>
      </c>
      <c r="B26" s="38" t="s">
        <v>148</v>
      </c>
      <c r="C26" s="36">
        <f>VLOOKUP(A26,[11]Lubelski!$A$8:$C$68,3,FALSE)</f>
        <v>2200</v>
      </c>
    </row>
    <row r="27" spans="1:3" ht="31.5" customHeight="1" x14ac:dyDescent="0.25">
      <c r="A27" s="37" t="s">
        <v>149</v>
      </c>
      <c r="B27" s="38" t="s">
        <v>147</v>
      </c>
      <c r="C27" s="36">
        <f>VLOOKUP(A27,[11]Lubelski!$A$8:$C$68,3,FALSE)</f>
        <v>300</v>
      </c>
    </row>
    <row r="28" spans="1:3" ht="25" customHeight="1" x14ac:dyDescent="0.25">
      <c r="A28" s="39" t="s">
        <v>15</v>
      </c>
      <c r="B28" s="40" t="s">
        <v>110</v>
      </c>
      <c r="C28" s="36">
        <f>VLOOKUP(A28,[11]Lubelski!$A$8:$C$68,3,FALSE)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VLOOKUP(A29,[11]Lubelski!$A$8:$C$68,3,FALSE)</f>
        <v>33072</v>
      </c>
    </row>
    <row r="30" spans="1:3" ht="25" customHeight="1" x14ac:dyDescent="0.25">
      <c r="A30" s="37" t="s">
        <v>151</v>
      </c>
      <c r="B30" s="38" t="s">
        <v>161</v>
      </c>
      <c r="C30" s="36">
        <f>VLOOKUP(A30,[11]Lubelski!$A$8:$C$68,3,FALSE)</f>
        <v>0</v>
      </c>
    </row>
    <row r="31" spans="1:3" ht="25" customHeight="1" x14ac:dyDescent="0.25">
      <c r="A31" s="39" t="s">
        <v>108</v>
      </c>
      <c r="B31" s="42" t="s">
        <v>111</v>
      </c>
      <c r="C31" s="36">
        <f>VLOOKUP(A31,[11]Lubelski!$A$8:$C$68,3,FALSE)</f>
        <v>344852</v>
      </c>
    </row>
    <row r="32" spans="1:3" ht="25" customHeight="1" x14ac:dyDescent="0.25">
      <c r="A32" s="39" t="s">
        <v>109</v>
      </c>
      <c r="B32" s="41" t="s">
        <v>160</v>
      </c>
      <c r="C32" s="36">
        <f>VLOOKUP(A32,[11]Lubelski!$A$8:$C$68,3,FALSE)</f>
        <v>5000</v>
      </c>
    </row>
    <row r="33" spans="1:3" ht="25" customHeight="1" x14ac:dyDescent="0.25">
      <c r="A33" s="39" t="s">
        <v>162</v>
      </c>
      <c r="B33" s="41" t="s">
        <v>163</v>
      </c>
      <c r="C33" s="36">
        <f>VLOOKUP(A33,[11]Lubelski!$A$8:$C$68,3,FALSE)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VLOOKUP(A34,[11]Lubelski!$A$8:$C$68,3,FALSE)</f>
        <v>1000</v>
      </c>
    </row>
    <row r="35" spans="1:3" ht="25" customHeight="1" x14ac:dyDescent="0.25">
      <c r="A35" s="39" t="s">
        <v>182</v>
      </c>
      <c r="B35" s="41" t="s">
        <v>183</v>
      </c>
      <c r="C35" s="36">
        <f>VLOOKUP(A35,[11]Lubelski!$A$8:$C$68,3,FALSE)</f>
        <v>20000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VLOOKUP(A36,[11]Lubelski!$A$8:$C$68,3,FALSE)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VLOOKUP(A37,[11]Lubelski!$A$8:$C$68,3,FALSE)</f>
        <v>131949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VLOOKUP(A38,[11]Lubelski!$A$8:$C$68,3,FALSE)</f>
        <v>44122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692438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30766</v>
      </c>
    </row>
    <row r="42" spans="1:3" ht="25" customHeight="1" x14ac:dyDescent="0.25">
      <c r="A42" s="39" t="s">
        <v>16</v>
      </c>
      <c r="B42" s="41" t="s">
        <v>17</v>
      </c>
      <c r="C42" s="36">
        <f>VLOOKUP(A42,[11]Lubelski!$A$8:$C$68,3,FALSE)</f>
        <v>1087</v>
      </c>
    </row>
    <row r="43" spans="1:3" ht="25" customHeight="1" x14ac:dyDescent="0.25">
      <c r="A43" s="39" t="s">
        <v>18</v>
      </c>
      <c r="B43" s="41" t="s">
        <v>19</v>
      </c>
      <c r="C43" s="36">
        <f>VLOOKUP(A43,[11]Lubelski!$A$8:$C$68,3,FALSE)</f>
        <v>3406</v>
      </c>
    </row>
    <row r="44" spans="1:3" ht="25" customHeight="1" x14ac:dyDescent="0.25">
      <c r="A44" s="39" t="s">
        <v>20</v>
      </c>
      <c r="B44" s="46" t="s">
        <v>174</v>
      </c>
      <c r="C44" s="36">
        <f>VLOOKUP(A44,[11]Lubelski!$A$8:$C$68,3,FALSE)</f>
        <v>284</v>
      </c>
    </row>
    <row r="45" spans="1:3" ht="25" customHeight="1" x14ac:dyDescent="0.25">
      <c r="A45" s="39" t="s">
        <v>37</v>
      </c>
      <c r="B45" s="47" t="s">
        <v>30</v>
      </c>
      <c r="C45" s="36">
        <f>VLOOKUP(A45,[11]Lubelski!$A$8:$C$68,3,FALSE)</f>
        <v>34</v>
      </c>
    </row>
    <row r="46" spans="1:3" ht="25" customHeight="1" x14ac:dyDescent="0.25">
      <c r="A46" s="39" t="s">
        <v>38</v>
      </c>
      <c r="B46" s="48" t="s">
        <v>31</v>
      </c>
      <c r="C46" s="36">
        <f>VLOOKUP(A46,[11]Lubelski!$A$8:$C$68,3,FALSE)</f>
        <v>34</v>
      </c>
    </row>
    <row r="47" spans="1:3" ht="25" customHeight="1" x14ac:dyDescent="0.25">
      <c r="A47" s="39" t="s">
        <v>39</v>
      </c>
      <c r="B47" s="47" t="s">
        <v>32</v>
      </c>
      <c r="C47" s="36">
        <f>VLOOKUP(A47,[11]Lubelski!$A$8:$C$68,3,FALSE)</f>
        <v>0</v>
      </c>
    </row>
    <row r="48" spans="1:3" ht="25" customHeight="1" x14ac:dyDescent="0.25">
      <c r="A48" s="39" t="s">
        <v>40</v>
      </c>
      <c r="B48" s="47" t="s">
        <v>33</v>
      </c>
      <c r="C48" s="36">
        <f>VLOOKUP(A48,[11]Lubelski!$A$8:$C$68,3,FALSE)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VLOOKUP(A49,[11]Lubelski!$A$8:$C$68,3,FALSE)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VLOOKUP(A50,[11]Lubelski!$A$8:$C$68,3,FALSE)</f>
        <v>236</v>
      </c>
    </row>
    <row r="51" spans="1:3" ht="25" customHeight="1" x14ac:dyDescent="0.25">
      <c r="A51" s="39" t="s">
        <v>43</v>
      </c>
      <c r="B51" s="47" t="s">
        <v>36</v>
      </c>
      <c r="C51" s="36">
        <f>VLOOKUP(A51,[11]Lubelski!$A$8:$C$68,3,FALSE)</f>
        <v>14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'[7]F_wynagr-2020'!$V$8</f>
        <v>18868</v>
      </c>
    </row>
    <row r="53" spans="1:3" ht="25" customHeight="1" x14ac:dyDescent="0.25">
      <c r="A53" s="39" t="s">
        <v>154</v>
      </c>
      <c r="B53" s="47" t="s">
        <v>155</v>
      </c>
      <c r="C53" s="36">
        <f>VLOOKUP(A53,[11]Lubelski!$A$8:$C$68,3,FALSE)</f>
        <v>144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4218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2020'!$I$8</f>
        <v>3241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2020'!$L$8</f>
        <v>463</v>
      </c>
    </row>
    <row r="57" spans="1:3" ht="25" customHeight="1" x14ac:dyDescent="0.25">
      <c r="A57" s="39" t="s">
        <v>50</v>
      </c>
      <c r="B57" s="47" t="s">
        <v>46</v>
      </c>
      <c r="C57" s="36">
        <f>VLOOKUP(A57,[11]Lubelski!$A$8:$C$68,3,FALSE)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2020'!$P$8</f>
        <v>514</v>
      </c>
    </row>
    <row r="59" spans="1:3" ht="25" customHeight="1" x14ac:dyDescent="0.25">
      <c r="A59" s="39" t="s">
        <v>23</v>
      </c>
      <c r="B59" s="41" t="s">
        <v>24</v>
      </c>
      <c r="C59" s="36">
        <f>VLOOKUP(A59,[11]Lubelski!$A$8:$C$68,3,FALSE)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VLOOKUP(A60,[11]Lubelski!$A$8:$C$68,3,FALSE)</f>
        <v>2500</v>
      </c>
    </row>
    <row r="61" spans="1:3" ht="25" customHeight="1" x14ac:dyDescent="0.25">
      <c r="A61" s="39" t="s">
        <v>26</v>
      </c>
      <c r="B61" s="41" t="s">
        <v>27</v>
      </c>
      <c r="C61" s="36">
        <f>VLOOKUP(A61,[11]Lubelski!$A$8:$C$68,3,FALSE)</f>
        <v>403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15800</v>
      </c>
    </row>
    <row r="63" spans="1:3" ht="25" customHeight="1" x14ac:dyDescent="0.25">
      <c r="A63" s="39" t="s">
        <v>99</v>
      </c>
      <c r="B63" s="41" t="s">
        <v>112</v>
      </c>
      <c r="C63" s="36">
        <f>VLOOKUP(A63,[11]Lubelski!$A$8:$C$68,3,FALSE)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VLOOKUP(A64,[11]Lubelski!$A$8:$C$68,3,FALSE)</f>
        <v>15000</v>
      </c>
    </row>
    <row r="65" spans="1:3" ht="25" customHeight="1" x14ac:dyDescent="0.25">
      <c r="A65" s="39" t="s">
        <v>29</v>
      </c>
      <c r="B65" s="41" t="s">
        <v>101</v>
      </c>
      <c r="C65" s="36">
        <f>VLOOKUP(A65,[11]Lubelski!$A$8:$C$68,3,FALSE)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VLOOKUP(A66,[11]Lubelski!$A$8:$C$68,3,FALSE)</f>
        <v>800</v>
      </c>
    </row>
    <row r="67" spans="1:3" ht="25" customHeight="1" x14ac:dyDescent="0.25">
      <c r="A67" s="14" t="s">
        <v>134</v>
      </c>
      <c r="B67" s="43" t="s">
        <v>113</v>
      </c>
      <c r="C67" s="44">
        <f>VLOOKUP(A67,[11]Lubelski!$A$8:$C$68,3,FALSE)</f>
        <v>1000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92D050"/>
  </sheetPr>
  <dimension ref="A1:C67"/>
  <sheetViews>
    <sheetView showGridLines="0" view="pageBreakPreview" zoomScale="80" zoomScaleNormal="70" zoomScaleSheetLayoutView="80" workbookViewId="0">
      <pane xSplit="2" ySplit="6" topLeftCell="C52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62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2320033</v>
      </c>
    </row>
    <row r="7" spans="1:3" ht="25" customHeight="1" x14ac:dyDescent="0.25">
      <c r="A7" s="34" t="s">
        <v>1</v>
      </c>
      <c r="B7" s="35" t="s">
        <v>116</v>
      </c>
      <c r="C7" s="36">
        <f>VLOOKUP(A7,[12]Lubuski!$A$8:$C$68,3,FALSE)</f>
        <v>346798</v>
      </c>
    </row>
    <row r="8" spans="1:3" ht="25" customHeight="1" x14ac:dyDescent="0.25">
      <c r="A8" s="34" t="s">
        <v>2</v>
      </c>
      <c r="B8" s="35" t="s">
        <v>117</v>
      </c>
      <c r="C8" s="36">
        <f>VLOOKUP(A8,[12]Lubuski!$A$8:$C$68,3,FALSE)</f>
        <v>114695</v>
      </c>
    </row>
    <row r="9" spans="1:3" ht="25" customHeight="1" x14ac:dyDescent="0.25">
      <c r="A9" s="34" t="s">
        <v>3</v>
      </c>
      <c r="B9" s="35" t="s">
        <v>114</v>
      </c>
      <c r="C9" s="36">
        <f>VLOOKUP(A9,[12]Lubuski!$A$8:$C$68,3,FALSE)+[9]Św!$I$8</f>
        <v>930055</v>
      </c>
    </row>
    <row r="10" spans="1:3" ht="25" customHeight="1" x14ac:dyDescent="0.25">
      <c r="A10" s="37" t="s">
        <v>54</v>
      </c>
      <c r="B10" s="38" t="s">
        <v>187</v>
      </c>
      <c r="C10" s="36">
        <f>VLOOKUP(A10,[12]Lubuski!$A$8:$C$68,3,FALSE)</f>
        <v>72730</v>
      </c>
    </row>
    <row r="11" spans="1:3" ht="25" customHeight="1" x14ac:dyDescent="0.25">
      <c r="A11" s="37" t="s">
        <v>138</v>
      </c>
      <c r="B11" s="38" t="s">
        <v>141</v>
      </c>
      <c r="C11" s="36">
        <f>VLOOKUP(A11,[12]Lubuski!$A$8:$C$68,3,FALSE)</f>
        <v>64100</v>
      </c>
    </row>
    <row r="12" spans="1:3" ht="25" customHeight="1" x14ac:dyDescent="0.25">
      <c r="A12" s="37" t="s">
        <v>139</v>
      </c>
      <c r="B12" s="38" t="s">
        <v>142</v>
      </c>
      <c r="C12" s="36">
        <f>VLOOKUP(A12,[12]Lubuski!$A$8:$C$68,3,FALSE)</f>
        <v>27500</v>
      </c>
    </row>
    <row r="13" spans="1:3" ht="25" customHeight="1" x14ac:dyDescent="0.25">
      <c r="A13" s="37" t="s">
        <v>140</v>
      </c>
      <c r="B13" s="38" t="s">
        <v>143</v>
      </c>
      <c r="C13" s="36">
        <f>VLOOKUP(A13,[12]Lubuski!$A$8:$C$68,3,FALSE)</f>
        <v>10600</v>
      </c>
    </row>
    <row r="14" spans="1:3" ht="25" customHeight="1" x14ac:dyDescent="0.25">
      <c r="A14" s="34" t="s">
        <v>4</v>
      </c>
      <c r="B14" s="35" t="s">
        <v>122</v>
      </c>
      <c r="C14" s="36">
        <f>VLOOKUP(A14,[12]Lubuski!$A$8:$C$68,3,FALSE)</f>
        <v>76986</v>
      </c>
    </row>
    <row r="15" spans="1:3" ht="25" customHeight="1" x14ac:dyDescent="0.25">
      <c r="A15" s="34" t="s">
        <v>5</v>
      </c>
      <c r="B15" s="35" t="s">
        <v>118</v>
      </c>
      <c r="C15" s="36">
        <f>VLOOKUP(A15,[12]Lubuski!$A$8:$C$68,3,FALSE)</f>
        <v>58529</v>
      </c>
    </row>
    <row r="16" spans="1:3" ht="25" customHeight="1" x14ac:dyDescent="0.25">
      <c r="A16" s="34" t="s">
        <v>6</v>
      </c>
      <c r="B16" s="35" t="s">
        <v>124</v>
      </c>
      <c r="C16" s="36">
        <f>VLOOKUP(A16,[12]Lubuski!$A$8:$C$68,3,FALSE)</f>
        <v>39694</v>
      </c>
    </row>
    <row r="17" spans="1:3" ht="25" customHeight="1" x14ac:dyDescent="0.25">
      <c r="A17" s="34" t="s">
        <v>7</v>
      </c>
      <c r="B17" s="35" t="s">
        <v>123</v>
      </c>
      <c r="C17" s="36">
        <f>VLOOKUP(A17,[12]Lubuski!$A$8:$C$68,3,FALSE)</f>
        <v>20013</v>
      </c>
    </row>
    <row r="18" spans="1:3" ht="25" customHeight="1" x14ac:dyDescent="0.25">
      <c r="A18" s="34" t="s">
        <v>8</v>
      </c>
      <c r="B18" s="35" t="s">
        <v>119</v>
      </c>
      <c r="C18" s="36">
        <f>VLOOKUP(A18,[12]Lubuski!$A$8:$C$68,3,FALSE)</f>
        <v>39769</v>
      </c>
    </row>
    <row r="19" spans="1:3" ht="25" customHeight="1" x14ac:dyDescent="0.25">
      <c r="A19" s="34" t="s">
        <v>9</v>
      </c>
      <c r="B19" s="35" t="s">
        <v>120</v>
      </c>
      <c r="C19" s="36">
        <f>VLOOKUP(A19,[12]Lubuski!$A$8:$C$68,3,FALSE)</f>
        <v>15425</v>
      </c>
    </row>
    <row r="20" spans="1:3" ht="25" customHeight="1" x14ac:dyDescent="0.25">
      <c r="A20" s="34" t="s">
        <v>10</v>
      </c>
      <c r="B20" s="35" t="s">
        <v>125</v>
      </c>
      <c r="C20" s="36">
        <f>VLOOKUP(A20,[12]Lubuski!$A$8:$C$68,3,FALSE)</f>
        <v>8883</v>
      </c>
    </row>
    <row r="21" spans="1:3" ht="25" customHeight="1" x14ac:dyDescent="0.25">
      <c r="A21" s="34" t="s">
        <v>11</v>
      </c>
      <c r="B21" s="35" t="s">
        <v>121</v>
      </c>
      <c r="C21" s="36">
        <f>VLOOKUP(A21,[12]Lubuski!$A$8:$C$68,3,FALSE)+[9]Św!$H$8</f>
        <v>7428</v>
      </c>
    </row>
    <row r="22" spans="1:3" ht="25" customHeight="1" x14ac:dyDescent="0.25">
      <c r="A22" s="34" t="s">
        <v>12</v>
      </c>
      <c r="B22" s="35" t="s">
        <v>159</v>
      </c>
      <c r="C22" s="36">
        <f>VLOOKUP(A22,[12]Lubuski!$A$8:$C$68,3,FALSE)</f>
        <v>66793</v>
      </c>
    </row>
    <row r="23" spans="1:3" ht="25" customHeight="1" x14ac:dyDescent="0.25">
      <c r="A23" s="34" t="s">
        <v>13</v>
      </c>
      <c r="B23" s="35" t="s">
        <v>144</v>
      </c>
      <c r="C23" s="36">
        <f>VLOOKUP(A23,[12]Lubuski!$A$8:$C$68,3,FALSE)</f>
        <v>36769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207923</v>
      </c>
    </row>
    <row r="25" spans="1:3" ht="36" x14ac:dyDescent="0.25">
      <c r="A25" s="34" t="s">
        <v>126</v>
      </c>
      <c r="B25" s="38" t="s">
        <v>146</v>
      </c>
      <c r="C25" s="36">
        <f>VLOOKUP(A25,[12]Lubuski!$A$8:$C$68,3,FALSE)</f>
        <v>207373</v>
      </c>
    </row>
    <row r="26" spans="1:3" ht="25" customHeight="1" x14ac:dyDescent="0.25">
      <c r="A26" s="37" t="s">
        <v>145</v>
      </c>
      <c r="B26" s="38" t="s">
        <v>148</v>
      </c>
      <c r="C26" s="36">
        <f>VLOOKUP(A26,[12]Lubuski!$A$8:$C$68,3,FALSE)</f>
        <v>250</v>
      </c>
    </row>
    <row r="27" spans="1:3" ht="31.5" customHeight="1" x14ac:dyDescent="0.25">
      <c r="A27" s="37" t="s">
        <v>149</v>
      </c>
      <c r="B27" s="38" t="s">
        <v>147</v>
      </c>
      <c r="C27" s="36">
        <f>VLOOKUP(A27,[12]Lubuski!$A$8:$C$68,3,FALSE)</f>
        <v>300</v>
      </c>
    </row>
    <row r="28" spans="1:3" ht="25" customHeight="1" x14ac:dyDescent="0.25">
      <c r="A28" s="39" t="s">
        <v>15</v>
      </c>
      <c r="B28" s="40" t="s">
        <v>110</v>
      </c>
      <c r="C28" s="36">
        <f>VLOOKUP(A28,[12]Lubuski!$A$8:$C$68,3,FALSE)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VLOOKUP(A29,[12]Lubuski!$A$8:$C$68,3,FALSE)</f>
        <v>29979</v>
      </c>
    </row>
    <row r="30" spans="1:3" ht="25" customHeight="1" x14ac:dyDescent="0.25">
      <c r="A30" s="37" t="s">
        <v>151</v>
      </c>
      <c r="B30" s="38" t="s">
        <v>161</v>
      </c>
      <c r="C30" s="36">
        <f>VLOOKUP(A30,[12]Lubuski!$A$8:$C$68,3,FALSE)</f>
        <v>0</v>
      </c>
    </row>
    <row r="31" spans="1:3" ht="25" customHeight="1" x14ac:dyDescent="0.25">
      <c r="A31" s="39" t="s">
        <v>108</v>
      </c>
      <c r="B31" s="42" t="s">
        <v>111</v>
      </c>
      <c r="C31" s="36">
        <f>VLOOKUP(A31,[12]Lubuski!$A$8:$C$68,3,FALSE)</f>
        <v>294294</v>
      </c>
    </row>
    <row r="32" spans="1:3" ht="25" customHeight="1" x14ac:dyDescent="0.25">
      <c r="A32" s="39" t="s">
        <v>109</v>
      </c>
      <c r="B32" s="41" t="s">
        <v>160</v>
      </c>
      <c r="C32" s="36">
        <f>VLOOKUP(A32,[12]Lubuski!$A$8:$C$68,3,FALSE)</f>
        <v>1000</v>
      </c>
    </row>
    <row r="33" spans="1:3" ht="25" customHeight="1" x14ac:dyDescent="0.25">
      <c r="A33" s="39" t="s">
        <v>162</v>
      </c>
      <c r="B33" s="41" t="s">
        <v>163</v>
      </c>
      <c r="C33" s="36">
        <f>VLOOKUP(A33,[12]Lubuski!$A$8:$C$68,3,FALSE)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VLOOKUP(A34,[12]Lubuski!$A$8:$C$68,3,FALSE)</f>
        <v>1000</v>
      </c>
    </row>
    <row r="35" spans="1:3" ht="25" customHeight="1" x14ac:dyDescent="0.25">
      <c r="A35" s="39" t="s">
        <v>182</v>
      </c>
      <c r="B35" s="41" t="s">
        <v>183</v>
      </c>
      <c r="C35" s="36">
        <f>VLOOKUP(A35,[12]Lubuski!$A$8:$C$68,3,FALSE)</f>
        <v>24000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VLOOKUP(A36,[12]Lubuski!$A$8:$C$68,3,FALSE)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VLOOKUP(A37,[12]Lubuski!$A$8:$C$68,3,FALSE)</f>
        <v>76147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VLOOKUP(A38,[12]Lubuski!$A$8:$C$68,3,FALSE)</f>
        <v>18594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282623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18766</v>
      </c>
    </row>
    <row r="42" spans="1:3" ht="25" customHeight="1" x14ac:dyDescent="0.25">
      <c r="A42" s="39" t="s">
        <v>16</v>
      </c>
      <c r="B42" s="41" t="s">
        <v>17</v>
      </c>
      <c r="C42" s="36">
        <f>VLOOKUP(A42,[12]Lubuski!$A$8:$C$68,3,FALSE)</f>
        <v>911</v>
      </c>
    </row>
    <row r="43" spans="1:3" ht="25" customHeight="1" x14ac:dyDescent="0.25">
      <c r="A43" s="39" t="s">
        <v>18</v>
      </c>
      <c r="B43" s="41" t="s">
        <v>19</v>
      </c>
      <c r="C43" s="36">
        <f>VLOOKUP(A43,[12]Lubuski!$A$8:$C$68,3,FALSE)</f>
        <v>2521</v>
      </c>
    </row>
    <row r="44" spans="1:3" ht="25" customHeight="1" x14ac:dyDescent="0.25">
      <c r="A44" s="39" t="s">
        <v>20</v>
      </c>
      <c r="B44" s="46" t="s">
        <v>174</v>
      </c>
      <c r="C44" s="36">
        <f>VLOOKUP(A44,[12]Lubuski!$A$8:$C$68,3,FALSE)</f>
        <v>84</v>
      </c>
    </row>
    <row r="45" spans="1:3" ht="25" customHeight="1" x14ac:dyDescent="0.25">
      <c r="A45" s="39" t="s">
        <v>37</v>
      </c>
      <c r="B45" s="47" t="s">
        <v>30</v>
      </c>
      <c r="C45" s="36">
        <f>VLOOKUP(A45,[12]Lubuski!$A$8:$C$68,3,FALSE)</f>
        <v>15</v>
      </c>
    </row>
    <row r="46" spans="1:3" ht="25" customHeight="1" x14ac:dyDescent="0.25">
      <c r="A46" s="39" t="s">
        <v>38</v>
      </c>
      <c r="B46" s="48" t="s">
        <v>31</v>
      </c>
      <c r="C46" s="36">
        <f>VLOOKUP(A46,[12]Lubuski!$A$8:$C$68,3,FALSE)</f>
        <v>15</v>
      </c>
    </row>
    <row r="47" spans="1:3" ht="25" customHeight="1" x14ac:dyDescent="0.25">
      <c r="A47" s="39" t="s">
        <v>39</v>
      </c>
      <c r="B47" s="47" t="s">
        <v>32</v>
      </c>
      <c r="C47" s="36">
        <f>VLOOKUP(A47,[12]Lubuski!$A$8:$C$68,3,FALSE)</f>
        <v>0</v>
      </c>
    </row>
    <row r="48" spans="1:3" ht="25" customHeight="1" x14ac:dyDescent="0.25">
      <c r="A48" s="39" t="s">
        <v>40</v>
      </c>
      <c r="B48" s="47" t="s">
        <v>33</v>
      </c>
      <c r="C48" s="36">
        <f>VLOOKUP(A48,[12]Lubuski!$A$8:$C$68,3,FALSE)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VLOOKUP(A49,[12]Lubuski!$A$8:$C$68,3,FALSE)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VLOOKUP(A50,[12]Lubuski!$A$8:$C$68,3,FALSE)</f>
        <v>53</v>
      </c>
    </row>
    <row r="51" spans="1:3" ht="25" customHeight="1" x14ac:dyDescent="0.25">
      <c r="A51" s="39" t="s">
        <v>43</v>
      </c>
      <c r="B51" s="47" t="s">
        <v>36</v>
      </c>
      <c r="C51" s="36">
        <f>VLOOKUP(A51,[12]Lubuski!$A$8:$C$68,3,FALSE)</f>
        <v>16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'[7]F_wynagr-2020'!$V$9</f>
        <v>11214</v>
      </c>
    </row>
    <row r="53" spans="1:3" ht="25" customHeight="1" x14ac:dyDescent="0.25">
      <c r="A53" s="39" t="s">
        <v>154</v>
      </c>
      <c r="B53" s="47" t="s">
        <v>155</v>
      </c>
      <c r="C53" s="36">
        <f>VLOOKUP(A53,[12]Lubuski!$A$8:$C$68,3,FALSE)</f>
        <v>0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2507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2020'!$I$9</f>
        <v>1925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2020'!$L$9</f>
        <v>275</v>
      </c>
    </row>
    <row r="57" spans="1:3" ht="25" customHeight="1" x14ac:dyDescent="0.25">
      <c r="A57" s="39" t="s">
        <v>50</v>
      </c>
      <c r="B57" s="47" t="s">
        <v>46</v>
      </c>
      <c r="C57" s="36">
        <f>VLOOKUP(A57,[12]Lubuski!$A$8:$C$68,3,FALSE)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2020'!$P$9</f>
        <v>307</v>
      </c>
    </row>
    <row r="59" spans="1:3" ht="25" customHeight="1" x14ac:dyDescent="0.25">
      <c r="A59" s="39" t="s">
        <v>23</v>
      </c>
      <c r="B59" s="41" t="s">
        <v>24</v>
      </c>
      <c r="C59" s="36">
        <f>VLOOKUP(A59,[12]Lubuski!$A$8:$C$68,3,FALSE)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VLOOKUP(A60,[12]Lubuski!$A$8:$C$68,3,FALSE)</f>
        <v>1342</v>
      </c>
    </row>
    <row r="61" spans="1:3" ht="25" customHeight="1" x14ac:dyDescent="0.25">
      <c r="A61" s="39" t="s">
        <v>26</v>
      </c>
      <c r="B61" s="41" t="s">
        <v>27</v>
      </c>
      <c r="C61" s="36">
        <f>VLOOKUP(A61,[12]Lubuski!$A$8:$C$68,3,FALSE)</f>
        <v>187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1536</v>
      </c>
    </row>
    <row r="63" spans="1:3" ht="25" customHeight="1" x14ac:dyDescent="0.25">
      <c r="A63" s="39" t="s">
        <v>99</v>
      </c>
      <c r="B63" s="41" t="s">
        <v>112</v>
      </c>
      <c r="C63" s="36">
        <f>VLOOKUP(A63,[12]Lubuski!$A$8:$C$68,3,FALSE)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VLOOKUP(A64,[12]Lubuski!$A$8:$C$68,3,FALSE)</f>
        <v>161</v>
      </c>
    </row>
    <row r="65" spans="1:3" ht="25" customHeight="1" x14ac:dyDescent="0.25">
      <c r="A65" s="39" t="s">
        <v>29</v>
      </c>
      <c r="B65" s="41" t="s">
        <v>101</v>
      </c>
      <c r="C65" s="36">
        <f>VLOOKUP(A65,[12]Lubuski!$A$8:$C$68,3,FALSE)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VLOOKUP(A66,[12]Lubuski!$A$8:$C$68,3,FALSE)</f>
        <v>1375</v>
      </c>
    </row>
    <row r="67" spans="1:3" ht="25" customHeight="1" x14ac:dyDescent="0.25">
      <c r="A67" s="14" t="s">
        <v>134</v>
      </c>
      <c r="B67" s="43" t="s">
        <v>113</v>
      </c>
      <c r="C67" s="44">
        <f>VLOOKUP(A67,[12]Lubuski!$A$8:$C$68,3,FALSE)</f>
        <v>286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92D050"/>
  </sheetPr>
  <dimension ref="A1:C67"/>
  <sheetViews>
    <sheetView showGridLines="0" view="pageBreakPreview" zoomScale="80" zoomScaleNormal="50" zoomScaleSheetLayoutView="80" workbookViewId="0">
      <pane xSplit="2" ySplit="6" topLeftCell="C52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63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6173226</v>
      </c>
    </row>
    <row r="7" spans="1:3" ht="25" customHeight="1" x14ac:dyDescent="0.25">
      <c r="A7" s="34" t="s">
        <v>1</v>
      </c>
      <c r="B7" s="35" t="s">
        <v>116</v>
      </c>
      <c r="C7" s="36">
        <f>VLOOKUP(A7,[13]Łódzki!$A$8:$C$68,3,FALSE)</f>
        <v>832442</v>
      </c>
    </row>
    <row r="8" spans="1:3" ht="25" customHeight="1" x14ac:dyDescent="0.25">
      <c r="A8" s="34" t="s">
        <v>2</v>
      </c>
      <c r="B8" s="35" t="s">
        <v>117</v>
      </c>
      <c r="C8" s="36">
        <f>VLOOKUP(A8,[13]Łódzki!$A$8:$C$68,3,FALSE)</f>
        <v>305579</v>
      </c>
    </row>
    <row r="9" spans="1:3" ht="25" customHeight="1" x14ac:dyDescent="0.25">
      <c r="A9" s="34" t="s">
        <v>3</v>
      </c>
      <c r="B9" s="35" t="s">
        <v>114</v>
      </c>
      <c r="C9" s="36">
        <f>VLOOKUP(A9,[13]Łódzki!$A$8:$C$68,3,FALSE)+[9]Św!$I$9</f>
        <v>3035425</v>
      </c>
    </row>
    <row r="10" spans="1:3" ht="25" customHeight="1" x14ac:dyDescent="0.25">
      <c r="A10" s="37" t="s">
        <v>54</v>
      </c>
      <c r="B10" s="38" t="s">
        <v>187</v>
      </c>
      <c r="C10" s="36">
        <f>VLOOKUP(A10,[13]Łódzki!$A$8:$C$68,3,FALSE)</f>
        <v>285650</v>
      </c>
    </row>
    <row r="11" spans="1:3" ht="25" customHeight="1" x14ac:dyDescent="0.25">
      <c r="A11" s="37" t="s">
        <v>138</v>
      </c>
      <c r="B11" s="38" t="s">
        <v>141</v>
      </c>
      <c r="C11" s="36">
        <f>VLOOKUP(A11,[13]Łódzki!$A$8:$C$68,3,FALSE)</f>
        <v>252239</v>
      </c>
    </row>
    <row r="12" spans="1:3" ht="25" customHeight="1" x14ac:dyDescent="0.25">
      <c r="A12" s="37" t="s">
        <v>139</v>
      </c>
      <c r="B12" s="38" t="s">
        <v>142</v>
      </c>
      <c r="C12" s="36">
        <f>VLOOKUP(A12,[13]Łódzki!$A$8:$C$68,3,FALSE)</f>
        <v>91766</v>
      </c>
    </row>
    <row r="13" spans="1:3" ht="25" customHeight="1" x14ac:dyDescent="0.25">
      <c r="A13" s="37" t="s">
        <v>140</v>
      </c>
      <c r="B13" s="38" t="s">
        <v>143</v>
      </c>
      <c r="C13" s="36">
        <f>VLOOKUP(A13,[13]Łódzki!$A$8:$C$68,3,FALSE)</f>
        <v>36058</v>
      </c>
    </row>
    <row r="14" spans="1:3" ht="25" customHeight="1" x14ac:dyDescent="0.25">
      <c r="A14" s="34" t="s">
        <v>4</v>
      </c>
      <c r="B14" s="35" t="s">
        <v>122</v>
      </c>
      <c r="C14" s="36">
        <f>VLOOKUP(A14,[13]Łódzki!$A$8:$C$68,3,FALSE)</f>
        <v>141326</v>
      </c>
    </row>
    <row r="15" spans="1:3" ht="25" customHeight="1" x14ac:dyDescent="0.25">
      <c r="A15" s="34" t="s">
        <v>5</v>
      </c>
      <c r="B15" s="35" t="s">
        <v>118</v>
      </c>
      <c r="C15" s="36">
        <f>VLOOKUP(A15,[13]Łódzki!$A$8:$C$68,3,FALSE)</f>
        <v>143324</v>
      </c>
    </row>
    <row r="16" spans="1:3" ht="25" customHeight="1" x14ac:dyDescent="0.25">
      <c r="A16" s="34" t="s">
        <v>6</v>
      </c>
      <c r="B16" s="35" t="s">
        <v>124</v>
      </c>
      <c r="C16" s="36">
        <f>VLOOKUP(A16,[13]Łódzki!$A$8:$C$68,3,FALSE)</f>
        <v>90438</v>
      </c>
    </row>
    <row r="17" spans="1:3" ht="25" customHeight="1" x14ac:dyDescent="0.25">
      <c r="A17" s="34" t="s">
        <v>7</v>
      </c>
      <c r="B17" s="35" t="s">
        <v>123</v>
      </c>
      <c r="C17" s="36">
        <f>VLOOKUP(A17,[13]Łódzki!$A$8:$C$68,3,FALSE)</f>
        <v>39070</v>
      </c>
    </row>
    <row r="18" spans="1:3" ht="25" customHeight="1" x14ac:dyDescent="0.25">
      <c r="A18" s="34" t="s">
        <v>8</v>
      </c>
      <c r="B18" s="35" t="s">
        <v>119</v>
      </c>
      <c r="C18" s="36">
        <f>VLOOKUP(A18,[13]Łódzki!$A$8:$C$68,3,FALSE)</f>
        <v>122477</v>
      </c>
    </row>
    <row r="19" spans="1:3" ht="25" customHeight="1" x14ac:dyDescent="0.25">
      <c r="A19" s="34" t="s">
        <v>9</v>
      </c>
      <c r="B19" s="35" t="s">
        <v>120</v>
      </c>
      <c r="C19" s="36">
        <f>VLOOKUP(A19,[13]Łódzki!$A$8:$C$68,3,FALSE)</f>
        <v>48300</v>
      </c>
    </row>
    <row r="20" spans="1:3" ht="25" customHeight="1" x14ac:dyDescent="0.25">
      <c r="A20" s="34" t="s">
        <v>10</v>
      </c>
      <c r="B20" s="35" t="s">
        <v>125</v>
      </c>
      <c r="C20" s="36">
        <f>VLOOKUP(A20,[13]Łódzki!$A$8:$C$68,3,FALSE)</f>
        <v>2607</v>
      </c>
    </row>
    <row r="21" spans="1:3" ht="25" customHeight="1" x14ac:dyDescent="0.25">
      <c r="A21" s="34" t="s">
        <v>11</v>
      </c>
      <c r="B21" s="35" t="s">
        <v>121</v>
      </c>
      <c r="C21" s="36">
        <f>VLOOKUP(A21,[13]Łódzki!$A$8:$C$68,3,FALSE)+[9]Św!$H$9</f>
        <v>15419</v>
      </c>
    </row>
    <row r="22" spans="1:3" ht="25" customHeight="1" x14ac:dyDescent="0.25">
      <c r="A22" s="34" t="s">
        <v>12</v>
      </c>
      <c r="B22" s="35" t="s">
        <v>159</v>
      </c>
      <c r="C22" s="36">
        <f>VLOOKUP(A22,[13]Łódzki!$A$8:$C$68,3,FALSE)</f>
        <v>143481</v>
      </c>
    </row>
    <row r="23" spans="1:3" ht="25" customHeight="1" x14ac:dyDescent="0.25">
      <c r="A23" s="34" t="s">
        <v>13</v>
      </c>
      <c r="B23" s="35" t="s">
        <v>144</v>
      </c>
      <c r="C23" s="36">
        <f>VLOOKUP(A23,[13]Łódzki!$A$8:$C$68,3,FALSE)</f>
        <v>78000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648545</v>
      </c>
    </row>
    <row r="25" spans="1:3" ht="36" x14ac:dyDescent="0.25">
      <c r="A25" s="34" t="s">
        <v>126</v>
      </c>
      <c r="B25" s="38" t="s">
        <v>146</v>
      </c>
      <c r="C25" s="36">
        <f>VLOOKUP(A25,[13]Łódzki!$A$8:$C$68,3,FALSE)</f>
        <v>646506</v>
      </c>
    </row>
    <row r="26" spans="1:3" ht="25" customHeight="1" x14ac:dyDescent="0.25">
      <c r="A26" s="37" t="s">
        <v>145</v>
      </c>
      <c r="B26" s="38" t="s">
        <v>148</v>
      </c>
      <c r="C26" s="36">
        <f>VLOOKUP(A26,[13]Łódzki!$A$8:$C$68,3,FALSE)</f>
        <v>916</v>
      </c>
    </row>
    <row r="27" spans="1:3" ht="31.5" customHeight="1" x14ac:dyDescent="0.25">
      <c r="A27" s="37" t="s">
        <v>149</v>
      </c>
      <c r="B27" s="38" t="s">
        <v>147</v>
      </c>
      <c r="C27" s="36">
        <f>VLOOKUP(A27,[13]Łódzki!$A$8:$C$68,3,FALSE)</f>
        <v>1123</v>
      </c>
    </row>
    <row r="28" spans="1:3" ht="25" customHeight="1" x14ac:dyDescent="0.25">
      <c r="A28" s="39" t="s">
        <v>15</v>
      </c>
      <c r="B28" s="40" t="s">
        <v>110</v>
      </c>
      <c r="C28" s="36">
        <f>VLOOKUP(A28,[13]Łódzki!$A$8:$C$68,3,FALSE)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VLOOKUP(A29,[13]Łódzki!$A$8:$C$68,3,FALSE)</f>
        <v>45212</v>
      </c>
    </row>
    <row r="30" spans="1:3" ht="25" customHeight="1" x14ac:dyDescent="0.25">
      <c r="A30" s="37" t="s">
        <v>151</v>
      </c>
      <c r="B30" s="38" t="s">
        <v>161</v>
      </c>
      <c r="C30" s="36">
        <f>VLOOKUP(A30,[13]Łódzki!$A$8:$C$68,3,FALSE)</f>
        <v>14922</v>
      </c>
    </row>
    <row r="31" spans="1:3" ht="25" customHeight="1" x14ac:dyDescent="0.25">
      <c r="A31" s="39" t="s">
        <v>108</v>
      </c>
      <c r="B31" s="42" t="s">
        <v>111</v>
      </c>
      <c r="C31" s="36">
        <f>VLOOKUP(A31,[13]Łódzki!$A$8:$C$68,3,FALSE)</f>
        <v>416486</v>
      </c>
    </row>
    <row r="32" spans="1:3" ht="25" customHeight="1" x14ac:dyDescent="0.25">
      <c r="A32" s="39" t="s">
        <v>109</v>
      </c>
      <c r="B32" s="41" t="s">
        <v>160</v>
      </c>
      <c r="C32" s="36">
        <f>VLOOKUP(A32,[13]Łódzki!$A$8:$C$68,3,FALSE)</f>
        <v>1000</v>
      </c>
    </row>
    <row r="33" spans="1:3" ht="25" customHeight="1" x14ac:dyDescent="0.25">
      <c r="A33" s="39" t="s">
        <v>162</v>
      </c>
      <c r="B33" s="41" t="s">
        <v>163</v>
      </c>
      <c r="C33" s="36">
        <f>VLOOKUP(A33,[13]Łódzki!$A$8:$C$68,3,FALSE)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VLOOKUP(A34,[13]Łódzki!$A$8:$C$68,3,FALSE)</f>
        <v>5500</v>
      </c>
    </row>
    <row r="35" spans="1:3" ht="25" customHeight="1" x14ac:dyDescent="0.25">
      <c r="A35" s="39" t="s">
        <v>182</v>
      </c>
      <c r="B35" s="41" t="s">
        <v>183</v>
      </c>
      <c r="C35" s="36">
        <f>VLOOKUP(A35,[13]Łódzki!$A$8:$C$68,3,FALSE)</f>
        <v>58595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VLOOKUP(A36,[13]Łódzki!$A$8:$C$68,3,FALSE)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VLOOKUP(A37,[13]Łódzki!$A$8:$C$68,3,FALSE)</f>
        <v>143496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VLOOKUP(A38,[13]Łódzki!$A$8:$C$68,3,FALSE)</f>
        <v>61755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951764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36424</v>
      </c>
    </row>
    <row r="42" spans="1:3" ht="25" customHeight="1" x14ac:dyDescent="0.25">
      <c r="A42" s="39" t="s">
        <v>16</v>
      </c>
      <c r="B42" s="41" t="s">
        <v>17</v>
      </c>
      <c r="C42" s="36">
        <f>VLOOKUP(A42,[13]Łódzki!$A$8:$C$68,3,FALSE)</f>
        <v>1450</v>
      </c>
    </row>
    <row r="43" spans="1:3" ht="25" customHeight="1" x14ac:dyDescent="0.25">
      <c r="A43" s="39" t="s">
        <v>18</v>
      </c>
      <c r="B43" s="41" t="s">
        <v>19</v>
      </c>
      <c r="C43" s="36">
        <f>VLOOKUP(A43,[13]Łódzki!$A$8:$C$68,3,FALSE)</f>
        <v>6570</v>
      </c>
    </row>
    <row r="44" spans="1:3" ht="25" customHeight="1" x14ac:dyDescent="0.25">
      <c r="A44" s="39" t="s">
        <v>20</v>
      </c>
      <c r="B44" s="46" t="s">
        <v>174</v>
      </c>
      <c r="C44" s="36">
        <f>VLOOKUP(A44,[13]Łódzki!$A$8:$C$68,3,FALSE)</f>
        <v>288</v>
      </c>
    </row>
    <row r="45" spans="1:3" ht="25" customHeight="1" x14ac:dyDescent="0.25">
      <c r="A45" s="39" t="s">
        <v>37</v>
      </c>
      <c r="B45" s="47" t="s">
        <v>30</v>
      </c>
      <c r="C45" s="36">
        <f>VLOOKUP(A45,[13]Łódzki!$A$8:$C$68,3,FALSE)</f>
        <v>11</v>
      </c>
    </row>
    <row r="46" spans="1:3" ht="25" customHeight="1" x14ac:dyDescent="0.25">
      <c r="A46" s="39" t="s">
        <v>38</v>
      </c>
      <c r="B46" s="48" t="s">
        <v>31</v>
      </c>
      <c r="C46" s="36">
        <f>VLOOKUP(A46,[13]Łódzki!$A$8:$C$68,3,FALSE)</f>
        <v>11</v>
      </c>
    </row>
    <row r="47" spans="1:3" ht="25" customHeight="1" x14ac:dyDescent="0.25">
      <c r="A47" s="39" t="s">
        <v>39</v>
      </c>
      <c r="B47" s="47" t="s">
        <v>32</v>
      </c>
      <c r="C47" s="36">
        <f>VLOOKUP(A47,[13]Łódzki!$A$8:$C$68,3,FALSE)</f>
        <v>13</v>
      </c>
    </row>
    <row r="48" spans="1:3" ht="25" customHeight="1" x14ac:dyDescent="0.25">
      <c r="A48" s="39" t="s">
        <v>40</v>
      </c>
      <c r="B48" s="47" t="s">
        <v>33</v>
      </c>
      <c r="C48" s="36">
        <f>VLOOKUP(A48,[13]Łódzki!$A$8:$C$68,3,FALSE)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VLOOKUP(A49,[13]Łódzki!$A$8:$C$68,3,FALSE)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VLOOKUP(A50,[13]Łódzki!$A$8:$C$68,3,FALSE)</f>
        <v>260</v>
      </c>
    </row>
    <row r="51" spans="1:3" ht="25" customHeight="1" x14ac:dyDescent="0.25">
      <c r="A51" s="39" t="s">
        <v>43</v>
      </c>
      <c r="B51" s="47" t="s">
        <v>36</v>
      </c>
      <c r="C51" s="36">
        <f>VLOOKUP(A51,[13]Łódzki!$A$8:$C$68,3,FALSE)</f>
        <v>4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'[7]F_wynagr-2020'!$V$10</f>
        <v>20674</v>
      </c>
    </row>
    <row r="53" spans="1:3" ht="25" customHeight="1" x14ac:dyDescent="0.25">
      <c r="A53" s="39" t="s">
        <v>154</v>
      </c>
      <c r="B53" s="47" t="s">
        <v>155</v>
      </c>
      <c r="C53" s="36">
        <f>VLOOKUP(A53,[13]Łódzki!$A$8:$C$68,3,FALSE)</f>
        <v>90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4625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2020'!$I$10</f>
        <v>3551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2020'!$L$10</f>
        <v>507</v>
      </c>
    </row>
    <row r="57" spans="1:3" ht="25" customHeight="1" x14ac:dyDescent="0.25">
      <c r="A57" s="39" t="s">
        <v>50</v>
      </c>
      <c r="B57" s="47" t="s">
        <v>46</v>
      </c>
      <c r="C57" s="36">
        <f>VLOOKUP(A57,[13]Łódzki!$A$8:$C$68,3,FALSE)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2020'!$P$10</f>
        <v>567</v>
      </c>
    </row>
    <row r="59" spans="1:3" ht="25" customHeight="1" x14ac:dyDescent="0.25">
      <c r="A59" s="39" t="s">
        <v>23</v>
      </c>
      <c r="B59" s="41" t="s">
        <v>24</v>
      </c>
      <c r="C59" s="36">
        <f>VLOOKUP(A59,[13]Łódzki!$A$8:$C$68,3,FALSE)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VLOOKUP(A60,[13]Łódzki!$A$8:$C$68,3,FALSE)</f>
        <v>2520</v>
      </c>
    </row>
    <row r="61" spans="1:3" ht="25" customHeight="1" x14ac:dyDescent="0.25">
      <c r="A61" s="39" t="s">
        <v>26</v>
      </c>
      <c r="B61" s="41" t="s">
        <v>27</v>
      </c>
      <c r="C61" s="36">
        <f>VLOOKUP(A61,[13]Łódzki!$A$8:$C$68,3,FALSE)</f>
        <v>297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33000</v>
      </c>
    </row>
    <row r="63" spans="1:3" ht="25" customHeight="1" x14ac:dyDescent="0.25">
      <c r="A63" s="39" t="s">
        <v>99</v>
      </c>
      <c r="B63" s="41" t="s">
        <v>112</v>
      </c>
      <c r="C63" s="36">
        <f>VLOOKUP(A63,[13]Łódzki!$A$8:$C$68,3,FALSE)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VLOOKUP(A64,[13]Łódzki!$A$8:$C$68,3,FALSE)</f>
        <v>31000</v>
      </c>
    </row>
    <row r="65" spans="1:3" ht="25" customHeight="1" x14ac:dyDescent="0.25">
      <c r="A65" s="39" t="s">
        <v>29</v>
      </c>
      <c r="B65" s="41" t="s">
        <v>101</v>
      </c>
      <c r="C65" s="36">
        <f>VLOOKUP(A65,[13]Łódzki!$A$8:$C$68,3,FALSE)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VLOOKUP(A66,[13]Łódzki!$A$8:$C$68,3,FALSE)</f>
        <v>2000</v>
      </c>
    </row>
    <row r="67" spans="1:3" ht="25" customHeight="1" x14ac:dyDescent="0.25">
      <c r="A67" s="14" t="s">
        <v>134</v>
      </c>
      <c r="B67" s="43" t="s">
        <v>113</v>
      </c>
      <c r="C67" s="44">
        <f>VLOOKUP(A67,[13]Łódzki!$A$8:$C$68,3,FALSE)</f>
        <v>5000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92D050"/>
  </sheetPr>
  <dimension ref="A1:C67"/>
  <sheetViews>
    <sheetView showGridLines="0" view="pageBreakPreview" zoomScale="80" zoomScaleNormal="70" zoomScaleSheetLayoutView="80" workbookViewId="0">
      <pane xSplit="1" ySplit="6" topLeftCell="B64" activePane="bottomRight" state="frozen"/>
      <selection activeCell="I11" sqref="I11"/>
      <selection pane="topRight" activeCell="I11" sqref="I11"/>
      <selection pane="bottomLeft" activeCell="I11" sqref="I11"/>
      <selection pane="bottomRight" activeCell="I11" sqref="I11"/>
    </sheetView>
  </sheetViews>
  <sheetFormatPr defaultColWidth="9.1796875" defaultRowHeight="18" x14ac:dyDescent="0.25"/>
  <cols>
    <col min="1" max="1" width="10.7265625" style="33" customWidth="1"/>
    <col min="2" max="2" width="150.7265625" style="33" customWidth="1"/>
    <col min="3" max="3" width="20.7265625" style="33" customWidth="1"/>
    <col min="4" max="16384" width="9.1796875" style="33"/>
  </cols>
  <sheetData>
    <row r="1" spans="1:3" s="29" customFormat="1" x14ac:dyDescent="0.25">
      <c r="A1" s="81" t="str">
        <f>NFZ!A1</f>
        <v xml:space="preserve">ROCZNY PLAN FINANSOWY NARODOWEGO FUNDUSZU ZDROWIA NA ROK 2020 zatwierdzony 13 listopada 2019 r. </v>
      </c>
      <c r="B1" s="81"/>
      <c r="C1" s="81"/>
    </row>
    <row r="2" spans="1:3" s="30" customFormat="1" ht="35.15" customHeight="1" x14ac:dyDescent="0.25">
      <c r="A2" s="59" t="s">
        <v>64</v>
      </c>
      <c r="B2" s="59"/>
      <c r="C2" s="69"/>
    </row>
    <row r="3" spans="1:3" x14ac:dyDescent="0.25">
      <c r="A3" s="60"/>
      <c r="B3" s="31"/>
      <c r="C3" s="32" t="s">
        <v>198</v>
      </c>
    </row>
    <row r="4" spans="1:3" s="62" customFormat="1" ht="96" customHeight="1" x14ac:dyDescent="0.25">
      <c r="A4" s="70" t="s">
        <v>115</v>
      </c>
      <c r="B4" s="61" t="s">
        <v>52</v>
      </c>
      <c r="C4" s="1" t="s">
        <v>202</v>
      </c>
    </row>
    <row r="5" spans="1:3" s="62" customFormat="1" x14ac:dyDescent="0.25">
      <c r="A5" s="63">
        <v>1</v>
      </c>
      <c r="B5" s="64">
        <v>2</v>
      </c>
      <c r="C5" s="63">
        <v>3</v>
      </c>
    </row>
    <row r="6" spans="1:3" ht="25" customHeight="1" x14ac:dyDescent="0.25">
      <c r="A6" s="65" t="s">
        <v>0</v>
      </c>
      <c r="B6" s="66" t="s">
        <v>184</v>
      </c>
      <c r="C6" s="16">
        <f>C7+C8+C9+C14+C15+C16+C17+C18+C19+C20+C21+C22+C23+C24+C28+C29+C31+C32+C33+C34+C35</f>
        <v>7969188</v>
      </c>
    </row>
    <row r="7" spans="1:3" ht="25" customHeight="1" x14ac:dyDescent="0.25">
      <c r="A7" s="34" t="s">
        <v>1</v>
      </c>
      <c r="B7" s="35" t="s">
        <v>116</v>
      </c>
      <c r="C7" s="36">
        <f>VLOOKUP(A7,[14]Małopolski!$A$8:$C$68,3,FALSE)</f>
        <v>1126353</v>
      </c>
    </row>
    <row r="8" spans="1:3" ht="25" customHeight="1" x14ac:dyDescent="0.25">
      <c r="A8" s="34" t="s">
        <v>2</v>
      </c>
      <c r="B8" s="35" t="s">
        <v>117</v>
      </c>
      <c r="C8" s="36">
        <f>VLOOKUP(A8,[14]Małopolski!$A$8:$C$68,3,FALSE)</f>
        <v>425726</v>
      </c>
    </row>
    <row r="9" spans="1:3" ht="25" customHeight="1" x14ac:dyDescent="0.25">
      <c r="A9" s="34" t="s">
        <v>3</v>
      </c>
      <c r="B9" s="35" t="s">
        <v>114</v>
      </c>
      <c r="C9" s="36">
        <f>VLOOKUP(A9,[14]Małopolski!$A$8:$C$68,3,FALSE)+[9]Św!$I$10</f>
        <v>3750148</v>
      </c>
    </row>
    <row r="10" spans="1:3" ht="25" customHeight="1" x14ac:dyDescent="0.25">
      <c r="A10" s="37" t="s">
        <v>54</v>
      </c>
      <c r="B10" s="38" t="s">
        <v>187</v>
      </c>
      <c r="C10" s="36">
        <f>VLOOKUP(A10,[14]Małopolski!$A$8:$C$68,3,FALSE)</f>
        <v>378033</v>
      </c>
    </row>
    <row r="11" spans="1:3" ht="25" customHeight="1" x14ac:dyDescent="0.25">
      <c r="A11" s="37" t="s">
        <v>138</v>
      </c>
      <c r="B11" s="38" t="s">
        <v>141</v>
      </c>
      <c r="C11" s="36">
        <f>VLOOKUP(A11,[14]Małopolski!$A$8:$C$68,3,FALSE)</f>
        <v>340607</v>
      </c>
    </row>
    <row r="12" spans="1:3" ht="25" customHeight="1" x14ac:dyDescent="0.25">
      <c r="A12" s="37" t="s">
        <v>139</v>
      </c>
      <c r="B12" s="38" t="s">
        <v>142</v>
      </c>
      <c r="C12" s="36">
        <f>VLOOKUP(A12,[14]Małopolski!$A$8:$C$68,3,FALSE)</f>
        <v>102260</v>
      </c>
    </row>
    <row r="13" spans="1:3" ht="25" customHeight="1" x14ac:dyDescent="0.25">
      <c r="A13" s="37" t="s">
        <v>140</v>
      </c>
      <c r="B13" s="38" t="s">
        <v>143</v>
      </c>
      <c r="C13" s="36">
        <f>VLOOKUP(A13,[14]Małopolski!$A$8:$C$68,3,FALSE)</f>
        <v>56062</v>
      </c>
    </row>
    <row r="14" spans="1:3" ht="25" customHeight="1" x14ac:dyDescent="0.25">
      <c r="A14" s="34" t="s">
        <v>4</v>
      </c>
      <c r="B14" s="35" t="s">
        <v>122</v>
      </c>
      <c r="C14" s="36">
        <f>VLOOKUP(A14,[14]Małopolski!$A$8:$C$68,3,FALSE)</f>
        <v>211272</v>
      </c>
    </row>
    <row r="15" spans="1:3" ht="25" customHeight="1" x14ac:dyDescent="0.25">
      <c r="A15" s="34" t="s">
        <v>5</v>
      </c>
      <c r="B15" s="35" t="s">
        <v>118</v>
      </c>
      <c r="C15" s="36">
        <f>VLOOKUP(A15,[14]Małopolski!$A$8:$C$68,3,FALSE)</f>
        <v>272240</v>
      </c>
    </row>
    <row r="16" spans="1:3" ht="25" customHeight="1" x14ac:dyDescent="0.25">
      <c r="A16" s="34" t="s">
        <v>6</v>
      </c>
      <c r="B16" s="35" t="s">
        <v>124</v>
      </c>
      <c r="C16" s="36">
        <f>VLOOKUP(A16,[14]Małopolski!$A$8:$C$68,3,FALSE)</f>
        <v>208272</v>
      </c>
    </row>
    <row r="17" spans="1:3" ht="25" customHeight="1" x14ac:dyDescent="0.25">
      <c r="A17" s="34" t="s">
        <v>7</v>
      </c>
      <c r="B17" s="35" t="s">
        <v>123</v>
      </c>
      <c r="C17" s="36">
        <f>VLOOKUP(A17,[14]Małopolski!$A$8:$C$68,3,FALSE)</f>
        <v>78462</v>
      </c>
    </row>
    <row r="18" spans="1:3" ht="25" customHeight="1" x14ac:dyDescent="0.25">
      <c r="A18" s="34" t="s">
        <v>8</v>
      </c>
      <c r="B18" s="35" t="s">
        <v>119</v>
      </c>
      <c r="C18" s="36">
        <f>VLOOKUP(A18,[14]Małopolski!$A$8:$C$68,3,FALSE)</f>
        <v>211942</v>
      </c>
    </row>
    <row r="19" spans="1:3" ht="25" customHeight="1" x14ac:dyDescent="0.25">
      <c r="A19" s="34" t="s">
        <v>9</v>
      </c>
      <c r="B19" s="35" t="s">
        <v>120</v>
      </c>
      <c r="C19" s="36">
        <f>VLOOKUP(A19,[14]Małopolski!$A$8:$C$68,3,FALSE)</f>
        <v>62944</v>
      </c>
    </row>
    <row r="20" spans="1:3" ht="25" customHeight="1" x14ac:dyDescent="0.25">
      <c r="A20" s="34" t="s">
        <v>10</v>
      </c>
      <c r="B20" s="35" t="s">
        <v>125</v>
      </c>
      <c r="C20" s="36">
        <f>VLOOKUP(A20,[14]Małopolski!$A$8:$C$68,3,FALSE)</f>
        <v>6750</v>
      </c>
    </row>
    <row r="21" spans="1:3" ht="25" customHeight="1" x14ac:dyDescent="0.25">
      <c r="A21" s="34" t="s">
        <v>11</v>
      </c>
      <c r="B21" s="35" t="s">
        <v>121</v>
      </c>
      <c r="C21" s="36">
        <f>VLOOKUP(A21,[14]Małopolski!$A$8:$C$68,3,FALSE)+[9]Św!$H$10</f>
        <v>20962</v>
      </c>
    </row>
    <row r="22" spans="1:3" ht="25" customHeight="1" x14ac:dyDescent="0.25">
      <c r="A22" s="34" t="s">
        <v>12</v>
      </c>
      <c r="B22" s="35" t="s">
        <v>159</v>
      </c>
      <c r="C22" s="36">
        <f>VLOOKUP(A22,[14]Małopolski!$A$8:$C$68,3,FALSE)</f>
        <v>248216</v>
      </c>
    </row>
    <row r="23" spans="1:3" ht="25" customHeight="1" x14ac:dyDescent="0.25">
      <c r="A23" s="34" t="s">
        <v>13</v>
      </c>
      <c r="B23" s="35" t="s">
        <v>144</v>
      </c>
      <c r="C23" s="36">
        <f>VLOOKUP(A23,[14]Małopolski!$A$8:$C$68,3,FALSE)</f>
        <v>103800</v>
      </c>
    </row>
    <row r="24" spans="1:3" ht="25" customHeight="1" x14ac:dyDescent="0.25">
      <c r="A24" s="37" t="s">
        <v>14</v>
      </c>
      <c r="B24" s="35" t="s">
        <v>167</v>
      </c>
      <c r="C24" s="36">
        <f>SUM(C25:C27)</f>
        <v>692188</v>
      </c>
    </row>
    <row r="25" spans="1:3" ht="36" x14ac:dyDescent="0.25">
      <c r="A25" s="34" t="s">
        <v>126</v>
      </c>
      <c r="B25" s="38" t="s">
        <v>146</v>
      </c>
      <c r="C25" s="36">
        <f>VLOOKUP(A25,[14]Małopolski!$A$8:$C$68,3,FALSE)</f>
        <v>688188</v>
      </c>
    </row>
    <row r="26" spans="1:3" ht="25" customHeight="1" x14ac:dyDescent="0.25">
      <c r="A26" s="37" t="s">
        <v>145</v>
      </c>
      <c r="B26" s="38" t="s">
        <v>148</v>
      </c>
      <c r="C26" s="36">
        <f>VLOOKUP(A26,[14]Małopolski!$A$8:$C$68,3,FALSE)</f>
        <v>3000</v>
      </c>
    </row>
    <row r="27" spans="1:3" ht="31.5" customHeight="1" x14ac:dyDescent="0.25">
      <c r="A27" s="37" t="s">
        <v>149</v>
      </c>
      <c r="B27" s="38" t="s">
        <v>147</v>
      </c>
      <c r="C27" s="36">
        <f>VLOOKUP(A27,[14]Małopolski!$A$8:$C$68,3,FALSE)</f>
        <v>1000</v>
      </c>
    </row>
    <row r="28" spans="1:3" ht="25" customHeight="1" x14ac:dyDescent="0.25">
      <c r="A28" s="39" t="s">
        <v>15</v>
      </c>
      <c r="B28" s="40" t="s">
        <v>110</v>
      </c>
      <c r="C28" s="36">
        <f>VLOOKUP(A28,[14]Małopolski!$A$8:$C$68,3,FALSE)</f>
        <v>0</v>
      </c>
    </row>
    <row r="29" spans="1:3" ht="25" customHeight="1" x14ac:dyDescent="0.25">
      <c r="A29" s="39" t="s">
        <v>107</v>
      </c>
      <c r="B29" s="41" t="s">
        <v>150</v>
      </c>
      <c r="C29" s="36">
        <f>VLOOKUP(A29,[14]Małopolski!$A$8:$C$68,3,FALSE)</f>
        <v>63174</v>
      </c>
    </row>
    <row r="30" spans="1:3" ht="25" customHeight="1" x14ac:dyDescent="0.25">
      <c r="A30" s="37" t="s">
        <v>151</v>
      </c>
      <c r="B30" s="38" t="s">
        <v>161</v>
      </c>
      <c r="C30" s="36">
        <f>VLOOKUP(A30,[14]Małopolski!$A$8:$C$68,3,FALSE)</f>
        <v>0</v>
      </c>
    </row>
    <row r="31" spans="1:3" ht="25" customHeight="1" x14ac:dyDescent="0.25">
      <c r="A31" s="39" t="s">
        <v>108</v>
      </c>
      <c r="B31" s="42" t="s">
        <v>111</v>
      </c>
      <c r="C31" s="36">
        <f>VLOOKUP(A31,[14]Małopolski!$A$8:$C$68,3,FALSE)</f>
        <v>424642</v>
      </c>
    </row>
    <row r="32" spans="1:3" ht="25" customHeight="1" x14ac:dyDescent="0.25">
      <c r="A32" s="39" t="s">
        <v>109</v>
      </c>
      <c r="B32" s="41" t="s">
        <v>160</v>
      </c>
      <c r="C32" s="36">
        <f>VLOOKUP(A32,[14]Małopolski!$A$8:$C$68,3,FALSE)</f>
        <v>0</v>
      </c>
    </row>
    <row r="33" spans="1:3" ht="25" customHeight="1" x14ac:dyDescent="0.25">
      <c r="A33" s="39" t="s">
        <v>162</v>
      </c>
      <c r="B33" s="41" t="s">
        <v>163</v>
      </c>
      <c r="C33" s="36">
        <f>VLOOKUP(A33,[14]Małopolski!$A$8:$C$68,3,FALSE)</f>
        <v>0</v>
      </c>
    </row>
    <row r="34" spans="1:3" ht="25" customHeight="1" x14ac:dyDescent="0.25">
      <c r="A34" s="39" t="s">
        <v>175</v>
      </c>
      <c r="B34" s="41" t="s">
        <v>177</v>
      </c>
      <c r="C34" s="36">
        <f>VLOOKUP(A34,[14]Małopolski!$A$8:$C$68,3,FALSE)</f>
        <v>700</v>
      </c>
    </row>
    <row r="35" spans="1:3" ht="25" customHeight="1" x14ac:dyDescent="0.25">
      <c r="A35" s="39" t="s">
        <v>182</v>
      </c>
      <c r="B35" s="41" t="s">
        <v>183</v>
      </c>
      <c r="C35" s="36">
        <f>VLOOKUP(A35,[14]Małopolski!$A$8:$C$68,3,FALSE)</f>
        <v>61397</v>
      </c>
    </row>
    <row r="36" spans="1:3" s="45" customFormat="1" ht="25" customHeight="1" x14ac:dyDescent="0.25">
      <c r="A36" s="21" t="s">
        <v>56</v>
      </c>
      <c r="B36" s="43" t="s">
        <v>57</v>
      </c>
      <c r="C36" s="44">
        <f>VLOOKUP(A36,[14]Małopolski!$A$8:$C$68,3,FALSE)</f>
        <v>0</v>
      </c>
    </row>
    <row r="37" spans="1:3" s="45" customFormat="1" ht="25" customHeight="1" x14ac:dyDescent="0.25">
      <c r="A37" s="21" t="s">
        <v>55</v>
      </c>
      <c r="B37" s="43" t="s">
        <v>58</v>
      </c>
      <c r="C37" s="44">
        <f>VLOOKUP(A37,[14]Małopolski!$A$8:$C$68,3,FALSE)</f>
        <v>170800</v>
      </c>
    </row>
    <row r="38" spans="1:3" s="45" customFormat="1" ht="43.5" customHeight="1" x14ac:dyDescent="0.25">
      <c r="A38" s="21" t="s">
        <v>176</v>
      </c>
      <c r="B38" s="43" t="s">
        <v>178</v>
      </c>
      <c r="C38" s="44">
        <f>VLOOKUP(A38,[14]Małopolski!$A$8:$C$68,3,FALSE)</f>
        <v>76436</v>
      </c>
    </row>
    <row r="39" spans="1:3" s="45" customFormat="1" ht="25" customHeight="1" x14ac:dyDescent="0.25">
      <c r="A39" s="21" t="s">
        <v>190</v>
      </c>
      <c r="B39" s="43" t="s">
        <v>191</v>
      </c>
      <c r="C39" s="44">
        <v>0</v>
      </c>
    </row>
    <row r="40" spans="1:3" s="45" customFormat="1" ht="25" customHeight="1" x14ac:dyDescent="0.25">
      <c r="A40" s="21" t="s">
        <v>152</v>
      </c>
      <c r="B40" s="43" t="s">
        <v>193</v>
      </c>
      <c r="C40" s="44">
        <f>C11+C13+C24+C30</f>
        <v>1088857</v>
      </c>
    </row>
    <row r="41" spans="1:3" ht="25" customHeight="1" x14ac:dyDescent="0.25">
      <c r="A41" s="68" t="s">
        <v>130</v>
      </c>
      <c r="B41" s="43" t="s">
        <v>173</v>
      </c>
      <c r="C41" s="16">
        <f>C42+C43+C44+C52+C54+C60+C61+C59</f>
        <v>47442</v>
      </c>
    </row>
    <row r="42" spans="1:3" ht="25" customHeight="1" x14ac:dyDescent="0.25">
      <c r="A42" s="39" t="s">
        <v>16</v>
      </c>
      <c r="B42" s="41" t="s">
        <v>17</v>
      </c>
      <c r="C42" s="36">
        <f>VLOOKUP(A42,[14]Małopolski!$A$8:$C$68,3,FALSE)</f>
        <v>1958</v>
      </c>
    </row>
    <row r="43" spans="1:3" ht="25" customHeight="1" x14ac:dyDescent="0.25">
      <c r="A43" s="39" t="s">
        <v>18</v>
      </c>
      <c r="B43" s="41" t="s">
        <v>19</v>
      </c>
      <c r="C43" s="36">
        <f>VLOOKUP(A43,[14]Małopolski!$A$8:$C$68,3,FALSE)</f>
        <v>9950</v>
      </c>
    </row>
    <row r="44" spans="1:3" ht="25" customHeight="1" x14ac:dyDescent="0.25">
      <c r="A44" s="39" t="s">
        <v>20</v>
      </c>
      <c r="B44" s="46" t="s">
        <v>174</v>
      </c>
      <c r="C44" s="36">
        <f>VLOOKUP(A44,[14]Małopolski!$A$8:$C$68,3,FALSE)</f>
        <v>254</v>
      </c>
    </row>
    <row r="45" spans="1:3" ht="25" customHeight="1" x14ac:dyDescent="0.25">
      <c r="A45" s="39" t="s">
        <v>37</v>
      </c>
      <c r="B45" s="47" t="s">
        <v>30</v>
      </c>
      <c r="C45" s="36">
        <f>VLOOKUP(A45,[14]Małopolski!$A$8:$C$68,3,FALSE)</f>
        <v>27</v>
      </c>
    </row>
    <row r="46" spans="1:3" ht="25" customHeight="1" x14ac:dyDescent="0.25">
      <c r="A46" s="39" t="s">
        <v>38</v>
      </c>
      <c r="B46" s="48" t="s">
        <v>31</v>
      </c>
      <c r="C46" s="36">
        <f>VLOOKUP(A46,[14]Małopolski!$A$8:$C$68,3,FALSE)</f>
        <v>27</v>
      </c>
    </row>
    <row r="47" spans="1:3" ht="25" customHeight="1" x14ac:dyDescent="0.25">
      <c r="A47" s="39" t="s">
        <v>39</v>
      </c>
      <c r="B47" s="47" t="s">
        <v>32</v>
      </c>
      <c r="C47" s="36">
        <f>VLOOKUP(A47,[14]Małopolski!$A$8:$C$68,3,FALSE)</f>
        <v>57</v>
      </c>
    </row>
    <row r="48" spans="1:3" ht="25" customHeight="1" x14ac:dyDescent="0.25">
      <c r="A48" s="39" t="s">
        <v>40</v>
      </c>
      <c r="B48" s="47" t="s">
        <v>33</v>
      </c>
      <c r="C48" s="36">
        <f>VLOOKUP(A48,[14]Małopolski!$A$8:$C$68,3,FALSE)</f>
        <v>0</v>
      </c>
    </row>
    <row r="49" spans="1:3" ht="25" customHeight="1" x14ac:dyDescent="0.25">
      <c r="A49" s="39" t="s">
        <v>41</v>
      </c>
      <c r="B49" s="47" t="s">
        <v>34</v>
      </c>
      <c r="C49" s="36">
        <f>VLOOKUP(A49,[14]Małopolski!$A$8:$C$68,3,FALSE)</f>
        <v>0</v>
      </c>
    </row>
    <row r="50" spans="1:3" ht="25" customHeight="1" x14ac:dyDescent="0.25">
      <c r="A50" s="39" t="s">
        <v>42</v>
      </c>
      <c r="B50" s="47" t="s">
        <v>35</v>
      </c>
      <c r="C50" s="36">
        <f>VLOOKUP(A50,[14]Małopolski!$A$8:$C$68,3,FALSE)</f>
        <v>103</v>
      </c>
    </row>
    <row r="51" spans="1:3" ht="25" customHeight="1" x14ac:dyDescent="0.25">
      <c r="A51" s="39" t="s">
        <v>43</v>
      </c>
      <c r="B51" s="47" t="s">
        <v>36</v>
      </c>
      <c r="C51" s="36">
        <f>VLOOKUP(A51,[14]Małopolski!$A$8:$C$68,3,FALSE)</f>
        <v>67</v>
      </c>
    </row>
    <row r="52" spans="1:3" ht="25" customHeight="1" x14ac:dyDescent="0.25">
      <c r="A52" s="39" t="s">
        <v>21</v>
      </c>
      <c r="B52" s="41" t="s">
        <v>153</v>
      </c>
      <c r="C52" s="36">
        <f>'[7]F_wynagr-2020'!$V$11</f>
        <v>25305</v>
      </c>
    </row>
    <row r="53" spans="1:3" ht="25" customHeight="1" x14ac:dyDescent="0.25">
      <c r="A53" s="39" t="s">
        <v>154</v>
      </c>
      <c r="B53" s="47" t="s">
        <v>155</v>
      </c>
      <c r="C53" s="36">
        <f>VLOOKUP(A53,[14]Małopolski!$A$8:$C$68,3,FALSE)</f>
        <v>24</v>
      </c>
    </row>
    <row r="54" spans="1:3" ht="25" customHeight="1" x14ac:dyDescent="0.25">
      <c r="A54" s="39" t="s">
        <v>22</v>
      </c>
      <c r="B54" s="46" t="s">
        <v>170</v>
      </c>
      <c r="C54" s="36">
        <f>SUM(C55:C58)</f>
        <v>5667</v>
      </c>
    </row>
    <row r="55" spans="1:3" ht="25" customHeight="1" x14ac:dyDescent="0.25">
      <c r="A55" s="39" t="s">
        <v>48</v>
      </c>
      <c r="B55" s="47" t="s">
        <v>44</v>
      </c>
      <c r="C55" s="36">
        <f>'[7]Ub-społ 2020'!$I$11</f>
        <v>4344</v>
      </c>
    </row>
    <row r="56" spans="1:3" ht="25" customHeight="1" x14ac:dyDescent="0.25">
      <c r="A56" s="39" t="s">
        <v>49</v>
      </c>
      <c r="B56" s="47" t="s">
        <v>45</v>
      </c>
      <c r="C56" s="36">
        <f>'[7]Ub-społ 2020'!$L$11</f>
        <v>621</v>
      </c>
    </row>
    <row r="57" spans="1:3" ht="25" customHeight="1" x14ac:dyDescent="0.25">
      <c r="A57" s="39" t="s">
        <v>50</v>
      </c>
      <c r="B57" s="47" t="s">
        <v>46</v>
      </c>
      <c r="C57" s="36">
        <f>VLOOKUP(A57,[14]Małopolski!$A$8:$C$68,3,FALSE)</f>
        <v>0</v>
      </c>
    </row>
    <row r="58" spans="1:3" ht="25" customHeight="1" x14ac:dyDescent="0.25">
      <c r="A58" s="39" t="s">
        <v>51</v>
      </c>
      <c r="B58" s="47" t="s">
        <v>47</v>
      </c>
      <c r="C58" s="36">
        <f>'[7]Ub-społ 2020'!$P$11</f>
        <v>702</v>
      </c>
    </row>
    <row r="59" spans="1:3" ht="25" customHeight="1" x14ac:dyDescent="0.25">
      <c r="A59" s="39" t="s">
        <v>23</v>
      </c>
      <c r="B59" s="41" t="s">
        <v>24</v>
      </c>
      <c r="C59" s="36">
        <f>VLOOKUP(A59,[14]Małopolski!$A$8:$C$68,3,FALSE)</f>
        <v>0</v>
      </c>
    </row>
    <row r="60" spans="1:3" ht="25" customHeight="1" x14ac:dyDescent="0.25">
      <c r="A60" s="39" t="s">
        <v>25</v>
      </c>
      <c r="B60" s="41" t="s">
        <v>156</v>
      </c>
      <c r="C60" s="36">
        <f>VLOOKUP(A60,[14]Małopolski!$A$8:$C$68,3,FALSE)</f>
        <v>4000</v>
      </c>
    </row>
    <row r="61" spans="1:3" ht="25" customHeight="1" x14ac:dyDescent="0.25">
      <c r="A61" s="39" t="s">
        <v>26</v>
      </c>
      <c r="B61" s="41" t="s">
        <v>27</v>
      </c>
      <c r="C61" s="36">
        <f>VLOOKUP(A61,[14]Małopolski!$A$8:$C$68,3,FALSE)</f>
        <v>308</v>
      </c>
    </row>
    <row r="62" spans="1:3" ht="25" customHeight="1" x14ac:dyDescent="0.25">
      <c r="A62" s="14" t="s">
        <v>132</v>
      </c>
      <c r="B62" s="43" t="s">
        <v>157</v>
      </c>
      <c r="C62" s="16">
        <f>SUM(C63:C66)</f>
        <v>14415</v>
      </c>
    </row>
    <row r="63" spans="1:3" ht="25" customHeight="1" x14ac:dyDescent="0.25">
      <c r="A63" s="39" t="s">
        <v>99</v>
      </c>
      <c r="B63" s="41" t="s">
        <v>112</v>
      </c>
      <c r="C63" s="36">
        <f>VLOOKUP(A63,[14]Małopolski!$A$8:$C$68,3,FALSE)</f>
        <v>0</v>
      </c>
    </row>
    <row r="64" spans="1:3" ht="25" customHeight="1" x14ac:dyDescent="0.25">
      <c r="A64" s="39" t="s">
        <v>28</v>
      </c>
      <c r="B64" s="41" t="s">
        <v>53</v>
      </c>
      <c r="C64" s="36">
        <f>VLOOKUP(A64,[14]Małopolski!$A$8:$C$68,3,FALSE)</f>
        <v>11150</v>
      </c>
    </row>
    <row r="65" spans="1:3" ht="25" customHeight="1" x14ac:dyDescent="0.25">
      <c r="A65" s="39" t="s">
        <v>29</v>
      </c>
      <c r="B65" s="41" t="s">
        <v>101</v>
      </c>
      <c r="C65" s="36">
        <f>VLOOKUP(A65,[14]Małopolski!$A$8:$C$68,3,FALSE)</f>
        <v>0</v>
      </c>
    </row>
    <row r="66" spans="1:3" ht="25" customHeight="1" x14ac:dyDescent="0.25">
      <c r="A66" s="39" t="s">
        <v>100</v>
      </c>
      <c r="B66" s="41" t="s">
        <v>102</v>
      </c>
      <c r="C66" s="36">
        <f>VLOOKUP(A66,[14]Małopolski!$A$8:$C$68,3,FALSE)</f>
        <v>3265</v>
      </c>
    </row>
    <row r="67" spans="1:3" ht="25" customHeight="1" x14ac:dyDescent="0.25">
      <c r="A67" s="14" t="s">
        <v>134</v>
      </c>
      <c r="B67" s="43" t="s">
        <v>113</v>
      </c>
      <c r="C67" s="44">
        <f>VLOOKUP(A67,[14]Małopolski!$A$8:$C$68,3,FALSE)</f>
        <v>300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orientation="portrait" r:id="rId1"/>
  <headerFooter alignWithMargins="0">
    <oddFooter>&amp;R&amp;14&amp;P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Klimczak Mateusz</cp:lastModifiedBy>
  <cp:lastPrinted>2019-11-04T08:38:19Z</cp:lastPrinted>
  <dcterms:created xsi:type="dcterms:W3CDTF">2005-07-21T09:51:05Z</dcterms:created>
  <dcterms:modified xsi:type="dcterms:W3CDTF">2019-11-14T13:25:44Z</dcterms:modified>
</cp:coreProperties>
</file>