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7070" windowHeight="10965" activeTab="0"/>
  </bookViews>
  <sheets>
    <sheet name="16 - opolskie" sheetId="1" r:id="rId1"/>
    <sheet name="pow podst" sheetId="2" r:id="rId2"/>
    <sheet name="gm podst" sheetId="3" r:id="rId3"/>
    <sheet name="pow rez" sheetId="4" r:id="rId4"/>
    <sheet name="gm rez" sheetId="5" r:id="rId5"/>
  </sheets>
  <definedNames>
    <definedName name="_xlnm._FilterDatabase" localSheetId="2" hidden="1">'gm podst'!$A$2:$AC$53</definedName>
    <definedName name="_xlnm._FilterDatabase" localSheetId="4" hidden="1">'gm rez'!$A$2:$AB$54</definedName>
    <definedName name="_xlnm._FilterDatabase" localSheetId="1" hidden="1">'pow podst'!$A$2:$FC$22</definedName>
    <definedName name="_xlnm.Print_Area" localSheetId="0">'16 - opolskie'!$A$1:$O$37</definedName>
    <definedName name="_xlnm.Print_Area" localSheetId="2">'gm podst'!$A$1:$X$54</definedName>
    <definedName name="_xlnm.Print_Area" localSheetId="4">'gm rez'!$A$1:$X$58</definedName>
    <definedName name="_xlnm.Print_Area" localSheetId="1">'pow podst'!$A$1:$W$22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fullCalcOnLoad="1"/>
</workbook>
</file>

<file path=xl/sharedStrings.xml><?xml version="1.0" encoding="utf-8"?>
<sst xmlns="http://schemas.openxmlformats.org/spreadsheetml/2006/main" count="902" uniqueCount="366">
  <si>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</si>
  <si>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</si>
  <si>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</si>
  <si>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</si>
  <si>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</si>
  <si>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</si>
  <si>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</si>
  <si>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</si>
  <si>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</si>
  <si>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</si>
  <si>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</si>
  <si>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</si>
  <si>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</si>
  <si>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</si>
  <si>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</si>
  <si>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</si>
  <si>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</si>
  <si>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</si>
  <si>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</si>
  <si>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</si>
  <si>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</si>
  <si>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</si>
  <si>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</si>
  <si>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</si>
  <si>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</si>
  <si>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</si>
  <si>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</si>
  <si>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</si>
  <si>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</si>
  <si>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</si>
  <si>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</si>
  <si>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</si>
  <si>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</si>
  <si>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Zadanie wieloletnie [N/W]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</si>
  <si>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</si>
  <si>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</si>
  <si>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</si>
  <si>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</si>
  <si>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</si>
  <si>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</si>
  <si>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</si>
  <si>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</si>
  <si>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</si>
  <si>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</si>
  <si>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</si>
  <si>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</si>
  <si>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Powiat Nyski</t>
  </si>
  <si>
    <t>P</t>
  </si>
  <si>
    <t>K</t>
  </si>
  <si>
    <t>Powiat Brzeski</t>
  </si>
  <si>
    <t>Powiat Prudnicki</t>
  </si>
  <si>
    <t>Gmina Nysa</t>
  </si>
  <si>
    <t>Gmina Grodków</t>
  </si>
  <si>
    <t>N</t>
  </si>
  <si>
    <t>Gmina Brzeg</t>
  </si>
  <si>
    <t>Gmina Łubniany</t>
  </si>
  <si>
    <t>Powiat Opolski</t>
  </si>
  <si>
    <t>Powiat Oleski</t>
  </si>
  <si>
    <t>Powiat Strzelecki</t>
  </si>
  <si>
    <t>Powiat Namysłowski</t>
  </si>
  <si>
    <t>Powiat Krapkowicki</t>
  </si>
  <si>
    <t>Powiat Kędzierzyńsko - Kozielski</t>
  </si>
  <si>
    <t>Gmina Prudnik</t>
  </si>
  <si>
    <t>Gmina Popielów</t>
  </si>
  <si>
    <t>Gmina Świerczów</t>
  </si>
  <si>
    <t>Gmina Dobrzeń Wielki</t>
  </si>
  <si>
    <t>Gmina Gogolin</t>
  </si>
  <si>
    <t>Gmina Reńska Wieś</t>
  </si>
  <si>
    <t>Gmina Dobrodzień</t>
  </si>
  <si>
    <t>Gmina Pokój</t>
  </si>
  <si>
    <t>Gmina Korfantów</t>
  </si>
  <si>
    <t>Gmina Praszka</t>
  </si>
  <si>
    <t>Gmina Krapkowice</t>
  </si>
  <si>
    <t>Gmina Skoroszyce</t>
  </si>
  <si>
    <t>Gmina Namysłów</t>
  </si>
  <si>
    <t>Gmina Pawłowiczki</t>
  </si>
  <si>
    <t>Gmina Kietrz</t>
  </si>
  <si>
    <t>Gmina Kluczbork</t>
  </si>
  <si>
    <t>Powiat Głubczycki</t>
  </si>
  <si>
    <t>Powiat Kluczborski</t>
  </si>
  <si>
    <t>W</t>
  </si>
  <si>
    <t>Województwo: OPOLSKIE</t>
  </si>
  <si>
    <t>Gmina Głubczyce</t>
  </si>
  <si>
    <t>Gmina Byczyna</t>
  </si>
  <si>
    <t>Gmina Dąbrowa</t>
  </si>
  <si>
    <t>FDS/2020/G/7</t>
  </si>
  <si>
    <t>FDS/2020/G/52</t>
  </si>
  <si>
    <t>FDS/2020/G/13</t>
  </si>
  <si>
    <t>Gmina Olesno</t>
  </si>
  <si>
    <t>Gmina Paczków</t>
  </si>
  <si>
    <t>Gmina Biała</t>
  </si>
  <si>
    <t>Gmina Baborów</t>
  </si>
  <si>
    <t>Gmina Radłów</t>
  </si>
  <si>
    <t>FDS/2020/G/12</t>
  </si>
  <si>
    <t>Gmina Zdzieszowice</t>
  </si>
  <si>
    <t>Gmina Jemielnica</t>
  </si>
  <si>
    <t>FDS/2020/P/2</t>
  </si>
  <si>
    <t>Przebudowa ulicy Jana Pawła II w Brzegu</t>
  </si>
  <si>
    <t>Przebudowa drogi w Rynku w Nysie</t>
  </si>
  <si>
    <t>Budowa dróg w rejonie ulic Azalii i Prudnickiej w Krapkowicach</t>
  </si>
  <si>
    <t>Budowa drogi ul. Podkowińskiego, ul. Kantora wraz z łącznikiem, sieci kanalizacji deszczowej wraz z odprowadzeniem wód deszczowych do rowu melioracyjnejgo, przebudowa sieci wodociągowej, zjazdów indywidualnych i publicznych</t>
  </si>
  <si>
    <t>Remont drogi gminnej nr 105567 O Gąsiorowice - Łaziska ul. Młyńska w m. Gąsiorowice</t>
  </si>
  <si>
    <t>Długość odcinka (w km)</t>
  </si>
  <si>
    <t>B</t>
  </si>
  <si>
    <t>R</t>
  </si>
  <si>
    <t>okres realizacji zadania</t>
  </si>
  <si>
    <t>1607</t>
  </si>
  <si>
    <t xml:space="preserve">Lista zadań rekomendowanych do dofinansowania w ramach Rządowego Funduszu Rozwoju Dróg </t>
  </si>
  <si>
    <t>RFRD/2021/P/8</t>
  </si>
  <si>
    <t>RFRD/2021/P/11</t>
  </si>
  <si>
    <t>RFRD/2021/P/13</t>
  </si>
  <si>
    <t>RFRD/2021/P/1</t>
  </si>
  <si>
    <t>RFRD/2021/P/7</t>
  </si>
  <si>
    <t>RFRD/2021/P/14</t>
  </si>
  <si>
    <t>RFRD/2021/P/3</t>
  </si>
  <si>
    <t>RFRD/2021/P/12</t>
  </si>
  <si>
    <t>RFRD/2021/P/5</t>
  </si>
  <si>
    <t>RFRD/2021/P/10</t>
  </si>
  <si>
    <t>RFRD/2021/P/9</t>
  </si>
  <si>
    <t>Przebudowa drogi powiatowej nr 1522 O w zakresie budowy chodnika w miejscowości Goszczowice -  II etap</t>
  </si>
  <si>
    <t>Przebudowa drogi powiatowej nr 1673 O - ul. Henryka Sienkiewicza w Paczkowie</t>
  </si>
  <si>
    <t>Przebudowa drogi powiatowej nr 1934 O (DW 487 - Kol. Biskupska - Radłów - Wichrów - gr. woj. śląskiego/Krzepice) w miejscowości Wichrów</t>
  </si>
  <si>
    <t>Remont drogi powiatowej nr 1553 O na odcinku od km 1+600 do km 2+595 - (Żarów)</t>
  </si>
  <si>
    <t>Rozbudowa układu komunikacyjnego ulic Kozielskiej, Dolińskiej i Mickiewicza w Strzelcach Opolskich w zakresie przebudowy i rozbudowy dróg powiatowych nr 1805 O ul. Dolińskiej od km 0+40,85 do km 0+167,32 i nr 2275 O ul. Mickiewicza od km 0+000,00 do km 0+088,85</t>
  </si>
  <si>
    <t>Przebudowa drogi powiatowej nr 1923 O (Radłów - Żytniów - DK 42) w miejscowościach: Radłów, Psurów, Żytniów</t>
  </si>
  <si>
    <t>Remont odcinka drogi powiatowej nr 1343 O zlokalizowanego w miejscowości Wierzbica Górna</t>
  </si>
  <si>
    <t>Przebudowa drogi powiatowej nr 1113 O w m. Bukowa Śląska</t>
  </si>
  <si>
    <t>Remont drogi powiatowej nr 1450 O w Bierawie</t>
  </si>
  <si>
    <t>Remont odcinków dróg powiatowych nr 1652 O, 1658 O, 1669 O, 1670 O, 1676 O</t>
  </si>
  <si>
    <t>Remont odcinków dróg powiatowych nr 1526 O, 1530 O</t>
  </si>
  <si>
    <t>kwiecień 2022
wrzesień 2022</t>
  </si>
  <si>
    <t>marzec 2022
lipiec 2023</t>
  </si>
  <si>
    <t>marzec 2022
czerwiec 2023</t>
  </si>
  <si>
    <t>lipiec 2022
listopad 2022</t>
  </si>
  <si>
    <t>kwiecień 2022
listopad 2022</t>
  </si>
  <si>
    <t>czerwiec 2022
grudzień 2022</t>
  </si>
  <si>
    <t>maj 2022
wrzesień 2022</t>
  </si>
  <si>
    <t>marzec 2022
listopad 2022</t>
  </si>
  <si>
    <t>12*</t>
  </si>
  <si>
    <t>czerwiec 2021
czerwiec 2022</t>
  </si>
  <si>
    <t>RFRD/2021/P/2</t>
  </si>
  <si>
    <t>Przebudowa drogi powiatowej nr 1445 0 z w zakresie budowy chodnika w miejscowości Ćwiercie</t>
  </si>
  <si>
    <t>maj 2022
sierpień 2022</t>
  </si>
  <si>
    <t>PRZEBUDOWA ODCINKA DROGI POWIATOWEJ NR 1531 O w MIEJSCOWOŚCI WŁODARY</t>
  </si>
  <si>
    <t>RFRD/2021/G/24</t>
  </si>
  <si>
    <t>RFRD/2021/G/71</t>
  </si>
  <si>
    <t>RFRD/2021/G/22</t>
  </si>
  <si>
    <t>RFRD/2021/G/25</t>
  </si>
  <si>
    <t>RFRD/2021/G/56</t>
  </si>
  <si>
    <t>RFRD/2021/G/72</t>
  </si>
  <si>
    <t>RFRD/2021/G/63</t>
  </si>
  <si>
    <t>RFRD/2021/G/104</t>
  </si>
  <si>
    <t>RFRD/2021/G/47</t>
  </si>
  <si>
    <t>RFRD/2021/G/5</t>
  </si>
  <si>
    <t>RFRD/2021/G/6</t>
  </si>
  <si>
    <t>RFRD/2021/G/28</t>
  </si>
  <si>
    <t>RFRD/2021/G/90</t>
  </si>
  <si>
    <t>RFRD/2021/G/94</t>
  </si>
  <si>
    <t>RFRD/2021/G/107</t>
  </si>
  <si>
    <t>Gmina Kędzierzyn - Koźle</t>
  </si>
  <si>
    <t>powiat namysłowski</t>
  </si>
  <si>
    <t>powiat opolski</t>
  </si>
  <si>
    <t>Remont drogi gminnej - ul. Pamięci Sybiraków w Kędzierzynie - Koźlu</t>
  </si>
  <si>
    <t>Przebudowa drogi gminnej nr 108755 O w Dziećmarowie</t>
  </si>
  <si>
    <t>Rozbudowa drogi gminnej - ul. Żabienieckiej w Kędzierzynie - Koźlu - etap II</t>
  </si>
  <si>
    <t>Przebudowa drogi gminnej - ul. Juliusza Słowackiego w Kędzierzynie - Koźlu</t>
  </si>
  <si>
    <t>Przebudowa drogi gminnej nr 100931 O - ul. Bocznej w Praszce</t>
  </si>
  <si>
    <t>Przebudowa drogi gminnej nr 108744 O w Babicach</t>
  </si>
  <si>
    <t>Budowa drogi na terenie po byłym poligonie przy ul. Orląt Lwowskich</t>
  </si>
  <si>
    <t>Przebudowa drogi gminnej Biestrzykowice Dąbrowa</t>
  </si>
  <si>
    <t>Przebudowa drogi gminnej ulicy Świętego Jana w Grobnikach</t>
  </si>
  <si>
    <t>Remont odcinka drogi gminnej ul. Polnej wraz z włączeniem skrzyżowania- etap I</t>
  </si>
  <si>
    <t>Remont odcinka drogi gminnej ul. Polnej</t>
  </si>
  <si>
    <t>Przebudowa ul. ks. Gładysza w Dobrodzieniu wraz z niezbędną infrastrukturą</t>
  </si>
  <si>
    <t>Przebudowa ulicy Powstańców w Gogolinie, droga gminna nr 106135 O</t>
  </si>
  <si>
    <t>Przebudowa ul. Akacjowej - droga gminna numer 102614 O m. Kępa, Gmina Łubniany</t>
  </si>
  <si>
    <t>Budowa dróg gminnych - ulicy Klonowej, Sosnowej i Kasztanowej w Namysłowie wraz z kanalizacją deszczową i oświetleniem</t>
  </si>
  <si>
    <t>sierpień 2022
listopad 2022</t>
  </si>
  <si>
    <t>kwiecień 2022
grudzień 2022</t>
  </si>
  <si>
    <t>maj 2022
grudzień 2022</t>
  </si>
  <si>
    <t>marzec 2022
lipiec 2022</t>
  </si>
  <si>
    <t>lipiec 2022
grudzień 2022</t>
  </si>
  <si>
    <t>lipiec 2022
lipiec 2023</t>
  </si>
  <si>
    <t>RFRD/2021/G/23</t>
  </si>
  <si>
    <t>RFRD/2021/G/57</t>
  </si>
  <si>
    <t>RFRD/2021/G/95</t>
  </si>
  <si>
    <t>RFRD/2021/G/38</t>
  </si>
  <si>
    <t>RFRD/2021/G/39</t>
  </si>
  <si>
    <t>RFRD/2021/G/85</t>
  </si>
  <si>
    <t>RFRD/2021/G/58</t>
  </si>
  <si>
    <t>RFRD/2021/G/21</t>
  </si>
  <si>
    <t>RFRD/2021/G/51</t>
  </si>
  <si>
    <t>RFRD/2021/G/76</t>
  </si>
  <si>
    <t>RFRD/2021/G/100</t>
  </si>
  <si>
    <t>RFRD/2021/G/12</t>
  </si>
  <si>
    <t>RFRD/2021/G/43</t>
  </si>
  <si>
    <t>RFRD/2021/G/45</t>
  </si>
  <si>
    <t>RFRD/2021/G/46</t>
  </si>
  <si>
    <t>Gmina Branice</t>
  </si>
  <si>
    <t>Gmina Głuchołazy</t>
  </si>
  <si>
    <t>Gmina Tarnów Opolski</t>
  </si>
  <si>
    <t>Przebudowa i rozbudowa drogi gminnej - ul. Dworcowej w Kędzierzynie - Koźlu</t>
  </si>
  <si>
    <t>Przebudowa ul. Brzozowej w Naroku</t>
  </si>
  <si>
    <t>Przebudowa drogi gminnej ulicy Ogrodowej, ulicy Słonecznej, ulicy Szkolnej w Branicach</t>
  </si>
  <si>
    <t>Rozbudowa drogi gminnej w Bodzanowie</t>
  </si>
  <si>
    <t>Remont nawierzchni bitumicznej Al. Jana Pawła II w Głuchołazach</t>
  </si>
  <si>
    <t>Przebudowa drogi ul. Sportowej w m. Kępa</t>
  </si>
  <si>
    <t>Przebudowa ul.Wiejskiej i ul. Wiosennej w Niewodnikach</t>
  </si>
  <si>
    <t>powiat krapkowicki</t>
  </si>
  <si>
    <t>Budowa ulicy Meblarskiej w Krapkowicach</t>
  </si>
  <si>
    <t>Remont nawierzchni jezdni, chodników i krawędzi w ciągu ulicy Słonecznej w Byczynie</t>
  </si>
  <si>
    <t>Przebudowa drogi wewnętrznej na części działki nr 1536 w Kamienicy</t>
  </si>
  <si>
    <t>Remont drogi wewnętrznej położonej w Dziewiętlicach na dz. nr 504</t>
  </si>
  <si>
    <t>Przebudowa ul. Kościelnej w m. Kosorowice</t>
  </si>
  <si>
    <t>Przebudowa ul. Klubowej w Grodkowie</t>
  </si>
  <si>
    <t>Przebudowa drogi gminnej nr 108428 O ulicy Ogrodowej i nr 108430 O ulicy Polnej w Ostrożnicy</t>
  </si>
  <si>
    <t>Budowa ulicy Słonecznej w Gościęcinie -  II etap</t>
  </si>
  <si>
    <t>maj 2022
październik 2022</t>
  </si>
  <si>
    <t>marzec 2022
grudzień 2022</t>
  </si>
  <si>
    <t>luty 2022
listopad 2022</t>
  </si>
  <si>
    <t>maj 2022
listopad 2022</t>
  </si>
  <si>
    <t>lipiec 2022
październik 2022</t>
  </si>
  <si>
    <t>kwiecień 2022
czerwiec 2022</t>
  </si>
  <si>
    <t>kwiecień 2022
październik 2022</t>
  </si>
  <si>
    <t>RFRD/2021/G/54</t>
  </si>
  <si>
    <t>RFRD/2021/G/61</t>
  </si>
  <si>
    <t>RFRD/2021/G/55</t>
  </si>
  <si>
    <t>RFRD/2021/G/26</t>
  </si>
  <si>
    <t>Przebudowa drogi gminnej nr 101226 O Boroszów - Radłów od km 2+600 do km 4+300</t>
  </si>
  <si>
    <t>Remont drogi gminnej - ul. Lubieńska w miejscowości Popielów</t>
  </si>
  <si>
    <t>Przebudowa drogi gminnej w miejscowości Wilków</t>
  </si>
  <si>
    <t>Przebudowa drogi gminnej ulicy Stromej w miejscowości Głubczyce</t>
  </si>
  <si>
    <t>Przebudowa drogi gminnej nr 100961 O - ul. Powstańców Śląskich w Praszce</t>
  </si>
  <si>
    <t>Budowa odcinka drogi dojazdowej do gruntów rolnych - Jełowa ulica Brzozowa dz. Nr 165 k.m., 5, 66, 67, 211/64, 500/61, 501/61 k.m.6</t>
  </si>
  <si>
    <t>Remont ul. Reymonta w Brzegu</t>
  </si>
  <si>
    <t>czerwiec 2022
wrzesień 2023</t>
  </si>
  <si>
    <t>RFRD/2021/G/27</t>
  </si>
  <si>
    <t>RFRD/2021/G/4</t>
  </si>
  <si>
    <t>RFRD/2021/G/50</t>
  </si>
  <si>
    <t>RFRD/2021/G/97</t>
  </si>
  <si>
    <t>RFRD/2021/G/18</t>
  </si>
  <si>
    <t>RFRD/2021/G/20</t>
  </si>
  <si>
    <t>Gmina Walce</t>
  </si>
  <si>
    <t>Przebudowa ul. Szkolnej w Bzinicy Nowej (II etap)</t>
  </si>
  <si>
    <t>Przebudowa drogi wewnętrznej w miejscowości Kuźnica Ligocka</t>
  </si>
  <si>
    <t>Remont drogi gminnej - ul. Kolejowa w Komornie</t>
  </si>
  <si>
    <t>Remont drogi gminnej w Zabierzowie</t>
  </si>
  <si>
    <t>Remont drogi gminnej nr 101605 O w miejscowości Dąbrówka Dolna o długości 257,0 m</t>
  </si>
  <si>
    <t>Budowa drogi gminnej ul. Strażackiej w miejscowości Dąbrówka Górna</t>
  </si>
  <si>
    <t>czerwiec 2022 - listopad 2022</t>
  </si>
  <si>
    <t>czerwiec 2022
wrzesień 2022</t>
  </si>
  <si>
    <t>RFRD/2021/G/53</t>
  </si>
  <si>
    <t>RFRD/2021/G/16</t>
  </si>
  <si>
    <t>RFRD/2021/G/69</t>
  </si>
  <si>
    <t>RFRD/2021/G/1</t>
  </si>
  <si>
    <t>RFRD/2021/G/29</t>
  </si>
  <si>
    <t>RFRD/2021/G/92</t>
  </si>
  <si>
    <t>RFRD/2021/G/14</t>
  </si>
  <si>
    <t>RFRD/2021/G/31</t>
  </si>
  <si>
    <t>RFRD/2021/G/62</t>
  </si>
  <si>
    <t>RFRD/2021/G/74</t>
  </si>
  <si>
    <t>RFRD/2021/G/106</t>
  </si>
  <si>
    <t>Przebudowa drogi gminnej nr 101109 O Radłów - Nowe Karmonki od km 0+000 do km 2+266</t>
  </si>
  <si>
    <t>Remont drogi gminnej nr 101614 O w miejscowości Krogulna o długości 1136,0 m</t>
  </si>
  <si>
    <t>Gmina Kamiennik</t>
  </si>
  <si>
    <t>Przebudowa drogi gminnej 104502 O Gmina Kamiennik</t>
  </si>
  <si>
    <t>Budowa ul. Jaśminowej w Dobrodzieniu wraz z niezbędną infrastrukturą</t>
  </si>
  <si>
    <t>Rozbudowa dróg w Chróścinie - ul. Słoneczna, Leśna, Cicha i części ul. Kasztanowej</t>
  </si>
  <si>
    <t>Remont drogi gminnej w Rogożanach</t>
  </si>
  <si>
    <t>Remont ul. Kwiatowej w Kluczborku</t>
  </si>
  <si>
    <t>Remont drogi gminnej - ul. Żabnik w Długomiłowicach</t>
  </si>
  <si>
    <t>Budowa drogi w miejscowości Dębowiec</t>
  </si>
  <si>
    <t>Budowa ul. Kościelnej w Głuszynie</t>
  </si>
  <si>
    <t>wrzesień 2022
lipiec 2023</t>
  </si>
  <si>
    <t>RFRD/2021/G/67</t>
  </si>
  <si>
    <t>RFRD/2021/G/96</t>
  </si>
  <si>
    <t>RFRD/2021/G/7</t>
  </si>
  <si>
    <t>RFRD/2021/G/13</t>
  </si>
  <si>
    <t>RFRD/2021/G/82</t>
  </si>
  <si>
    <t>RFRD/2021/G/108</t>
  </si>
  <si>
    <t>RFRD/2021/G/105</t>
  </si>
  <si>
    <t>RFRD/2021/G/68</t>
  </si>
  <si>
    <t>RFRD/2021/G/80</t>
  </si>
  <si>
    <t>RFRD/2021/G/91</t>
  </si>
  <si>
    <t>RFRD/2021/G/49</t>
  </si>
  <si>
    <t>RFRD/2021/G/30</t>
  </si>
  <si>
    <t>RFRD/2021/G/36</t>
  </si>
  <si>
    <t>RFRD/2021/G/41</t>
  </si>
  <si>
    <t>RFRD/2021/G/40</t>
  </si>
  <si>
    <t>RFRD/2021/G/32</t>
  </si>
  <si>
    <t>RFRD/2021/G/33</t>
  </si>
  <si>
    <t>RFRD/2021/G/34</t>
  </si>
  <si>
    <t>RFRD/2021/G/35</t>
  </si>
  <si>
    <t>RFRD/2021/G/37</t>
  </si>
  <si>
    <t>Przebudowa drogi gminnej ul. Krótkiej w m. Jemielnica</t>
  </si>
  <si>
    <t>Remont ulicy Grobla i Krzewiaki w Walcach</t>
  </si>
  <si>
    <t>Przebudowa drogi dojazdowej, od ul. Stobrówki do oczyszczalni ścieków w Oleśnie</t>
  </si>
  <si>
    <t>Przebudowa drogi gminnej w ciągu ul. Różanej i Traugutta w Kietrzu</t>
  </si>
  <si>
    <t>Przebudowa ul. Krótkiej - droga gminna nr 102607 O m. Kępa, Gmina Łubniany</t>
  </si>
  <si>
    <t>Przebudowa dróg w miejscowości Smarchowice Wielkie</t>
  </si>
  <si>
    <t>Przebudowa drogi gminnej nr 108468 O w Maciowakrzu</t>
  </si>
  <si>
    <t>Przebudowa dróg - ul. Dębowej i Lipowej w miejscowości Jemielnica wraz z budową odwodnienia</t>
  </si>
  <si>
    <t>Gmina Murów</t>
  </si>
  <si>
    <t>Przebudowa drogi wewnętrznej w miejscowości Kały</t>
  </si>
  <si>
    <t>Przebudowa drogi w miejscowości Giełczyce</t>
  </si>
  <si>
    <t>Budowa drogi gminnej - ul. Pogodna w Większycach</t>
  </si>
  <si>
    <t>Remont drogi gminnej nr 106028 O, ul. Młyńska w Krępnej</t>
  </si>
  <si>
    <t>Remont nawierzchni asfaltowej ul. Ogińskiego w Głuchołazach</t>
  </si>
  <si>
    <t xml:space="preserve">Remont nawierzchni asfaltowej ul. Kopernika </t>
  </si>
  <si>
    <t>Remont nawierzchni asfaltowej ul. Kolejowa w Głuchołazach</t>
  </si>
  <si>
    <t>Remont nawierzchni bitumicznej ul. Wyspiańskiego w Głuchołazach</t>
  </si>
  <si>
    <t>Remont nawierzchni asfaltowej ul. Poprzeczna w Głuchołazach</t>
  </si>
  <si>
    <t>Remont nawierzchni asfaltowej na ul. Parkowej w Głuchołazach</t>
  </si>
  <si>
    <t>Remont nawierzchni asfaltowej ul. Mickiewicza w Głuchołazach</t>
  </si>
  <si>
    <t>Remont nawierzchni asfaltowej ul. Okulickiego w Głuchołazach</t>
  </si>
  <si>
    <t>kwiecień 2022 - lipiec 2022</t>
  </si>
  <si>
    <t>kwiecień 2022 październik 2022</t>
  </si>
  <si>
    <t>wrzesień 2022
wrzesień 2023</t>
  </si>
  <si>
    <t>grudzień 2022
grudzień 2023</t>
  </si>
  <si>
    <t>marzec 2022
październik 2022</t>
  </si>
  <si>
    <t>marzec 2022 październik 2023</t>
  </si>
  <si>
    <t>czerwiec 2021  październik 2023</t>
  </si>
  <si>
    <t>czerwiec 2021 
wrzesień 2022</t>
  </si>
  <si>
    <t>czerwiec 2021 
grudzień 2022</t>
  </si>
  <si>
    <t>kwiecień 2021
sierpień 2022</t>
  </si>
  <si>
    <t>czerwiec 2022 grudzień2022</t>
  </si>
  <si>
    <r>
      <t>Dofinansowanie przyznane w naborze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29 LIPCA-28 SIERPNIA 2021 R. </t>
    </r>
  </si>
  <si>
    <t>RFRD/2021/G/11</t>
  </si>
  <si>
    <t>Remont dróg gminnych ul. Szkolnej i ul. Staszica w Prudniku</t>
  </si>
  <si>
    <t>RFRD/2021/G/10</t>
  </si>
  <si>
    <t>Gmina Kolonowskie</t>
  </si>
  <si>
    <t>Przebudowa ulicy Dzierżonia w miejscowości Kolonowskie - Fosowskie</t>
  </si>
  <si>
    <t>Przebudowa drogi wewnętrznej położonej w Dziewiętlicach na działkach nr 496 i 498</t>
  </si>
  <si>
    <t>RFRD/2021/G/52</t>
  </si>
  <si>
    <t>Remont ulicy Brzozowej i utrwadzenie ulicy Polnej w Byczynie</t>
  </si>
  <si>
    <t>lipiec 2022
wrzesień 2022</t>
  </si>
  <si>
    <t>RFRD/2021/G/101</t>
  </si>
  <si>
    <t>Przebudowa drogi wewnętrznej położonej w Dziewiętlicach na części działki nr 510/2</t>
  </si>
  <si>
    <t>kwiecień 2022
sierpień 2022</t>
  </si>
  <si>
    <t>RFRD/2021/G/79</t>
  </si>
  <si>
    <t>Przebudowa drogi gminnej nr 101406 O ul. Polnej w miejscowości Dębiniec</t>
  </si>
  <si>
    <t>RFRD/2021/G/64</t>
  </si>
  <si>
    <t>Gmina Otmuchów</t>
  </si>
  <si>
    <t>Przebudowa drogi wewnętrznej położonej w miejscowości Otmuchów obręb Wójcice na działce ewidencyjnej nr 421/3</t>
  </si>
  <si>
    <t>luty 2022
grudzień 2022</t>
  </si>
  <si>
    <t>RFRD/2021/G/102</t>
  </si>
  <si>
    <t>Gmina Zawadzkie</t>
  </si>
  <si>
    <t>Remont nawierzchni jezdni i chodników ulicy 1 Maja w Zawadzkiem wraz z przedudową kanalizacji deszczowej</t>
  </si>
  <si>
    <t>RFRD/2021/G/87</t>
  </si>
  <si>
    <t>Przebudowa drogi gminnej łączącej ulice Paderewskiego i Handlową w Zawadzkiem</t>
  </si>
  <si>
    <t>styczeń 2022
październik 2022</t>
  </si>
  <si>
    <t>maj 2022
czerwiec 2023</t>
  </si>
  <si>
    <t>marzec 2022
wrzesień 2022</t>
  </si>
  <si>
    <t>listopad 2021
listopad 2022</t>
  </si>
  <si>
    <t>czerwiec 2021
maj 2022</t>
  </si>
  <si>
    <t>RFRD/2021/G/48 zadanie przeniesione z listy rezerwowej</t>
  </si>
  <si>
    <t>RFRD/2021/G/83 zadanie przeniesione z listy rezerwowej</t>
  </si>
  <si>
    <t>RFRD/2021/G/99 zadanie przeniesione z listy rezerwowej</t>
  </si>
  <si>
    <t>RFRD/2021/G/44 zadanie przeniesione z listy rezerwowej</t>
  </si>
  <si>
    <t>43*</t>
  </si>
  <si>
    <t>REZYGNACJA</t>
  </si>
  <si>
    <t>RFRD/2021/G/48 zadanie przeniesione na listę podstawową</t>
  </si>
  <si>
    <t>RFRD/2021/G/83 zadanie przeniesione na listę podstawową</t>
  </si>
  <si>
    <t>RFRD/2021/G/99 zadanie przeniesione na listę podstawową</t>
  </si>
  <si>
    <t>RFRD/2021/G/44 zadanie przeniesione na listę podstawową</t>
  </si>
  <si>
    <t>Lista zmieniona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</si>
</sst>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0"/>
    <numFmt numFmtId="168" formatCode="#,##0.00_ ;\-#,##0.00\ "/>
    <numFmt numFmtId="169" formatCode="0.000"/>
    <numFmt numFmtId="170" formatCode="0.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 CE"/>
      <family val="0"/>
    </font>
    <font>
      <sz val="10"/>
      <name val="MS Sans Serif"/>
      <family val="2"/>
    </font>
    <font>
      <sz val="10"/>
      <name val="Arial CE"/>
      <family val="0"/>
    </font>
    <font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8"/>
      <color indexed="53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Arial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sz val="8"/>
      <color theme="5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9"/>
      <name val="Times New Roman"/>
      <family val="1"/>
    </font>
    <font>
      <sz val="11"/>
      <color rgb="FF0080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theme="5" tint="-0.24997000396251678"/>
      <name val="Arial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6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67" applyFont="1" applyFill="1" applyAlignment="1">
      <alignment vertical="center"/>
      <protection/>
    </xf>
    <xf numFmtId="0" fontId="67" fillId="0" borderId="0" xfId="67" applyFont="1" applyFill="1" applyAlignment="1">
      <alignment vertical="center"/>
      <protection/>
    </xf>
    <xf numFmtId="0" fontId="2" fillId="0" borderId="0" xfId="0" applyFont="1" applyAlignment="1">
      <alignment/>
    </xf>
    <xf numFmtId="0" fontId="68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68" fillId="0" borderId="0" xfId="0" applyFont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83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6" fontId="7" fillId="33" borderId="11" xfId="0" applyNumberFormat="1" applyFont="1" applyFill="1" applyBorder="1" applyAlignment="1">
      <alignment vertical="center"/>
    </xf>
    <xf numFmtId="166" fontId="69" fillId="33" borderId="11" xfId="0" applyNumberFormat="1" applyFont="1" applyFill="1" applyBorder="1" applyAlignment="1">
      <alignment vertical="center"/>
    </xf>
    <xf numFmtId="166" fontId="69" fillId="2" borderId="10" xfId="0" applyNumberFormat="1" applyFont="1" applyFill="1" applyBorder="1" applyAlignment="1">
      <alignment vertical="center"/>
    </xf>
    <xf numFmtId="166" fontId="7" fillId="34" borderId="10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0" fillId="0" borderId="13" xfId="0" applyFont="1" applyBorder="1" applyAlignment="1">
      <alignment vertical="center"/>
    </xf>
    <xf numFmtId="166" fontId="7" fillId="34" borderId="14" xfId="0" applyNumberFormat="1" applyFont="1" applyFill="1" applyBorder="1" applyAlignment="1">
      <alignment vertical="center"/>
    </xf>
    <xf numFmtId="0" fontId="69" fillId="2" borderId="15" xfId="0" applyNumberFormat="1" applyFont="1" applyFill="1" applyBorder="1" applyAlignment="1">
      <alignment vertical="center"/>
    </xf>
    <xf numFmtId="0" fontId="7" fillId="2" borderId="15" xfId="0" applyNumberFormat="1" applyFont="1" applyFill="1" applyBorder="1" applyAlignment="1">
      <alignment vertical="center"/>
    </xf>
    <xf numFmtId="0" fontId="7" fillId="34" borderId="15" xfId="0" applyNumberFormat="1" applyFont="1" applyFill="1" applyBorder="1" applyAlignment="1">
      <alignment vertical="center"/>
    </xf>
    <xf numFmtId="0" fontId="70" fillId="14" borderId="15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horizontal="left" vertical="center" indent="2"/>
    </xf>
    <xf numFmtId="166" fontId="69" fillId="2" borderId="16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6" fontId="7" fillId="34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6" fontId="69" fillId="2" borderId="15" xfId="0" applyNumberFormat="1" applyFont="1" applyFill="1" applyBorder="1" applyAlignment="1">
      <alignment vertical="center"/>
    </xf>
    <xf numFmtId="166" fontId="7" fillId="2" borderId="15" xfId="0" applyNumberFormat="1" applyFont="1" applyFill="1" applyBorder="1" applyAlignment="1">
      <alignment vertical="center"/>
    </xf>
    <xf numFmtId="166" fontId="7" fillId="34" borderId="15" xfId="0" applyNumberFormat="1" applyFont="1" applyFill="1" applyBorder="1" applyAlignment="1">
      <alignment vertical="center"/>
    </xf>
    <xf numFmtId="166" fontId="70" fillId="14" borderId="15" xfId="0" applyNumberFormat="1" applyFont="1" applyFill="1" applyBorder="1" applyAlignment="1">
      <alignment vertical="center"/>
    </xf>
    <xf numFmtId="166" fontId="70" fillId="33" borderId="1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6" fontId="7" fillId="33" borderId="2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166" fontId="7" fillId="0" borderId="24" xfId="0" applyNumberFormat="1" applyFont="1" applyFill="1" applyBorder="1" applyAlignment="1">
      <alignment vertical="center"/>
    </xf>
    <xf numFmtId="166" fontId="7" fillId="0" borderId="25" xfId="0" applyNumberFormat="1" applyFont="1" applyFill="1" applyBorder="1" applyAlignment="1">
      <alignment vertical="center"/>
    </xf>
    <xf numFmtId="166" fontId="7" fillId="33" borderId="26" xfId="0" applyNumberFormat="1" applyFon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0" fontId="69" fillId="0" borderId="27" xfId="0" applyFont="1" applyFill="1" applyBorder="1" applyAlignment="1">
      <alignment horizontal="left" vertical="center" wrapText="1" indent="2"/>
    </xf>
    <xf numFmtId="0" fontId="7" fillId="0" borderId="27" xfId="0" applyFont="1" applyFill="1" applyBorder="1" applyAlignment="1">
      <alignment horizontal="left" vertical="center" indent="2"/>
    </xf>
    <xf numFmtId="0" fontId="69" fillId="0" borderId="28" xfId="0" applyFont="1" applyFill="1" applyBorder="1" applyAlignment="1">
      <alignment horizontal="left" vertical="center" indent="2"/>
    </xf>
    <xf numFmtId="166" fontId="69" fillId="33" borderId="29" xfId="0" applyNumberFormat="1" applyFont="1" applyFill="1" applyBorder="1" applyAlignment="1">
      <alignment vertical="center"/>
    </xf>
    <xf numFmtId="0" fontId="71" fillId="2" borderId="22" xfId="0" applyFont="1" applyFill="1" applyBorder="1" applyAlignment="1">
      <alignment vertical="center"/>
    </xf>
    <xf numFmtId="0" fontId="71" fillId="2" borderId="23" xfId="0" applyNumberFormat="1" applyFont="1" applyFill="1" applyBorder="1" applyAlignment="1">
      <alignment vertical="center"/>
    </xf>
    <xf numFmtId="166" fontId="71" fillId="2" borderId="24" xfId="0" applyNumberFormat="1" applyFont="1" applyFill="1" applyBorder="1" applyAlignment="1">
      <alignment vertical="center"/>
    </xf>
    <xf numFmtId="166" fontId="71" fillId="2" borderId="25" xfId="0" applyNumberFormat="1" applyFont="1" applyFill="1" applyBorder="1" applyAlignment="1">
      <alignment vertical="center"/>
    </xf>
    <xf numFmtId="166" fontId="71" fillId="33" borderId="26" xfId="0" applyNumberFormat="1" applyFont="1" applyFill="1" applyBorder="1" applyAlignment="1">
      <alignment vertical="center"/>
    </xf>
    <xf numFmtId="166" fontId="71" fillId="2" borderId="23" xfId="0" applyNumberFormat="1" applyFont="1" applyFill="1" applyBorder="1" applyAlignment="1">
      <alignment vertical="center"/>
    </xf>
    <xf numFmtId="0" fontId="69" fillId="2" borderId="27" xfId="0" applyFont="1" applyFill="1" applyBorder="1" applyAlignment="1">
      <alignment horizontal="left" vertical="center" wrapText="1" indent="2"/>
    </xf>
    <xf numFmtId="0" fontId="7" fillId="2" borderId="27" xfId="0" applyFont="1" applyFill="1" applyBorder="1" applyAlignment="1">
      <alignment horizontal="left" vertical="center" indent="2"/>
    </xf>
    <xf numFmtId="0" fontId="69" fillId="2" borderId="28" xfId="0" applyFont="1" applyFill="1" applyBorder="1" applyAlignment="1">
      <alignment horizontal="left" vertical="center" indent="2"/>
    </xf>
    <xf numFmtId="0" fontId="69" fillId="2" borderId="30" xfId="0" applyNumberFormat="1" applyFont="1" applyFill="1" applyBorder="1" applyAlignment="1">
      <alignment vertical="center"/>
    </xf>
    <xf numFmtId="166" fontId="69" fillId="2" borderId="31" xfId="0" applyNumberFormat="1" applyFont="1" applyFill="1" applyBorder="1" applyAlignment="1">
      <alignment vertical="center"/>
    </xf>
    <xf numFmtId="166" fontId="69" fillId="2" borderId="32" xfId="0" applyNumberFormat="1" applyFont="1" applyFill="1" applyBorder="1" applyAlignment="1">
      <alignment vertical="center"/>
    </xf>
    <xf numFmtId="166" fontId="69" fillId="2" borderId="30" xfId="0" applyNumberFormat="1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33" xfId="0" applyNumberFormat="1" applyFont="1" applyFill="1" applyBorder="1" applyAlignment="1">
      <alignment vertical="center"/>
    </xf>
    <xf numFmtId="166" fontId="7" fillId="34" borderId="34" xfId="0" applyNumberFormat="1" applyFont="1" applyFill="1" applyBorder="1" applyAlignment="1">
      <alignment vertical="center"/>
    </xf>
    <xf numFmtId="166" fontId="7" fillId="34" borderId="35" xfId="0" applyNumberFormat="1" applyFont="1" applyFill="1" applyBorder="1" applyAlignment="1">
      <alignment vertical="center"/>
    </xf>
    <xf numFmtId="166" fontId="7" fillId="34" borderId="33" xfId="0" applyNumberFormat="1" applyFont="1" applyFill="1" applyBorder="1" applyAlignment="1">
      <alignment vertical="center"/>
    </xf>
    <xf numFmtId="166" fontId="7" fillId="34" borderId="36" xfId="0" applyNumberFormat="1" applyFont="1" applyFill="1" applyBorder="1" applyAlignment="1">
      <alignment vertical="center"/>
    </xf>
    <xf numFmtId="0" fontId="69" fillId="34" borderId="37" xfId="0" applyFont="1" applyFill="1" applyBorder="1" applyAlignment="1">
      <alignment horizontal="left" vertical="center" indent="2"/>
    </xf>
    <xf numFmtId="0" fontId="69" fillId="34" borderId="18" xfId="0" applyNumberFormat="1" applyFont="1" applyFill="1" applyBorder="1" applyAlignment="1">
      <alignment vertical="center"/>
    </xf>
    <xf numFmtId="166" fontId="69" fillId="34" borderId="19" xfId="0" applyNumberFormat="1" applyFont="1" applyFill="1" applyBorder="1" applyAlignment="1">
      <alignment vertical="center"/>
    </xf>
    <xf numFmtId="166" fontId="69" fillId="34" borderId="38" xfId="0" applyNumberFormat="1" applyFont="1" applyFill="1" applyBorder="1" applyAlignment="1">
      <alignment vertical="center"/>
    </xf>
    <xf numFmtId="166" fontId="69" fillId="33" borderId="37" xfId="0" applyNumberFormat="1" applyFont="1" applyFill="1" applyBorder="1" applyAlignment="1">
      <alignment vertical="center"/>
    </xf>
    <xf numFmtId="166" fontId="69" fillId="34" borderId="18" xfId="0" applyNumberFormat="1" applyFont="1" applyFill="1" applyBorder="1" applyAlignment="1">
      <alignment vertical="center"/>
    </xf>
    <xf numFmtId="166" fontId="69" fillId="34" borderId="20" xfId="0" applyNumberFormat="1" applyFont="1" applyFill="1" applyBorder="1" applyAlignment="1">
      <alignment vertical="center"/>
    </xf>
    <xf numFmtId="0" fontId="7" fillId="14" borderId="22" xfId="0" applyFont="1" applyFill="1" applyBorder="1" applyAlignment="1">
      <alignment vertical="center"/>
    </xf>
    <xf numFmtId="0" fontId="70" fillId="14" borderId="23" xfId="0" applyNumberFormat="1" applyFont="1" applyFill="1" applyBorder="1" applyAlignment="1">
      <alignment vertical="center"/>
    </xf>
    <xf numFmtId="166" fontId="70" fillId="14" borderId="24" xfId="0" applyNumberFormat="1" applyFont="1" applyFill="1" applyBorder="1" applyAlignment="1">
      <alignment vertical="center"/>
    </xf>
    <xf numFmtId="166" fontId="70" fillId="14" borderId="25" xfId="0" applyNumberFormat="1" applyFont="1" applyFill="1" applyBorder="1" applyAlignment="1">
      <alignment vertical="center"/>
    </xf>
    <xf numFmtId="166" fontId="70" fillId="33" borderId="26" xfId="0" applyNumberFormat="1" applyFont="1" applyFill="1" applyBorder="1" applyAlignment="1">
      <alignment vertical="center"/>
    </xf>
    <xf numFmtId="166" fontId="70" fillId="14" borderId="23" xfId="0" applyNumberFormat="1" applyFont="1" applyFill="1" applyBorder="1" applyAlignment="1">
      <alignment vertical="center"/>
    </xf>
    <xf numFmtId="166" fontId="70" fillId="14" borderId="39" xfId="0" applyNumberFormat="1" applyFont="1" applyFill="1" applyBorder="1" applyAlignment="1">
      <alignment vertical="center"/>
    </xf>
    <xf numFmtId="0" fontId="7" fillId="14" borderId="27" xfId="0" applyFont="1" applyFill="1" applyBorder="1" applyAlignment="1">
      <alignment horizontal="left" vertical="center" indent="2"/>
    </xf>
    <xf numFmtId="0" fontId="69" fillId="14" borderId="28" xfId="0" applyFont="1" applyFill="1" applyBorder="1" applyAlignment="1">
      <alignment horizontal="left" vertical="center" indent="2"/>
    </xf>
    <xf numFmtId="0" fontId="69" fillId="14" borderId="30" xfId="0" applyNumberFormat="1" applyFont="1" applyFill="1" applyBorder="1" applyAlignment="1">
      <alignment vertical="center"/>
    </xf>
    <xf numFmtId="166" fontId="69" fillId="14" borderId="30" xfId="0" applyNumberFormat="1" applyFont="1" applyFill="1" applyBorder="1" applyAlignment="1">
      <alignment vertical="center"/>
    </xf>
    <xf numFmtId="0" fontId="69" fillId="35" borderId="15" xfId="0" applyNumberFormat="1" applyFont="1" applyFill="1" applyBorder="1" applyAlignment="1">
      <alignment vertical="center"/>
    </xf>
    <xf numFmtId="166" fontId="69" fillId="35" borderId="10" xfId="0" applyNumberFormat="1" applyFont="1" applyFill="1" applyBorder="1" applyAlignment="1">
      <alignment vertical="center"/>
    </xf>
    <xf numFmtId="166" fontId="69" fillId="35" borderId="16" xfId="0" applyNumberFormat="1" applyFont="1" applyFill="1" applyBorder="1" applyAlignment="1">
      <alignment vertical="center"/>
    </xf>
    <xf numFmtId="0" fontId="7" fillId="35" borderId="15" xfId="0" applyNumberFormat="1" applyFont="1" applyFill="1" applyBorder="1" applyAlignment="1">
      <alignment vertical="center"/>
    </xf>
    <xf numFmtId="166" fontId="7" fillId="35" borderId="10" xfId="0" applyNumberFormat="1" applyFont="1" applyFill="1" applyBorder="1" applyAlignment="1">
      <alignment vertical="center"/>
    </xf>
    <xf numFmtId="166" fontId="7" fillId="35" borderId="16" xfId="0" applyNumberFormat="1" applyFont="1" applyFill="1" applyBorder="1" applyAlignment="1">
      <alignment vertical="center"/>
    </xf>
    <xf numFmtId="0" fontId="69" fillId="35" borderId="30" xfId="0" applyNumberFormat="1" applyFont="1" applyFill="1" applyBorder="1" applyAlignment="1">
      <alignment vertical="center"/>
    </xf>
    <xf numFmtId="166" fontId="69" fillId="35" borderId="31" xfId="0" applyNumberFormat="1" applyFont="1" applyFill="1" applyBorder="1" applyAlignment="1">
      <alignment vertical="center"/>
    </xf>
    <xf numFmtId="166" fontId="69" fillId="35" borderId="32" xfId="0" applyNumberFormat="1" applyFont="1" applyFill="1" applyBorder="1" applyAlignment="1">
      <alignment vertical="center"/>
    </xf>
    <xf numFmtId="166" fontId="69" fillId="35" borderId="15" xfId="0" applyNumberFormat="1" applyFont="1" applyFill="1" applyBorder="1" applyAlignment="1">
      <alignment vertical="center"/>
    </xf>
    <xf numFmtId="166" fontId="7" fillId="35" borderId="15" xfId="0" applyNumberFormat="1" applyFont="1" applyFill="1" applyBorder="1" applyAlignment="1">
      <alignment vertical="center"/>
    </xf>
    <xf numFmtId="166" fontId="69" fillId="35" borderId="30" xfId="0" applyNumberFormat="1" applyFont="1" applyFill="1" applyBorder="1" applyAlignment="1">
      <alignment vertical="center"/>
    </xf>
    <xf numFmtId="166" fontId="7" fillId="35" borderId="23" xfId="0" applyNumberFormat="1" applyFont="1" applyFill="1" applyBorder="1" applyAlignment="1">
      <alignment vertical="center"/>
    </xf>
    <xf numFmtId="166" fontId="7" fillId="35" borderId="24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72" fillId="0" borderId="0" xfId="0" applyFont="1" applyAlignment="1">
      <alignment horizontal="center"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4" fontId="7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6" fontId="70" fillId="14" borderId="15" xfId="0" applyNumberFormat="1" applyFont="1" applyFill="1" applyBorder="1" applyAlignment="1">
      <alignment vertical="center"/>
    </xf>
    <xf numFmtId="166" fontId="70" fillId="14" borderId="23" xfId="0" applyNumberFormat="1" applyFont="1" applyFill="1" applyBorder="1" applyAlignment="1">
      <alignment vertical="center"/>
    </xf>
    <xf numFmtId="166" fontId="69" fillId="14" borderId="30" xfId="0" applyNumberFormat="1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9" fontId="2" fillId="0" borderId="10" xfId="0" applyNumberFormat="1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9" fontId="73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4" fontId="65" fillId="0" borderId="10" xfId="0" applyNumberFormat="1" applyFont="1" applyFill="1" applyBorder="1" applyAlignment="1">
      <alignment horizontal="right" vertical="center" wrapText="1"/>
    </xf>
    <xf numFmtId="4" fontId="65" fillId="0" borderId="10" xfId="0" applyNumberFormat="1" applyFont="1" applyBorder="1" applyAlignment="1">
      <alignment horizontal="right" vertical="center" wrapText="1"/>
    </xf>
    <xf numFmtId="9" fontId="14" fillId="35" borderId="10" xfId="0" applyNumberFormat="1" applyFont="1" applyFill="1" applyBorder="1" applyAlignment="1">
      <alignment horizontal="center" vertical="center"/>
    </xf>
    <xf numFmtId="4" fontId="65" fillId="0" borderId="10" xfId="0" applyNumberFormat="1" applyFont="1" applyBorder="1" applyAlignment="1">
      <alignment vertical="center" wrapText="1"/>
    </xf>
    <xf numFmtId="0" fontId="65" fillId="0" borderId="19" xfId="0" applyFont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73" fillId="0" borderId="1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67" fontId="14" fillId="35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Border="1" applyAlignment="1">
      <alignment horizontal="right" vertical="center"/>
    </xf>
    <xf numFmtId="4" fontId="73" fillId="0" borderId="10" xfId="0" applyNumberFormat="1" applyFont="1" applyFill="1" applyBorder="1" applyAlignment="1">
      <alignment horizontal="center" vertical="center"/>
    </xf>
    <xf numFmtId="4" fontId="73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167" fontId="78" fillId="35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right" vertical="center" wrapText="1"/>
    </xf>
    <xf numFmtId="9" fontId="78" fillId="35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Border="1" applyAlignment="1">
      <alignment horizontal="right" vertical="center" wrapText="1"/>
    </xf>
    <xf numFmtId="4" fontId="78" fillId="0" borderId="10" xfId="0" applyNumberFormat="1" applyFont="1" applyBorder="1" applyAlignment="1">
      <alignment horizontal="right" vertical="center"/>
    </xf>
    <xf numFmtId="0" fontId="2" fillId="0" borderId="0" xfId="67" applyFont="1" applyFill="1" applyAlignment="1">
      <alignment vertical="center"/>
      <protection/>
    </xf>
    <xf numFmtId="4" fontId="76" fillId="0" borderId="0" xfId="0" applyNumberFormat="1" applyFont="1" applyAlignment="1">
      <alignment vertical="center"/>
    </xf>
    <xf numFmtId="0" fontId="76" fillId="0" borderId="10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5" fillId="0" borderId="40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9" fontId="2" fillId="0" borderId="10" xfId="82" applyFont="1" applyFill="1" applyBorder="1" applyAlignment="1">
      <alignment horizontal="center" vertical="center"/>
    </xf>
    <xf numFmtId="169" fontId="65" fillId="0" borderId="15" xfId="0" applyNumberFormat="1" applyFont="1" applyBorder="1" applyAlignment="1">
      <alignment horizontal="center" vertical="center" wrapText="1"/>
    </xf>
    <xf numFmtId="169" fontId="78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9" fontId="2" fillId="0" borderId="40" xfId="0" applyNumberFormat="1" applyFont="1" applyFill="1" applyBorder="1" applyAlignment="1">
      <alignment horizontal="center" vertical="center"/>
    </xf>
    <xf numFmtId="169" fontId="77" fillId="0" borderId="34" xfId="0" applyNumberFormat="1" applyFont="1" applyBorder="1" applyAlignment="1">
      <alignment horizontal="center" vertical="center"/>
    </xf>
    <xf numFmtId="4" fontId="77" fillId="0" borderId="34" xfId="0" applyNumberFormat="1" applyFont="1" applyFill="1" applyBorder="1" applyAlignment="1">
      <alignment horizontal="right" vertical="center"/>
    </xf>
    <xf numFmtId="2" fontId="78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167" fontId="14" fillId="35" borderId="15" xfId="0" applyNumberFormat="1" applyFont="1" applyFill="1" applyBorder="1" applyAlignment="1">
      <alignment horizontal="center" vertical="center"/>
    </xf>
    <xf numFmtId="167" fontId="78" fillId="35" borderId="15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>
      <alignment horizontal="right" vertical="center"/>
    </xf>
    <xf numFmtId="0" fontId="65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4" fontId="78" fillId="0" borderId="10" xfId="0" applyNumberFormat="1" applyFont="1" applyBorder="1" applyAlignment="1">
      <alignment vertical="center" wrapText="1"/>
    </xf>
    <xf numFmtId="169" fontId="14" fillId="0" borderId="10" xfId="0" applyNumberFormat="1" applyFont="1" applyFill="1" applyBorder="1" applyAlignment="1">
      <alignment horizontal="center" vertical="center"/>
    </xf>
    <xf numFmtId="0" fontId="14" fillId="0" borderId="10" xfId="67" applyFont="1" applyBorder="1" applyAlignment="1">
      <alignment horizontal="center" vertical="center" wrapText="1"/>
      <protection/>
    </xf>
    <xf numFmtId="4" fontId="77" fillId="0" borderId="10" xfId="55" applyNumberFormat="1" applyFont="1" applyFill="1" applyBorder="1" applyAlignment="1">
      <alignment horizontal="right" vertical="center"/>
      <protection/>
    </xf>
    <xf numFmtId="9" fontId="14" fillId="0" borderId="10" xfId="82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right" vertical="center"/>
    </xf>
    <xf numFmtId="0" fontId="78" fillId="0" borderId="10" xfId="0" applyFont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 wrapText="1"/>
    </xf>
    <xf numFmtId="4" fontId="76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4" fontId="78" fillId="0" borderId="16" xfId="0" applyNumberFormat="1" applyFont="1" applyFill="1" applyBorder="1" applyAlignment="1">
      <alignment horizontal="center" vertical="center"/>
    </xf>
    <xf numFmtId="170" fontId="76" fillId="0" borderId="10" xfId="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169" fontId="73" fillId="0" borderId="10" xfId="0" applyNumberFormat="1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73" fillId="0" borderId="10" xfId="67" applyFont="1" applyFill="1" applyBorder="1" applyAlignment="1">
      <alignment horizontal="center" vertical="center" wrapText="1"/>
      <protection/>
    </xf>
    <xf numFmtId="4" fontId="73" fillId="0" borderId="10" xfId="67" applyNumberFormat="1" applyFont="1" applyFill="1" applyBorder="1" applyAlignment="1">
      <alignment horizontal="center" vertical="center" wrapText="1"/>
      <protection/>
    </xf>
    <xf numFmtId="9" fontId="73" fillId="0" borderId="10" xfId="82" applyFont="1" applyFill="1" applyBorder="1" applyAlignment="1">
      <alignment horizontal="center" vertical="center" wrapText="1"/>
    </xf>
    <xf numFmtId="2" fontId="73" fillId="0" borderId="10" xfId="67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73" fillId="0" borderId="10" xfId="67" applyFont="1" applyFill="1" applyBorder="1" applyAlignment="1">
      <alignment horizontal="center" vertical="center"/>
      <protection/>
    </xf>
    <xf numFmtId="167" fontId="73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/>
    </xf>
    <xf numFmtId="4" fontId="73" fillId="0" borderId="10" xfId="90" applyNumberFormat="1" applyFont="1" applyFill="1" applyBorder="1" applyAlignment="1">
      <alignment horizontal="center" vertical="center"/>
    </xf>
    <xf numFmtId="168" fontId="73" fillId="0" borderId="10" xfId="90" applyNumberFormat="1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2" fontId="73" fillId="0" borderId="16" xfId="67" applyNumberFormat="1" applyFont="1" applyFill="1" applyBorder="1" applyAlignment="1">
      <alignment horizontal="center" vertical="center" wrapText="1"/>
      <protection/>
    </xf>
    <xf numFmtId="4" fontId="77" fillId="0" borderId="16" xfId="0" applyNumberFormat="1" applyFont="1" applyBorder="1" applyAlignment="1">
      <alignment horizontal="right" vertical="center"/>
    </xf>
    <xf numFmtId="4" fontId="78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83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right" vertical="center"/>
    </xf>
    <xf numFmtId="4" fontId="65" fillId="0" borderId="16" xfId="0" applyNumberFormat="1" applyFont="1" applyFill="1" applyBorder="1" applyAlignment="1">
      <alignment horizontal="right" vertical="center" wrapText="1"/>
    </xf>
    <xf numFmtId="4" fontId="78" fillId="0" borderId="16" xfId="0" applyNumberFormat="1" applyFont="1" applyFill="1" applyBorder="1" applyAlignment="1">
      <alignment horizontal="right" vertical="center" wrapText="1"/>
    </xf>
    <xf numFmtId="9" fontId="0" fillId="0" borderId="0" xfId="83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9" fontId="0" fillId="36" borderId="0" xfId="83" applyFont="1" applyFill="1" applyBorder="1" applyAlignment="1">
      <alignment horizontal="center" vertical="center"/>
    </xf>
    <xf numFmtId="4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ont="1" applyFill="1" applyAlignment="1">
      <alignment horizontal="center" vertical="center"/>
    </xf>
    <xf numFmtId="9" fontId="0" fillId="36" borderId="0" xfId="83" applyFont="1" applyFill="1" applyAlignment="1">
      <alignment horizontal="center" vertical="center"/>
    </xf>
    <xf numFmtId="4" fontId="0" fillId="36" borderId="0" xfId="0" applyNumberFormat="1" applyFont="1" applyFill="1" applyAlignment="1">
      <alignment horizontal="center" vertical="center"/>
    </xf>
    <xf numFmtId="4" fontId="72" fillId="36" borderId="0" xfId="0" applyNumberFormat="1" applyFont="1" applyFill="1" applyAlignment="1">
      <alignment horizontal="center"/>
    </xf>
    <xf numFmtId="0" fontId="72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vertical="center"/>
    </xf>
    <xf numFmtId="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/>
    </xf>
    <xf numFmtId="2" fontId="73" fillId="0" borderId="16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4" fontId="2" fillId="0" borderId="10" xfId="55" applyNumberFormat="1" applyFont="1" applyFill="1" applyBorder="1" applyAlignment="1">
      <alignment horizontal="center" vertical="center"/>
      <protection/>
    </xf>
    <xf numFmtId="4" fontId="73" fillId="0" borderId="10" xfId="55" applyNumberFormat="1" applyFont="1" applyFill="1" applyBorder="1" applyAlignment="1">
      <alignment horizontal="center" vertical="center"/>
      <protection/>
    </xf>
    <xf numFmtId="169" fontId="76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>
      <alignment horizontal="center" vertical="center" wrapText="1"/>
    </xf>
    <xf numFmtId="4" fontId="76" fillId="0" borderId="16" xfId="0" applyNumberFormat="1" applyFont="1" applyFill="1" applyBorder="1" applyAlignment="1">
      <alignment horizontal="center" vertical="center"/>
    </xf>
    <xf numFmtId="4" fontId="73" fillId="0" borderId="16" xfId="0" applyNumberFormat="1" applyFont="1" applyFill="1" applyBorder="1" applyAlignment="1">
      <alignment horizontal="center" vertical="center" wrapText="1"/>
    </xf>
    <xf numFmtId="4" fontId="78" fillId="0" borderId="15" xfId="0" applyNumberFormat="1" applyFont="1" applyFill="1" applyBorder="1" applyAlignment="1">
      <alignment horizontal="center" vertical="center"/>
    </xf>
    <xf numFmtId="4" fontId="14" fillId="0" borderId="40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78" fillId="0" borderId="18" xfId="0" applyNumberFormat="1" applyFont="1" applyFill="1" applyBorder="1" applyAlignment="1">
      <alignment horizontal="center" vertical="center"/>
    </xf>
    <xf numFmtId="4" fontId="65" fillId="0" borderId="15" xfId="0" applyNumberFormat="1" applyFont="1" applyFill="1" applyBorder="1" applyAlignment="1">
      <alignment horizontal="right" vertical="center" wrapText="1"/>
    </xf>
    <xf numFmtId="4" fontId="78" fillId="0" borderId="15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4" fontId="78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9" fontId="0" fillId="0" borderId="0" xfId="83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81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 shrinkToFit="1"/>
    </xf>
    <xf numFmtId="0" fontId="77" fillId="0" borderId="10" xfId="0" applyFont="1" applyFill="1" applyBorder="1" applyAlignment="1">
      <alignment horizontal="center" vertical="center" wrapText="1" shrinkToFit="1"/>
    </xf>
    <xf numFmtId="0" fontId="65" fillId="0" borderId="38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2 2" xfId="57"/>
    <cellStyle name="Normalny 2 2 2 2" xfId="58"/>
    <cellStyle name="Normalny 2 2 3" xfId="59"/>
    <cellStyle name="Normalny 2 2 3 2" xfId="60"/>
    <cellStyle name="Normalny 2 2 4" xfId="61"/>
    <cellStyle name="Normalny 2 3" xfId="62"/>
    <cellStyle name="Normalny 2 3 2" xfId="63"/>
    <cellStyle name="Normalny 2 4" xfId="64"/>
    <cellStyle name="Normalny 2 5" xfId="65"/>
    <cellStyle name="Normalny 2 6" xfId="66"/>
    <cellStyle name="Normalny 3" xfId="67"/>
    <cellStyle name="Normalny 3 2" xfId="68"/>
    <cellStyle name="Normalny 3 3" xfId="69"/>
    <cellStyle name="Normalny 4" xfId="70"/>
    <cellStyle name="Normalny 4 2" xfId="71"/>
    <cellStyle name="Normalny 4 2 2" xfId="72"/>
    <cellStyle name="Normalny 5" xfId="73"/>
    <cellStyle name="Normalny 5 2" xfId="74"/>
    <cellStyle name="Normalny 5 2 2" xfId="75"/>
    <cellStyle name="Normalny 5 3" xfId="76"/>
    <cellStyle name="Normalny 6" xfId="77"/>
    <cellStyle name="Normalny 7" xfId="78"/>
    <cellStyle name="Normalny 8" xfId="79"/>
    <cellStyle name="Obliczenia" xfId="80"/>
    <cellStyle name="Followed Hyperlink" xfId="81"/>
    <cellStyle name="Percent" xfId="82"/>
    <cellStyle name="Procentowy 2" xfId="83"/>
    <cellStyle name="Procentowy 3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Walutowy 2" xfId="92"/>
    <cellStyle name="Walutowy 3" xfId="93"/>
    <cellStyle name="Zły" xfId="94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view="pageBreakPreview" zoomScale="85" zoomScaleSheetLayoutView="85" workbookViewId="0" topLeftCell="A4">
      <selection activeCell="I20" sqref="I20"/>
    </sheetView>
  </sheetViews>
  <sheetFormatPr defaultColWidth="9.140625" defaultRowHeight="15"/>
  <cols>
    <col min="1" max="1" width="32.140625" style="13" customWidth="1"/>
    <col min="2" max="2" width="10.7109375" style="13" customWidth="1"/>
    <col min="3" max="5" width="20.7109375" style="13" customWidth="1"/>
    <col min="6" max="6" width="15.7109375" style="13" customWidth="1"/>
    <col min="7" max="7" width="17.140625" style="13" customWidth="1"/>
    <col min="8" max="15" width="15.7109375" style="13" customWidth="1"/>
    <col min="16" max="16" width="9.140625" style="13" customWidth="1"/>
    <col min="17" max="17" width="11.7109375" style="13" bestFit="1" customWidth="1"/>
    <col min="18" max="16384" width="9.140625" style="3" customWidth="1"/>
  </cols>
  <sheetData>
    <row r="1" spans="1:24" s="9" customFormat="1" ht="42" customHeight="1" thickBot="1">
      <c r="A1" s="6" t="s">
        <v>107</v>
      </c>
      <c r="B1" s="7"/>
      <c r="C1" s="7"/>
      <c r="D1" s="7"/>
      <c r="E1" s="7"/>
      <c r="F1" s="7"/>
      <c r="G1" s="305" t="s">
        <v>365</v>
      </c>
      <c r="H1" s="305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</row>
    <row r="2" spans="1:24" ht="15">
      <c r="A2" s="10"/>
      <c r="B2" s="10"/>
      <c r="C2" s="10"/>
      <c r="D2" s="10"/>
      <c r="E2" s="10"/>
      <c r="F2" s="306" t="s">
        <v>17</v>
      </c>
      <c r="G2" s="307"/>
      <c r="H2" s="307"/>
      <c r="I2" s="307"/>
      <c r="J2" s="307"/>
      <c r="K2" s="307"/>
      <c r="L2" s="307"/>
      <c r="M2" s="307"/>
      <c r="N2" s="308"/>
      <c r="O2" s="10"/>
      <c r="P2" s="10"/>
      <c r="Q2" s="10"/>
      <c r="R2" s="11"/>
      <c r="S2" s="11"/>
      <c r="T2" s="11"/>
      <c r="U2" s="11"/>
      <c r="V2" s="11"/>
      <c r="W2" s="11"/>
      <c r="X2" s="11"/>
    </row>
    <row r="3" spans="1:24" ht="15">
      <c r="A3" s="12"/>
      <c r="B3" s="10"/>
      <c r="C3" s="10"/>
      <c r="D3" s="10"/>
      <c r="E3" s="10"/>
      <c r="F3" s="309"/>
      <c r="G3" s="310"/>
      <c r="H3" s="310"/>
      <c r="I3" s="310"/>
      <c r="J3" s="310"/>
      <c r="K3" s="310"/>
      <c r="L3" s="310"/>
      <c r="M3" s="310"/>
      <c r="N3" s="311"/>
      <c r="X3" s="11"/>
    </row>
    <row r="4" spans="1:24" ht="15">
      <c r="A4" s="14" t="s">
        <v>326</v>
      </c>
      <c r="B4" s="15"/>
      <c r="C4" s="15"/>
      <c r="D4" s="15"/>
      <c r="E4" s="15"/>
      <c r="F4" s="309"/>
      <c r="G4" s="310"/>
      <c r="H4" s="310"/>
      <c r="I4" s="310"/>
      <c r="J4" s="310"/>
      <c r="K4" s="310"/>
      <c r="L4" s="310"/>
      <c r="M4" s="310"/>
      <c r="N4" s="311"/>
      <c r="X4" s="16"/>
    </row>
    <row r="5" spans="1:24" ht="15">
      <c r="A5" s="15"/>
      <c r="B5" s="15"/>
      <c r="C5" s="15"/>
      <c r="D5" s="15"/>
      <c r="E5" s="15"/>
      <c r="F5" s="309"/>
      <c r="G5" s="310"/>
      <c r="H5" s="310"/>
      <c r="I5" s="310"/>
      <c r="J5" s="310"/>
      <c r="K5" s="310"/>
      <c r="L5" s="310"/>
      <c r="M5" s="310"/>
      <c r="N5" s="311"/>
      <c r="X5" s="11"/>
    </row>
    <row r="6" spans="1:24" ht="15">
      <c r="A6" s="14" t="s">
        <v>81</v>
      </c>
      <c r="B6" s="15"/>
      <c r="C6" s="15"/>
      <c r="D6" s="15"/>
      <c r="E6" s="15"/>
      <c r="F6" s="309"/>
      <c r="G6" s="310"/>
      <c r="H6" s="310"/>
      <c r="I6" s="310"/>
      <c r="J6" s="310"/>
      <c r="K6" s="310"/>
      <c r="L6" s="310"/>
      <c r="M6" s="310"/>
      <c r="N6" s="311"/>
      <c r="X6" s="16"/>
    </row>
    <row r="7" spans="1:24" ht="15.75" thickBot="1">
      <c r="A7" s="15"/>
      <c r="B7" s="15"/>
      <c r="C7" s="15"/>
      <c r="D7" s="15"/>
      <c r="E7" s="15"/>
      <c r="F7" s="312" t="s">
        <v>18</v>
      </c>
      <c r="G7" s="313"/>
      <c r="H7" s="313"/>
      <c r="I7" s="313"/>
      <c r="J7" s="313"/>
      <c r="K7" s="313"/>
      <c r="L7" s="313"/>
      <c r="M7" s="313"/>
      <c r="N7" s="314"/>
      <c r="X7" s="11"/>
    </row>
    <row r="8" spans="1:24" ht="15">
      <c r="A8" s="15"/>
      <c r="B8" s="15"/>
      <c r="C8" s="15"/>
      <c r="D8" s="15"/>
      <c r="E8" s="15"/>
      <c r="F8" s="17"/>
      <c r="G8" s="17"/>
      <c r="H8" s="17"/>
      <c r="I8" s="17"/>
      <c r="J8" s="17"/>
      <c r="K8" s="17"/>
      <c r="L8" s="17"/>
      <c r="M8" s="17"/>
      <c r="N8" s="17"/>
      <c r="X8" s="11"/>
    </row>
    <row r="9" spans="1:24" ht="19.5" customHeight="1" thickBot="1">
      <c r="A9" s="14" t="s">
        <v>0</v>
      </c>
      <c r="B9" s="15"/>
      <c r="C9" s="15"/>
      <c r="D9" s="15"/>
      <c r="E9" s="15"/>
      <c r="F9" s="17"/>
      <c r="G9" s="17"/>
      <c r="H9" s="17"/>
      <c r="I9" s="17"/>
      <c r="J9" s="17"/>
      <c r="K9" s="17"/>
      <c r="L9" s="17"/>
      <c r="M9" s="17"/>
      <c r="N9" s="17"/>
      <c r="X9" s="11"/>
    </row>
    <row r="10" spans="1:24" ht="19.5" customHeight="1">
      <c r="A10" s="315" t="s">
        <v>1</v>
      </c>
      <c r="B10" s="317" t="s">
        <v>35</v>
      </c>
      <c r="C10" s="319" t="s">
        <v>19</v>
      </c>
      <c r="D10" s="321" t="s">
        <v>20</v>
      </c>
      <c r="E10" s="323" t="s">
        <v>21</v>
      </c>
      <c r="F10" s="62"/>
      <c r="G10" s="50"/>
      <c r="H10" s="51"/>
      <c r="I10" s="50"/>
      <c r="J10" s="51" t="s">
        <v>11</v>
      </c>
      <c r="K10" s="50"/>
      <c r="L10" s="50"/>
      <c r="M10" s="50"/>
      <c r="N10" s="51"/>
      <c r="O10" s="52"/>
      <c r="P10" s="30"/>
      <c r="Q10" s="30"/>
      <c r="R10" s="2"/>
      <c r="S10" s="2"/>
      <c r="T10" s="2"/>
      <c r="U10" s="2"/>
      <c r="X10" s="11"/>
    </row>
    <row r="11" spans="1:24" s="1" customFormat="1" ht="19.5" customHeight="1" thickBot="1">
      <c r="A11" s="316"/>
      <c r="B11" s="318"/>
      <c r="C11" s="320"/>
      <c r="D11" s="322"/>
      <c r="E11" s="324"/>
      <c r="F11" s="68">
        <v>2019</v>
      </c>
      <c r="G11" s="69">
        <v>2020</v>
      </c>
      <c r="H11" s="69">
        <v>2021</v>
      </c>
      <c r="I11" s="69">
        <v>2022</v>
      </c>
      <c r="J11" s="69">
        <v>2023</v>
      </c>
      <c r="K11" s="69">
        <v>2024</v>
      </c>
      <c r="L11" s="69">
        <v>2025</v>
      </c>
      <c r="M11" s="69">
        <v>2026</v>
      </c>
      <c r="N11" s="69">
        <v>2027</v>
      </c>
      <c r="O11" s="70">
        <v>2028</v>
      </c>
      <c r="P11" s="17"/>
      <c r="Q11" s="17"/>
      <c r="R11" s="17"/>
      <c r="S11" s="17"/>
      <c r="T11" s="17"/>
      <c r="U11" s="17"/>
      <c r="V11" s="18"/>
      <c r="W11" s="18"/>
      <c r="X11" s="18"/>
    </row>
    <row r="12" spans="1:24" ht="39.75" customHeight="1" thickTop="1">
      <c r="A12" s="72" t="s">
        <v>37</v>
      </c>
      <c r="B12" s="73">
        <f>COUNTA('pow podst'!L3:L14)</f>
        <v>12</v>
      </c>
      <c r="C12" s="74">
        <f>SUM('pow podst'!J3:J14)</f>
        <v>46898333.17</v>
      </c>
      <c r="D12" s="75">
        <f>SUM('pow podst'!L3:L14)</f>
        <v>25116979.689999998</v>
      </c>
      <c r="E12" s="76">
        <f>SUM('pow podst'!K3:K14)</f>
        <v>21781353.480000004</v>
      </c>
      <c r="F12" s="77">
        <f>SUM('pow podst'!N3:N14)</f>
        <v>0</v>
      </c>
      <c r="G12" s="77">
        <f>SUM('pow podst'!O3:O14)</f>
        <v>0</v>
      </c>
      <c r="H12" s="77">
        <f>SUM('pow podst'!P3:P14)</f>
        <v>1165000</v>
      </c>
      <c r="I12" s="77">
        <f>SUM('pow podst'!Q3:Q14)</f>
        <v>16891853.479999997</v>
      </c>
      <c r="J12" s="77">
        <f>SUM('pow podst'!R3:R14)</f>
        <v>3724500</v>
      </c>
      <c r="K12" s="77">
        <f>SUM('pow podst'!S3:S14)</f>
        <v>0</v>
      </c>
      <c r="L12" s="77">
        <f>SUM('pow podst'!T3:T14)</f>
        <v>0</v>
      </c>
      <c r="M12" s="77">
        <f>SUM('pow podst'!U3:U14)</f>
        <v>0</v>
      </c>
      <c r="N12" s="77">
        <f>SUM('pow podst'!V3:V14)</f>
        <v>0</v>
      </c>
      <c r="O12" s="77">
        <f>SUM('pow podst'!W3:W14)</f>
        <v>0</v>
      </c>
      <c r="P12" s="19" t="b">
        <f>C12=(D12+E12)</f>
        <v>1</v>
      </c>
      <c r="Q12" s="40" t="b">
        <f>E12=SUM(F12:O12)</f>
        <v>1</v>
      </c>
      <c r="R12" s="20"/>
      <c r="S12" s="20"/>
      <c r="T12" s="21"/>
      <c r="U12" s="21"/>
      <c r="V12" s="22"/>
      <c r="W12" s="11"/>
      <c r="X12" s="11"/>
    </row>
    <row r="13" spans="1:24" ht="39.75" customHeight="1">
      <c r="A13" s="78" t="s">
        <v>38</v>
      </c>
      <c r="B13" s="119">
        <f>COUNTIF('pow podst'!C3:C14,"K")</f>
        <v>1</v>
      </c>
      <c r="C13" s="120">
        <f>SUMIF('pow podst'!C3:C14,"K",'pow podst'!J3:J14)</f>
        <v>3334837.71</v>
      </c>
      <c r="D13" s="121">
        <f>SUMIF('pow podst'!C3:C14,"K",'pow podst'!L3:L14)</f>
        <v>1667418.8499999999</v>
      </c>
      <c r="E13" s="46">
        <f>SUMIF('pow podst'!C3:C14,"K",'pow podst'!K3:K14)</f>
        <v>1667418.86</v>
      </c>
      <c r="F13" s="128">
        <f>SUMIF('pow podst'!C3:C14,"K",'pow podst'!N3:N14)</f>
        <v>0</v>
      </c>
      <c r="G13" s="120">
        <f>SUMIF('pow podst'!C3:C14,"K",'pow podst'!O3:O14)</f>
        <v>0</v>
      </c>
      <c r="H13" s="120">
        <f>SUMIF('pow podst'!C3:C14,"K",'pow podst'!P3:P14)</f>
        <v>1165000</v>
      </c>
      <c r="I13" s="120">
        <f>SUMIF('pow podst'!C3:C14,"K",'pow podst'!Q3:Q14)</f>
        <v>502418.86</v>
      </c>
      <c r="J13" s="120">
        <f>SUMIF('pow podst'!C3:C14,"K",'pow podst'!R3:R14)</f>
        <v>0</v>
      </c>
      <c r="K13" s="120">
        <f>SUMIF('pow podst'!C3:C14,"K",'pow podst'!S3:S14)</f>
        <v>0</v>
      </c>
      <c r="L13" s="120">
        <f>SUMIF('pow podst'!C3:C14,"K",'pow podst'!T3:T14)</f>
        <v>0</v>
      </c>
      <c r="M13" s="120">
        <f>SUMIF('pow podst'!C3:C14,"K",'pow podst'!U3:U14)</f>
        <v>0</v>
      </c>
      <c r="N13" s="120">
        <f>SUMIF('pow podst'!C3:C14,"K",'pow podst'!V3:V14)</f>
        <v>0</v>
      </c>
      <c r="O13" s="120">
        <f>SUMIF('pow podst'!C3:I14,"K",'pow podst'!W3:W14)</f>
        <v>0</v>
      </c>
      <c r="P13" s="19" t="b">
        <f aca="true" t="shared" si="0" ref="P13:P22">C13=(D13+E13)</f>
        <v>1</v>
      </c>
      <c r="Q13" s="40" t="b">
        <f aca="true" t="shared" si="1" ref="Q13:Q19">E13=SUM(F13:O13)</f>
        <v>1</v>
      </c>
      <c r="R13" s="20"/>
      <c r="S13" s="20"/>
      <c r="T13" s="21"/>
      <c r="U13" s="21"/>
      <c r="V13" s="22"/>
      <c r="W13" s="11"/>
      <c r="X13" s="11"/>
    </row>
    <row r="14" spans="1:24" ht="39.75" customHeight="1">
      <c r="A14" s="79" t="s">
        <v>39</v>
      </c>
      <c r="B14" s="122">
        <f>COUNTIF('pow podst'!C3:C14,"N")</f>
        <v>9</v>
      </c>
      <c r="C14" s="123">
        <f>SUMIF('pow podst'!C3:C14,"N",'pow podst'!J3:J14)</f>
        <v>27199842.61</v>
      </c>
      <c r="D14" s="124">
        <f>SUMIF('pow podst'!C3:C14,"N",'pow podst'!L3:L14)</f>
        <v>15267734.419999998</v>
      </c>
      <c r="E14" s="45">
        <f>SUMIF('pow podst'!C3:C14,"N",'pow podst'!K3:K14)</f>
        <v>11932108.190000001</v>
      </c>
      <c r="F14" s="129">
        <f>SUMIF('pow podst'!C3:C14,"N",'pow podst'!N3:N14)</f>
        <v>0</v>
      </c>
      <c r="G14" s="123">
        <f>SUMIF('pow podst'!C3:C14,"N",'pow podst'!O3:O14)</f>
        <v>0</v>
      </c>
      <c r="H14" s="123">
        <f>SUMIF('pow podst'!C3:C14,"N",'pow podst'!P3:P14)</f>
        <v>0</v>
      </c>
      <c r="I14" s="123">
        <f>SUMIF('pow podst'!C3:C14,"N",'pow podst'!Q3:Q14)</f>
        <v>11932108.190000001</v>
      </c>
      <c r="J14" s="123">
        <f>SUMIF('pow podst'!C3:C14,"N",'pow podst'!R3:R14)</f>
        <v>0</v>
      </c>
      <c r="K14" s="123">
        <f>SUMIF('pow podst'!C3:C14,"N",'pow podst'!S3:S14)</f>
        <v>0</v>
      </c>
      <c r="L14" s="123">
        <f>SUMIF('pow podst'!C3:C14,"N",'pow podst'!T3:T14)</f>
        <v>0</v>
      </c>
      <c r="M14" s="123">
        <f>SUMIF('pow podst'!C3:C14,"N",'pow podst'!U3:U14)</f>
        <v>0</v>
      </c>
      <c r="N14" s="123">
        <f>SUMIF('pow podst'!C3:C14,"N",'pow podst'!V3:V14)</f>
        <v>0</v>
      </c>
      <c r="O14" s="123">
        <f>SUMIF('pow podst'!C3:I14,"N",'pow podst'!W3:W14)</f>
        <v>0</v>
      </c>
      <c r="P14" s="19" t="b">
        <f t="shared" si="0"/>
        <v>1</v>
      </c>
      <c r="Q14" s="40" t="b">
        <f>E14=SUM(F14:O14)</f>
        <v>1</v>
      </c>
      <c r="R14" s="20"/>
      <c r="S14" s="20"/>
      <c r="T14" s="21"/>
      <c r="U14" s="21"/>
      <c r="V14" s="22"/>
      <c r="W14" s="11"/>
      <c r="X14" s="11"/>
    </row>
    <row r="15" spans="1:24" ht="39.75" customHeight="1" thickBot="1">
      <c r="A15" s="80" t="s">
        <v>40</v>
      </c>
      <c r="B15" s="119">
        <f>COUNTIF('pow podst'!C3:C14,"W")</f>
        <v>2</v>
      </c>
      <c r="C15" s="126">
        <f>SUMIF('pow podst'!C3:C14,"W",'pow podst'!J3:J14)</f>
        <v>16363652.85</v>
      </c>
      <c r="D15" s="127">
        <f>SUMIF('pow podst'!C3:C14,"W",'pow podst'!L3:L14)</f>
        <v>8181826.42</v>
      </c>
      <c r="E15" s="81">
        <f>SUMIF('pow podst'!C3:C14,"W",'pow podst'!K3:K14)</f>
        <v>8181826.43</v>
      </c>
      <c r="F15" s="130">
        <f>SUMIF('pow podst'!C3:C14,"W",'pow podst'!N3:N14)</f>
        <v>0</v>
      </c>
      <c r="G15" s="126">
        <f>SUMIF('pow podst'!C3:C14,"W",'pow podst'!O3:O14)</f>
        <v>0</v>
      </c>
      <c r="H15" s="126">
        <f>SUMIF('pow podst'!C3:C14,"W",'pow podst'!P3:P14)</f>
        <v>0</v>
      </c>
      <c r="I15" s="126">
        <f>SUMIF('pow podst'!C3:C14,"W",'pow podst'!Q3:Q14)</f>
        <v>4457326.43</v>
      </c>
      <c r="J15" s="126">
        <f>SUMIF('pow podst'!C3:C14,"W",'pow podst'!R3:R14)</f>
        <v>3724500</v>
      </c>
      <c r="K15" s="126">
        <f>SUMIF('pow podst'!C3:C14,"W",'pow podst'!S3:S14)</f>
        <v>0</v>
      </c>
      <c r="L15" s="126">
        <f>SUMIF('pow podst'!C3:C14,"W",'pow podst'!T3:T14)</f>
        <v>0</v>
      </c>
      <c r="M15" s="126">
        <f>SUMIF('pow podst'!C3:C14,"W",'pow podst'!U3:U14)</f>
        <v>0</v>
      </c>
      <c r="N15" s="126">
        <f>SUMIF('pow podst'!C3:C14,"W",'pow podst'!V3:V14)</f>
        <v>0</v>
      </c>
      <c r="O15" s="126">
        <f>SUMIF('pow podst'!C3:I14,"W",'pow podst'!W3:W14)</f>
        <v>0</v>
      </c>
      <c r="P15" s="19" t="b">
        <f t="shared" si="0"/>
        <v>1</v>
      </c>
      <c r="Q15" s="40" t="b">
        <f t="shared" si="1"/>
        <v>1</v>
      </c>
      <c r="R15" s="20"/>
      <c r="S15" s="20"/>
      <c r="T15" s="21"/>
      <c r="U15" s="21"/>
      <c r="V15" s="22"/>
      <c r="W15" s="11"/>
      <c r="X15" s="11"/>
    </row>
    <row r="16" spans="1:24" ht="39.75" customHeight="1" thickTop="1">
      <c r="A16" s="72" t="s">
        <v>41</v>
      </c>
      <c r="B16" s="73">
        <f>COUNTA('gm podst'!L3:L45)</f>
        <v>42</v>
      </c>
      <c r="C16" s="74">
        <f>SUM('gm podst'!K3:K45)</f>
        <v>86373233.48999996</v>
      </c>
      <c r="D16" s="75">
        <f>SUM('gm podst'!M3:M45)</f>
        <v>33158050.339999996</v>
      </c>
      <c r="E16" s="76">
        <f>SUM('gm podst'!L3:L45)</f>
        <v>53215183.15</v>
      </c>
      <c r="F16" s="131">
        <f>SUM('gm podst'!O3:O45)</f>
        <v>0</v>
      </c>
      <c r="G16" s="132">
        <f>SUM('gm podst'!P3:P45)</f>
        <v>0</v>
      </c>
      <c r="H16" s="132">
        <f>SUM('gm podst'!Q3:Q45)</f>
        <v>9469487.23</v>
      </c>
      <c r="I16" s="132">
        <f>SUM('gm podst'!R3:R45)</f>
        <v>40036048.589999996</v>
      </c>
      <c r="J16" s="132">
        <f>SUM('gm podst'!S3:S45)</f>
        <v>3709647.33</v>
      </c>
      <c r="K16" s="132">
        <f>SUM('gm podst'!T3:T45)</f>
        <v>0</v>
      </c>
      <c r="L16" s="132">
        <f>SUM('gm podst'!U3:U45)</f>
        <v>0</v>
      </c>
      <c r="M16" s="132">
        <f>SUM('gm podst'!V3:V45)</f>
        <v>0</v>
      </c>
      <c r="N16" s="132">
        <f>SUM('gm podst'!W3:W45)</f>
        <v>0</v>
      </c>
      <c r="O16" s="132">
        <f>SUM('gm podst'!X3:X45)</f>
        <v>0</v>
      </c>
      <c r="P16" s="19" t="b">
        <f t="shared" si="0"/>
        <v>1</v>
      </c>
      <c r="Q16" s="40" t="b">
        <f t="shared" si="1"/>
        <v>1</v>
      </c>
      <c r="R16" s="20"/>
      <c r="S16" s="20"/>
      <c r="T16" s="21"/>
      <c r="U16" s="21"/>
      <c r="V16" s="21"/>
      <c r="W16" s="21"/>
      <c r="X16" s="21"/>
    </row>
    <row r="17" spans="1:24" ht="39.75" customHeight="1">
      <c r="A17" s="78" t="s">
        <v>38</v>
      </c>
      <c r="B17" s="119">
        <f>COUNTIF('gm podst'!C3:C45,"K")</f>
        <v>4</v>
      </c>
      <c r="C17" s="120">
        <f>SUMIF('gm podst'!C3:C45,"K",'gm podst'!K3:K45)</f>
        <v>22443622.810000002</v>
      </c>
      <c r="D17" s="121">
        <f>SUMIF('gm podst'!C3:C45,"K",'gm podst'!M3:M45)</f>
        <v>7462763.49</v>
      </c>
      <c r="E17" s="46">
        <f>SUMIF('gm podst'!C3:C45,"K",'gm podst'!L3:L45)</f>
        <v>14980859.32</v>
      </c>
      <c r="F17" s="128">
        <f>SUMIF('gm podst'!C3:C45,"K",'gm podst'!O3:O45)</f>
        <v>0</v>
      </c>
      <c r="G17" s="120">
        <f>SUMIF('gm podst'!C3:C45,"K",'gm podst'!P3:P45)</f>
        <v>0</v>
      </c>
      <c r="H17" s="120">
        <f>SUMIF('gm podst'!C3:C45,"K",'gm podst'!Q3:Q45)</f>
        <v>9469487.23</v>
      </c>
      <c r="I17" s="120">
        <f>SUMIF('gm podst'!C3:C45,"K",'gm podst'!R3:R45)</f>
        <v>5511372.09</v>
      </c>
      <c r="J17" s="120">
        <f>SUMIF('gm podst'!C3:C45,"K",'gm podst'!S3:S45)</f>
        <v>0</v>
      </c>
      <c r="K17" s="120">
        <f>SUMIF('gm podst'!C3:C45,"K",'gm podst'!T3:T45)</f>
        <v>0</v>
      </c>
      <c r="L17" s="120">
        <f>SUMIF('gm podst'!C3:C45,"K",'gm podst'!U3:U45)</f>
        <v>0</v>
      </c>
      <c r="M17" s="120">
        <f>SUMIF('gm podst'!G3:G45,"K",'gm podst'!V3:V45)</f>
        <v>0</v>
      </c>
      <c r="N17" s="120">
        <f>SUMIF('gm podst'!C3:C45,"K",'gm podst'!W3:W45)</f>
        <v>0</v>
      </c>
      <c r="O17" s="120">
        <f>SUMIF('gm podst'!C3:C45,"K",'gm podst'!X3:X45)</f>
        <v>0</v>
      </c>
      <c r="P17" s="19" t="b">
        <f t="shared" si="0"/>
        <v>1</v>
      </c>
      <c r="Q17" s="40" t="b">
        <f t="shared" si="1"/>
        <v>1</v>
      </c>
      <c r="R17" s="20"/>
      <c r="S17" s="20"/>
      <c r="T17" s="21"/>
      <c r="U17" s="21"/>
      <c r="V17" s="21"/>
      <c r="W17" s="21"/>
      <c r="X17" s="21"/>
    </row>
    <row r="18" spans="1:24" ht="39.75" customHeight="1">
      <c r="A18" s="79" t="s">
        <v>39</v>
      </c>
      <c r="B18" s="122">
        <f>COUNTIF('gm podst'!C3:C45,"N")</f>
        <v>32</v>
      </c>
      <c r="C18" s="123">
        <f>SUMIF('gm podst'!C3:C45,"N",'gm podst'!K3:K45)</f>
        <v>46133656.88000001</v>
      </c>
      <c r="D18" s="124">
        <f>SUMIF('gm podst'!C3:C45,"N",'gm podst'!M3:M45)</f>
        <v>19514597.02</v>
      </c>
      <c r="E18" s="45">
        <f>SUMIF('gm podst'!C3:C45,"N",'gm podst'!L3:L45)</f>
        <v>26619059.86</v>
      </c>
      <c r="F18" s="129">
        <f>SUMIF('gm podst'!C3:C45,"N",'gm podst'!O3:O45)</f>
        <v>0</v>
      </c>
      <c r="G18" s="123">
        <f>SUMIF('gm podst'!C3:C45,"N",'gm podst'!P3:P45)</f>
        <v>0</v>
      </c>
      <c r="H18" s="123">
        <f>SUMIF('gm podst'!C3:C45,"N",'gm podst'!Q3:Q45)</f>
        <v>0</v>
      </c>
      <c r="I18" s="123">
        <f>SUMIF('gm podst'!C3:C45,"N",'gm podst'!R3:R45)</f>
        <v>26619059.86</v>
      </c>
      <c r="J18" s="123">
        <f>SUMIF('gm podst'!C3:C45,"N",'gm podst'!S3:S45)</f>
        <v>0</v>
      </c>
      <c r="K18" s="123">
        <f>SUMIF('gm podst'!C3:C45,"N",'gm podst'!T3:T45)</f>
        <v>0</v>
      </c>
      <c r="L18" s="123">
        <f>SUMIF('gm podst'!C3:C45,"N",'gm podst'!U3:U45)</f>
        <v>0</v>
      </c>
      <c r="M18" s="123">
        <f>SUMIF('gm podst'!C3:C45,"N",'gm podst'!V3:V45)</f>
        <v>0</v>
      </c>
      <c r="N18" s="123">
        <f>SUMIF('gm podst'!C3:C45,"N",'gm podst'!W3:W45)</f>
        <v>0</v>
      </c>
      <c r="O18" s="123">
        <f>SUMIF('gm podst'!C3:C45,"N",'gm podst'!X3:X45)</f>
        <v>0</v>
      </c>
      <c r="P18" s="19" t="b">
        <f t="shared" si="0"/>
        <v>1</v>
      </c>
      <c r="Q18" s="40" t="b">
        <f t="shared" si="1"/>
        <v>1</v>
      </c>
      <c r="R18" s="20"/>
      <c r="S18" s="20"/>
      <c r="T18" s="21"/>
      <c r="U18" s="21"/>
      <c r="V18" s="21"/>
      <c r="W18" s="21"/>
      <c r="X18" s="21"/>
    </row>
    <row r="19" spans="1:24" ht="39.75" customHeight="1" thickBot="1">
      <c r="A19" s="80" t="s">
        <v>40</v>
      </c>
      <c r="B19" s="125">
        <f>COUNTIF('gm podst'!C3:C45,"W")</f>
        <v>6</v>
      </c>
      <c r="C19" s="126">
        <f>SUMIF('gm podst'!C3:C45,"W",'gm podst'!K3:K45)</f>
        <v>17795953.8</v>
      </c>
      <c r="D19" s="127">
        <f>SUMIF('gm podst'!C3:C45,"W",'gm podst'!M3:M45)</f>
        <v>6180689.829999999</v>
      </c>
      <c r="E19" s="81">
        <f>SUMIF('gm podst'!C3:C45,"W",'gm podst'!L3:L45)</f>
        <v>11615263.97</v>
      </c>
      <c r="F19" s="130">
        <f>SUMIF('gm podst'!C3:C45,"W",'gm podst'!O3:O45)</f>
        <v>0</v>
      </c>
      <c r="G19" s="126">
        <f>SUMIF('gm podst'!C3:C45,"W",'gm podst'!P3:P45)</f>
        <v>0</v>
      </c>
      <c r="H19" s="126">
        <f>SUMIF('gm podst'!C3:C45,"W",'gm podst'!Q3:Q45)</f>
        <v>0</v>
      </c>
      <c r="I19" s="126">
        <f>SUMIF('gm podst'!C3:C45,"W",'gm podst'!R3:R45)</f>
        <v>7905616.64</v>
      </c>
      <c r="J19" s="126">
        <f>SUMIF('gm podst'!C3:C45,"W",'gm podst'!S3:S45)</f>
        <v>3709647.33</v>
      </c>
      <c r="K19" s="126">
        <f>SUMIF('gm podst'!C3:C45,"W",'gm podst'!T3:T45)</f>
        <v>0</v>
      </c>
      <c r="L19" s="126">
        <f>SUMIF('gm podst'!C3:C45,"W",'gm podst'!U3:U45)</f>
        <v>0</v>
      </c>
      <c r="M19" s="126">
        <f>SUMIF('gm podst'!C3:C45,"W",'gm podst'!V3:V45)</f>
        <v>0</v>
      </c>
      <c r="N19" s="126">
        <f>SUMIF('gm podst'!C3:C45,"W",'gm podst'!W3:W45)</f>
        <v>0</v>
      </c>
      <c r="O19" s="126">
        <f>SUMIF('gm podst'!C3:C45,"W",'gm podst'!X3:X45)</f>
        <v>0</v>
      </c>
      <c r="P19" s="19" t="b">
        <f t="shared" si="0"/>
        <v>1</v>
      </c>
      <c r="Q19" s="40" t="b">
        <f t="shared" si="1"/>
        <v>1</v>
      </c>
      <c r="R19" s="20"/>
      <c r="S19" s="20"/>
      <c r="T19" s="21"/>
      <c r="U19" s="21"/>
      <c r="V19" s="21"/>
      <c r="W19" s="21"/>
      <c r="X19" s="21"/>
    </row>
    <row r="20" spans="1:24" s="25" customFormat="1" ht="39.75" customHeight="1" thickTop="1">
      <c r="A20" s="82" t="s">
        <v>42</v>
      </c>
      <c r="B20" s="83">
        <f>B12+B16</f>
        <v>54</v>
      </c>
      <c r="C20" s="84">
        <f>C12+C16</f>
        <v>133271566.65999997</v>
      </c>
      <c r="D20" s="85">
        <f aca="true" t="shared" si="2" ref="C20:O22">D12+D16</f>
        <v>58275030.029999994</v>
      </c>
      <c r="E20" s="86">
        <f t="shared" si="2"/>
        <v>74996536.63</v>
      </c>
      <c r="F20" s="87">
        <f t="shared" si="2"/>
        <v>0</v>
      </c>
      <c r="G20" s="84">
        <f t="shared" si="2"/>
        <v>0</v>
      </c>
      <c r="H20" s="84">
        <f>H12+H16</f>
        <v>10634487.23</v>
      </c>
      <c r="I20" s="84">
        <f t="shared" si="2"/>
        <v>56927902.06999999</v>
      </c>
      <c r="J20" s="84">
        <f t="shared" si="2"/>
        <v>7434147.33</v>
      </c>
      <c r="K20" s="84">
        <f t="shared" si="2"/>
        <v>0</v>
      </c>
      <c r="L20" s="84">
        <f t="shared" si="2"/>
        <v>0</v>
      </c>
      <c r="M20" s="84">
        <f t="shared" si="2"/>
        <v>0</v>
      </c>
      <c r="N20" s="84">
        <f t="shared" si="2"/>
        <v>0</v>
      </c>
      <c r="O20" s="84">
        <f t="shared" si="2"/>
        <v>0</v>
      </c>
      <c r="P20" s="19" t="b">
        <f t="shared" si="0"/>
        <v>1</v>
      </c>
      <c r="Q20" s="40" t="b">
        <f>E20=SUM(F20:O20)</f>
        <v>1</v>
      </c>
      <c r="R20" s="23"/>
      <c r="S20" s="23"/>
      <c r="T20" s="24"/>
      <c r="U20" s="24"/>
      <c r="V20" s="24"/>
      <c r="W20" s="24"/>
      <c r="X20" s="24"/>
    </row>
    <row r="21" spans="1:24" s="25" customFormat="1" ht="39.75" customHeight="1">
      <c r="A21" s="88" t="s">
        <v>38</v>
      </c>
      <c r="B21" s="54">
        <f>B13+B17</f>
        <v>5</v>
      </c>
      <c r="C21" s="47">
        <f t="shared" si="2"/>
        <v>25778460.520000003</v>
      </c>
      <c r="D21" s="59">
        <f t="shared" si="2"/>
        <v>9130182.34</v>
      </c>
      <c r="E21" s="46">
        <f t="shared" si="2"/>
        <v>16648278.18</v>
      </c>
      <c r="F21" s="63">
        <f t="shared" si="2"/>
        <v>0</v>
      </c>
      <c r="G21" s="47">
        <f t="shared" si="2"/>
        <v>0</v>
      </c>
      <c r="H21" s="47">
        <f t="shared" si="2"/>
        <v>10634487.23</v>
      </c>
      <c r="I21" s="47">
        <f t="shared" si="2"/>
        <v>6013790.95</v>
      </c>
      <c r="J21" s="47">
        <f t="shared" si="2"/>
        <v>0</v>
      </c>
      <c r="K21" s="47">
        <f t="shared" si="2"/>
        <v>0</v>
      </c>
      <c r="L21" s="47">
        <f t="shared" si="2"/>
        <v>0</v>
      </c>
      <c r="M21" s="47">
        <f t="shared" si="2"/>
        <v>0</v>
      </c>
      <c r="N21" s="47">
        <f t="shared" si="2"/>
        <v>0</v>
      </c>
      <c r="O21" s="47">
        <f t="shared" si="2"/>
        <v>0</v>
      </c>
      <c r="P21" s="19" t="b">
        <f t="shared" si="0"/>
        <v>1</v>
      </c>
      <c r="Q21" s="40" t="b">
        <f>E21=SUM(F21:O21)</f>
        <v>1</v>
      </c>
      <c r="R21" s="23"/>
      <c r="S21" s="23"/>
      <c r="T21" s="24"/>
      <c r="U21" s="24"/>
      <c r="V21" s="24"/>
      <c r="W21" s="24"/>
      <c r="X21" s="24"/>
    </row>
    <row r="22" spans="1:24" s="25" customFormat="1" ht="39.75" customHeight="1">
      <c r="A22" s="89" t="s">
        <v>39</v>
      </c>
      <c r="B22" s="55">
        <f>B14+B18</f>
        <v>41</v>
      </c>
      <c r="C22" s="49">
        <f t="shared" si="2"/>
        <v>73333499.49000001</v>
      </c>
      <c r="D22" s="60">
        <f t="shared" si="2"/>
        <v>34782331.44</v>
      </c>
      <c r="E22" s="45">
        <f t="shared" si="2"/>
        <v>38551168.05</v>
      </c>
      <c r="F22" s="64">
        <f t="shared" si="2"/>
        <v>0</v>
      </c>
      <c r="G22" s="49">
        <f t="shared" si="2"/>
        <v>0</v>
      </c>
      <c r="H22" s="49">
        <f t="shared" si="2"/>
        <v>0</v>
      </c>
      <c r="I22" s="49">
        <f t="shared" si="2"/>
        <v>38551168.05</v>
      </c>
      <c r="J22" s="49">
        <f t="shared" si="2"/>
        <v>0</v>
      </c>
      <c r="K22" s="49">
        <f t="shared" si="2"/>
        <v>0</v>
      </c>
      <c r="L22" s="49">
        <f t="shared" si="2"/>
        <v>0</v>
      </c>
      <c r="M22" s="49">
        <f t="shared" si="2"/>
        <v>0</v>
      </c>
      <c r="N22" s="49">
        <f t="shared" si="2"/>
        <v>0</v>
      </c>
      <c r="O22" s="49">
        <f t="shared" si="2"/>
        <v>0</v>
      </c>
      <c r="P22" s="19" t="b">
        <f t="shared" si="0"/>
        <v>1</v>
      </c>
      <c r="Q22" s="40" t="b">
        <f>E22=SUM(F22:O22)</f>
        <v>1</v>
      </c>
      <c r="R22" s="23"/>
      <c r="S22" s="23"/>
      <c r="T22" s="24"/>
      <c r="U22" s="24"/>
      <c r="V22" s="24"/>
      <c r="W22" s="24"/>
      <c r="X22" s="24"/>
    </row>
    <row r="23" spans="1:24" s="25" customFormat="1" ht="39.75" customHeight="1" thickBot="1">
      <c r="A23" s="90" t="s">
        <v>40</v>
      </c>
      <c r="B23" s="91">
        <f>B15+B19</f>
        <v>8</v>
      </c>
      <c r="C23" s="92">
        <f aca="true" t="shared" si="3" ref="C23:O23">C15+C19</f>
        <v>34159606.65</v>
      </c>
      <c r="D23" s="93">
        <f t="shared" si="3"/>
        <v>14362516.25</v>
      </c>
      <c r="E23" s="81">
        <f>E15+E19</f>
        <v>19797090.4</v>
      </c>
      <c r="F23" s="94">
        <f t="shared" si="3"/>
        <v>0</v>
      </c>
      <c r="G23" s="92">
        <f>G15+G19</f>
        <v>0</v>
      </c>
      <c r="H23" s="92">
        <f>H15+H19</f>
        <v>0</v>
      </c>
      <c r="I23" s="92">
        <f t="shared" si="3"/>
        <v>12362943.07</v>
      </c>
      <c r="J23" s="92">
        <f t="shared" si="3"/>
        <v>7434147.33</v>
      </c>
      <c r="K23" s="92">
        <f t="shared" si="3"/>
        <v>0</v>
      </c>
      <c r="L23" s="92">
        <f t="shared" si="3"/>
        <v>0</v>
      </c>
      <c r="M23" s="92">
        <f t="shared" si="3"/>
        <v>0</v>
      </c>
      <c r="N23" s="92">
        <f t="shared" si="3"/>
        <v>0</v>
      </c>
      <c r="O23" s="92">
        <f t="shared" si="3"/>
        <v>0</v>
      </c>
      <c r="P23" s="19" t="b">
        <f>C23=(D23+E23)</f>
        <v>1</v>
      </c>
      <c r="Q23" s="40" t="b">
        <f>E23=SUM(F23:O23)</f>
        <v>1</v>
      </c>
      <c r="R23" s="23"/>
      <c r="S23" s="23"/>
      <c r="T23" s="24"/>
      <c r="U23" s="24"/>
      <c r="V23" s="24"/>
      <c r="W23" s="24"/>
      <c r="X23" s="24"/>
    </row>
    <row r="24" spans="1:24" ht="39.75" customHeight="1" thickTop="1">
      <c r="A24" s="72" t="s">
        <v>2</v>
      </c>
      <c r="B24" s="73">
        <f>COUNTA('pow rez'!H3:H3)</f>
        <v>1</v>
      </c>
      <c r="C24" s="74">
        <f>SUM('pow rez'!J3:J3)</f>
        <v>569156.28</v>
      </c>
      <c r="D24" s="75">
        <f>SUM('pow rez'!L3:L3)</f>
        <v>284578.14</v>
      </c>
      <c r="E24" s="76">
        <f>SUM('pow rez'!K3:K3)</f>
        <v>284578.14</v>
      </c>
      <c r="F24" s="77">
        <f>SUM('pow rez'!N3:N3)</f>
        <v>0</v>
      </c>
      <c r="G24" s="77">
        <f>SUM('pow rez'!O3:O3)</f>
        <v>0</v>
      </c>
      <c r="H24" s="77">
        <f>SUM('pow rez'!P3:P3)</f>
        <v>0</v>
      </c>
      <c r="I24" s="77">
        <f>SUM('pow rez'!Q3:Q3)</f>
        <v>284578.14</v>
      </c>
      <c r="J24" s="77">
        <f>SUM('pow rez'!R3:R3)</f>
        <v>0</v>
      </c>
      <c r="K24" s="77">
        <f>SUM('pow rez'!S3:S3)</f>
        <v>0</v>
      </c>
      <c r="L24" s="77">
        <f>SUM('pow rez'!T3:T3)</f>
        <v>0</v>
      </c>
      <c r="M24" s="77">
        <f>SUM('pow rez'!U3:U3)</f>
        <v>0</v>
      </c>
      <c r="N24" s="77">
        <f>SUM('pow rez'!V3:V3)</f>
        <v>0</v>
      </c>
      <c r="O24" s="77">
        <f>SUM('pow rez'!W3:W3)</f>
        <v>0</v>
      </c>
      <c r="P24" s="19" t="b">
        <f aca="true" t="shared" si="4" ref="P24:P35">C24=(D24+E24)</f>
        <v>1</v>
      </c>
      <c r="Q24" s="40" t="b">
        <f aca="true" t="shared" si="5" ref="Q24:Q35">E24=SUM(F24:O24)</f>
        <v>1</v>
      </c>
      <c r="R24" s="20"/>
      <c r="S24" s="20"/>
      <c r="T24" s="21"/>
      <c r="U24" s="21"/>
      <c r="V24" s="21"/>
      <c r="W24" s="21"/>
      <c r="X24" s="21"/>
    </row>
    <row r="25" spans="1:24" ht="39.75" customHeight="1">
      <c r="A25" s="79" t="s">
        <v>39</v>
      </c>
      <c r="B25" s="122">
        <f>COUNTIF('pow rez'!C3:C3,"N")</f>
        <v>1</v>
      </c>
      <c r="C25" s="123">
        <f>SUMIF('pow rez'!C3:C3,"N",'pow rez'!J3:J3)</f>
        <v>569156.28</v>
      </c>
      <c r="D25" s="124">
        <f>SUMIF('pow rez'!C3:C3,"N",'pow rez'!L3:L3)</f>
        <v>284578.14</v>
      </c>
      <c r="E25" s="45">
        <f>SUMIF('pow rez'!C3:C3,"N",'pow rez'!K3:K3)</f>
        <v>284578.14</v>
      </c>
      <c r="F25" s="129">
        <f>SUMIF('pow rez'!C3:C3,"N",'pow rez'!N3:N3)</f>
        <v>0</v>
      </c>
      <c r="G25" s="129">
        <f>SUMIF('pow rez'!C3:C3,"N",'pow rez'!O3:O3)</f>
        <v>0</v>
      </c>
      <c r="H25" s="129">
        <f>SUMIF('pow rez'!C3:C3,"N",'pow rez'!P3:P3)</f>
        <v>0</v>
      </c>
      <c r="I25" s="129">
        <f>SUMIF('pow rez'!C3:C3,"N",'pow rez'!Q3:Q3)</f>
        <v>284578.14</v>
      </c>
      <c r="J25" s="129">
        <f>SUMIF('pow rez'!C3:C3,"N",'pow rez'!R3:R3)</f>
        <v>0</v>
      </c>
      <c r="K25" s="129">
        <f>SUMIF('pow rez'!C3:C3,"N",'pow rez'!S3:S3)</f>
        <v>0</v>
      </c>
      <c r="L25" s="129">
        <f>SUMIF('pow rez'!C3:C3,"N",'pow rez'!T3:T3)</f>
        <v>0</v>
      </c>
      <c r="M25" s="129">
        <f>SUMIF('pow rez'!C3:C3,"N",'pow rez'!U3:U3)</f>
        <v>0</v>
      </c>
      <c r="N25" s="129">
        <f>SUMIF('pow rez'!C3:C3,"N",'pow rez'!V3:V3)</f>
        <v>0</v>
      </c>
      <c r="O25" s="129">
        <f>SUMIF('pow rez'!C3:C3,"N",'pow rez'!W3:W3)</f>
        <v>0</v>
      </c>
      <c r="P25" s="19" t="b">
        <f t="shared" si="4"/>
        <v>1</v>
      </c>
      <c r="Q25" s="40" t="b">
        <f t="shared" si="5"/>
        <v>1</v>
      </c>
      <c r="R25" s="20"/>
      <c r="S25" s="20"/>
      <c r="T25" s="21"/>
      <c r="U25" s="21"/>
      <c r="V25" s="21"/>
      <c r="W25" s="21"/>
      <c r="X25" s="21"/>
    </row>
    <row r="26" spans="1:24" ht="39.75" customHeight="1" thickBot="1">
      <c r="A26" s="80" t="s">
        <v>40</v>
      </c>
      <c r="B26" s="125">
        <f>COUNTIF('pow rez'!C3:C3,"W")</f>
        <v>0</v>
      </c>
      <c r="C26" s="126">
        <f>SUMIF('pow rez'!C3:C3,"W",'pow rez'!J3:J3)</f>
        <v>0</v>
      </c>
      <c r="D26" s="127">
        <f>SUMIF('pow rez'!C3:C3,"W",'pow rez'!L3:L3)</f>
        <v>0</v>
      </c>
      <c r="E26" s="81">
        <f>SUMIF('pow rez'!C3:C3,"W",'pow rez'!K3:K3)</f>
        <v>0</v>
      </c>
      <c r="F26" s="130">
        <f>SUMIF('pow rez'!C3:C3,"W",'pow rez'!N3:N3)</f>
        <v>0</v>
      </c>
      <c r="G26" s="130">
        <f>SUMIF('pow rez'!C3:C3,"W",'pow rez'!O3:O3)</f>
        <v>0</v>
      </c>
      <c r="H26" s="130">
        <f>SUMIF('pow rez'!C3:C3,"W",'pow rez'!P3:P3)</f>
        <v>0</v>
      </c>
      <c r="I26" s="130">
        <f>SUMIF('pow rez'!C3:C3,"W",'pow rez'!Q3:Q3)</f>
        <v>0</v>
      </c>
      <c r="J26" s="130">
        <f>SUMIF('pow rez'!C3:C3,"W",'pow rez'!R3:R3)</f>
        <v>0</v>
      </c>
      <c r="K26" s="130">
        <f>SUMIF('pow rez'!C3:C3,"W",'pow rez'!S3:S3)</f>
        <v>0</v>
      </c>
      <c r="L26" s="130">
        <f>SUMIF('pow rez'!C3:C3,"W",'pow rez'!T3:T3)</f>
        <v>0</v>
      </c>
      <c r="M26" s="130">
        <f>SUMIF('pow rez'!C3:C3,"W",'pow rez'!U3:U3)</f>
        <v>0</v>
      </c>
      <c r="N26" s="130">
        <f>SUMIF('pow rez'!C3:C3,"W",'pow rez'!V3:V3)</f>
        <v>0</v>
      </c>
      <c r="O26" s="130">
        <f>SUMIF('pow rez'!C3:C3,"W",'pow rez'!W3:W3)</f>
        <v>0</v>
      </c>
      <c r="P26" s="19" t="b">
        <f t="shared" si="4"/>
        <v>1</v>
      </c>
      <c r="Q26" s="40" t="b">
        <f t="shared" si="5"/>
        <v>1</v>
      </c>
      <c r="R26" s="20"/>
      <c r="S26" s="20"/>
      <c r="T26" s="21"/>
      <c r="U26" s="21"/>
      <c r="V26" s="21"/>
      <c r="W26" s="21"/>
      <c r="X26" s="21"/>
    </row>
    <row r="27" spans="1:24" ht="39.75" customHeight="1" thickTop="1">
      <c r="A27" s="72" t="s">
        <v>3</v>
      </c>
      <c r="B27" s="73">
        <f>COUNTA('gm rez'!I3:I50)</f>
        <v>44</v>
      </c>
      <c r="C27" s="74">
        <f>SUM('gm rez'!K3:K50)</f>
        <v>46862172.900000006</v>
      </c>
      <c r="D27" s="75">
        <f>SUM('gm rez'!M3:M50)</f>
        <v>17001430.459999997</v>
      </c>
      <c r="E27" s="76">
        <f>SUM('gm rez'!L3:L50)</f>
        <v>29860742.439999998</v>
      </c>
      <c r="F27" s="77">
        <f>SUM('gm rez'!O3:O50)</f>
        <v>0</v>
      </c>
      <c r="G27" s="77">
        <f>SUM('gm rez'!P3:P50)</f>
        <v>0</v>
      </c>
      <c r="H27" s="77">
        <f>SUM('gm rez'!Q3:Q50)</f>
        <v>0</v>
      </c>
      <c r="I27" s="77">
        <f>SUM('gm rez'!R3:R50)</f>
        <v>23888014.639999997</v>
      </c>
      <c r="J27" s="77">
        <f>SUM('gm rez'!S3:S50)</f>
        <v>5972727.8</v>
      </c>
      <c r="K27" s="77">
        <f>SUM('gm rez'!T3:T50)</f>
        <v>0</v>
      </c>
      <c r="L27" s="77">
        <f>SUM('gm rez'!U3:U50)</f>
        <v>0</v>
      </c>
      <c r="M27" s="77">
        <f>SUM('gm rez'!V3:V50)</f>
        <v>0</v>
      </c>
      <c r="N27" s="77">
        <f>SUM('gm rez'!W3:W50)</f>
        <v>0</v>
      </c>
      <c r="O27" s="77">
        <f>SUM('gm rez'!X3:X50)</f>
        <v>0</v>
      </c>
      <c r="P27" s="19" t="b">
        <f t="shared" si="4"/>
        <v>1</v>
      </c>
      <c r="Q27" s="40" t="b">
        <f t="shared" si="5"/>
        <v>1</v>
      </c>
      <c r="R27" s="26"/>
      <c r="S27" s="26"/>
      <c r="T27" s="27"/>
      <c r="U27" s="27"/>
      <c r="V27" s="22"/>
      <c r="W27" s="11"/>
      <c r="X27" s="11"/>
    </row>
    <row r="28" spans="1:24" ht="39.75" customHeight="1">
      <c r="A28" s="79" t="s">
        <v>39</v>
      </c>
      <c r="B28" s="122">
        <f>COUNTIF('gm rez'!C3:C50,"N")</f>
        <v>37</v>
      </c>
      <c r="C28" s="123">
        <f>SUMIF('gm rez'!C3:C50,"N",'gm rez'!K3:K50)</f>
        <v>30918220.99</v>
      </c>
      <c r="D28" s="124">
        <f>SUMIF('gm rez'!C3:C50,"N",'gm rez'!M3:M50)</f>
        <v>10948428.319999998</v>
      </c>
      <c r="E28" s="45">
        <f>SUMIF('gm rez'!C3:C50,"N",'gm rez'!L3:L50)</f>
        <v>19969792.67</v>
      </c>
      <c r="F28" s="129">
        <f>SUMIF('gm rez'!C3:C50,"N",'gm rez'!O3:O50)</f>
        <v>0</v>
      </c>
      <c r="G28" s="123">
        <f>SUMIF('gm rez'!C3:C50,"N",'gm rez'!P3:P50)</f>
        <v>0</v>
      </c>
      <c r="H28" s="123">
        <f>SUMIF('gm rez'!C3:C50,"N",'gm rez'!Q3:Q50)</f>
        <v>0</v>
      </c>
      <c r="I28" s="123">
        <f>SUMIF('gm rez'!C3:C50,"N",'gm rez'!R3:R50)</f>
        <v>19969792.67</v>
      </c>
      <c r="J28" s="123">
        <f>SUMIF('gm rez'!C3:C50,"N",'gm rez'!S3:S50)</f>
        <v>0</v>
      </c>
      <c r="K28" s="123">
        <f>SUMIF('gm rez'!C3:C50,"N",'gm rez'!T3:T50)</f>
        <v>0</v>
      </c>
      <c r="L28" s="123">
        <f>SUMIF('gm rez'!C3:C50,"N",'gm rez'!U3:U50)</f>
        <v>0</v>
      </c>
      <c r="M28" s="123">
        <f>SUMIF('gm rez'!C3:C50,"N",'gm rez'!V3:V50)</f>
        <v>0</v>
      </c>
      <c r="N28" s="123">
        <f>SUMIF('gm rez'!C3:C50,"N",'gm rez'!W3:W50)</f>
        <v>0</v>
      </c>
      <c r="O28" s="123">
        <f>SUMIF('gm rez'!C3:C50,"N",'gm rez'!X3:X50)</f>
        <v>0</v>
      </c>
      <c r="P28" s="19" t="b">
        <f t="shared" si="4"/>
        <v>1</v>
      </c>
      <c r="Q28" s="40" t="b">
        <f t="shared" si="5"/>
        <v>1</v>
      </c>
      <c r="R28" s="26"/>
      <c r="S28" s="26"/>
      <c r="T28" s="27"/>
      <c r="U28" s="27"/>
      <c r="V28" s="22"/>
      <c r="W28" s="11"/>
      <c r="X28" s="11"/>
    </row>
    <row r="29" spans="1:24" ht="39.75" customHeight="1" thickBot="1">
      <c r="A29" s="80" t="s">
        <v>40</v>
      </c>
      <c r="B29" s="125">
        <f>COUNTIF('gm rez'!C3:C50,"W")</f>
        <v>7</v>
      </c>
      <c r="C29" s="126">
        <f>SUMIF('gm rez'!C3:C50,"W",'gm rez'!K3:K50)</f>
        <v>15943951.91</v>
      </c>
      <c r="D29" s="127">
        <f>SUMIF('gm rez'!C3:C50,"W",'gm rez'!M3:M50)</f>
        <v>6053002.140000001</v>
      </c>
      <c r="E29" s="81">
        <f>SUMIF('gm rez'!C3:C50,"W",'gm rez'!L3:L50)</f>
        <v>9890949.77</v>
      </c>
      <c r="F29" s="130">
        <f>SUMIF('gm rez'!C3:C50,"W",'gm rez'!O3:O50)</f>
        <v>0</v>
      </c>
      <c r="G29" s="126">
        <f>SUMIF('gm rez'!C3:C50,"W",'gm rez'!P3:P50)</f>
        <v>0</v>
      </c>
      <c r="H29" s="126">
        <f>SUMIF('gm rez'!C3:C50,"W",'gm rez'!Q3:Q50)</f>
        <v>0</v>
      </c>
      <c r="I29" s="126">
        <f>SUMIF('gm rez'!C3:C50,"W",'gm rez'!R3:R50)</f>
        <v>3918221.9699999997</v>
      </c>
      <c r="J29" s="126">
        <f>SUMIF('gm rez'!C3:C50,"W",'gm rez'!S3:S50)</f>
        <v>5972727.8</v>
      </c>
      <c r="K29" s="126">
        <f>SUMIF('gm rez'!C3:C50,"W",'gm rez'!T3:T50)</f>
        <v>0</v>
      </c>
      <c r="L29" s="126">
        <f>SUMIF('gm rez'!C3:C50,"W",'gm rez'!U3:U50)</f>
        <v>0</v>
      </c>
      <c r="M29" s="126">
        <f>SUMIF('gm rez'!C3:C50,"W",'gm rez'!V3:V50)</f>
        <v>0</v>
      </c>
      <c r="N29" s="126">
        <f>SUMIF('gm rez'!C3:C50,"W",'gm rez'!W3:W50)</f>
        <v>0</v>
      </c>
      <c r="O29" s="126">
        <f>SUMIF('gm rez'!C3:C50,"W",'gm rez'!X3:X50)</f>
        <v>0</v>
      </c>
      <c r="P29" s="19" t="b">
        <f t="shared" si="4"/>
        <v>1</v>
      </c>
      <c r="Q29" s="40" t="b">
        <f t="shared" si="5"/>
        <v>1</v>
      </c>
      <c r="R29" s="26"/>
      <c r="S29" s="26"/>
      <c r="T29" s="27"/>
      <c r="U29" s="27"/>
      <c r="V29" s="22"/>
      <c r="W29" s="11"/>
      <c r="X29" s="11"/>
    </row>
    <row r="30" spans="1:21" ht="39.75" customHeight="1" thickTop="1">
      <c r="A30" s="95" t="s">
        <v>22</v>
      </c>
      <c r="B30" s="96">
        <f>B24+B27</f>
        <v>45</v>
      </c>
      <c r="C30" s="97">
        <f>C24+C27</f>
        <v>47431329.18000001</v>
      </c>
      <c r="D30" s="98">
        <f aca="true" t="shared" si="6" ref="D30:O30">D24+D27</f>
        <v>17286008.599999998</v>
      </c>
      <c r="E30" s="71">
        <f t="shared" si="6"/>
        <v>30145320.58</v>
      </c>
      <c r="F30" s="99">
        <f t="shared" si="6"/>
        <v>0</v>
      </c>
      <c r="G30" s="97">
        <f t="shared" si="6"/>
        <v>0</v>
      </c>
      <c r="H30" s="97">
        <f t="shared" si="6"/>
        <v>0</v>
      </c>
      <c r="I30" s="97">
        <f t="shared" si="6"/>
        <v>24172592.779999997</v>
      </c>
      <c r="J30" s="97">
        <f t="shared" si="6"/>
        <v>5972727.8</v>
      </c>
      <c r="K30" s="97">
        <f t="shared" si="6"/>
        <v>0</v>
      </c>
      <c r="L30" s="97">
        <f t="shared" si="6"/>
        <v>0</v>
      </c>
      <c r="M30" s="97">
        <f t="shared" si="6"/>
        <v>0</v>
      </c>
      <c r="N30" s="97">
        <f t="shared" si="6"/>
        <v>0</v>
      </c>
      <c r="O30" s="100">
        <f t="shared" si="6"/>
        <v>0</v>
      </c>
      <c r="P30" s="19" t="b">
        <f t="shared" si="4"/>
        <v>1</v>
      </c>
      <c r="Q30" s="40" t="b">
        <f t="shared" si="5"/>
        <v>1</v>
      </c>
      <c r="R30" s="28"/>
      <c r="S30" s="28"/>
      <c r="T30" s="2"/>
      <c r="U30" s="2"/>
    </row>
    <row r="31" spans="1:21" ht="39.75" customHeight="1">
      <c r="A31" s="58" t="s">
        <v>39</v>
      </c>
      <c r="B31" s="56">
        <f aca="true" t="shared" si="7" ref="B31:O31">B25+B28</f>
        <v>38</v>
      </c>
      <c r="C31" s="48">
        <f t="shared" si="7"/>
        <v>31487377.27</v>
      </c>
      <c r="D31" s="61">
        <f t="shared" si="7"/>
        <v>11233006.459999999</v>
      </c>
      <c r="E31" s="45">
        <f t="shared" si="7"/>
        <v>20254370.810000002</v>
      </c>
      <c r="F31" s="65">
        <f t="shared" si="7"/>
        <v>0</v>
      </c>
      <c r="G31" s="48">
        <f t="shared" si="7"/>
        <v>0</v>
      </c>
      <c r="H31" s="48">
        <f t="shared" si="7"/>
        <v>0</v>
      </c>
      <c r="I31" s="48">
        <f t="shared" si="7"/>
        <v>20254370.810000002</v>
      </c>
      <c r="J31" s="48">
        <f t="shared" si="7"/>
        <v>0</v>
      </c>
      <c r="K31" s="48">
        <f t="shared" si="7"/>
        <v>0</v>
      </c>
      <c r="L31" s="48">
        <f t="shared" si="7"/>
        <v>0</v>
      </c>
      <c r="M31" s="48">
        <f t="shared" si="7"/>
        <v>0</v>
      </c>
      <c r="N31" s="48">
        <f t="shared" si="7"/>
        <v>0</v>
      </c>
      <c r="O31" s="53">
        <f t="shared" si="7"/>
        <v>0</v>
      </c>
      <c r="P31" s="19" t="b">
        <f t="shared" si="4"/>
        <v>1</v>
      </c>
      <c r="Q31" s="40" t="b">
        <f t="shared" si="5"/>
        <v>1</v>
      </c>
      <c r="R31" s="28"/>
      <c r="S31" s="28"/>
      <c r="T31" s="2"/>
      <c r="U31" s="2"/>
    </row>
    <row r="32" spans="1:21" ht="39.75" customHeight="1" thickBot="1">
      <c r="A32" s="101" t="s">
        <v>40</v>
      </c>
      <c r="B32" s="102">
        <f aca="true" t="shared" si="8" ref="B32:O32">B26+B29</f>
        <v>7</v>
      </c>
      <c r="C32" s="103">
        <f t="shared" si="8"/>
        <v>15943951.91</v>
      </c>
      <c r="D32" s="104">
        <f t="shared" si="8"/>
        <v>6053002.140000001</v>
      </c>
      <c r="E32" s="105">
        <f t="shared" si="8"/>
        <v>9890949.77</v>
      </c>
      <c r="F32" s="106">
        <f t="shared" si="8"/>
        <v>0</v>
      </c>
      <c r="G32" s="103">
        <f t="shared" si="8"/>
        <v>0</v>
      </c>
      <c r="H32" s="103">
        <f t="shared" si="8"/>
        <v>0</v>
      </c>
      <c r="I32" s="103">
        <f t="shared" si="8"/>
        <v>3918221.9699999997</v>
      </c>
      <c r="J32" s="103">
        <f t="shared" si="8"/>
        <v>5972727.8</v>
      </c>
      <c r="K32" s="103">
        <f t="shared" si="8"/>
        <v>0</v>
      </c>
      <c r="L32" s="103">
        <f t="shared" si="8"/>
        <v>0</v>
      </c>
      <c r="M32" s="103">
        <f t="shared" si="8"/>
        <v>0</v>
      </c>
      <c r="N32" s="103">
        <f t="shared" si="8"/>
        <v>0</v>
      </c>
      <c r="O32" s="107">
        <f t="shared" si="8"/>
        <v>0</v>
      </c>
      <c r="P32" s="19" t="b">
        <f t="shared" si="4"/>
        <v>1</v>
      </c>
      <c r="Q32" s="40" t="b">
        <f t="shared" si="5"/>
        <v>1</v>
      </c>
      <c r="R32" s="28"/>
      <c r="S32" s="28"/>
      <c r="T32" s="2"/>
      <c r="U32" s="2"/>
    </row>
    <row r="33" spans="1:21" ht="39.75" customHeight="1" thickTop="1">
      <c r="A33" s="108" t="s">
        <v>34</v>
      </c>
      <c r="B33" s="109">
        <f>B20+B30</f>
        <v>99</v>
      </c>
      <c r="C33" s="110">
        <f>C20+C30</f>
        <v>180702895.83999997</v>
      </c>
      <c r="D33" s="111">
        <f aca="true" t="shared" si="9" ref="D33:O33">D20+D30</f>
        <v>75561038.63</v>
      </c>
      <c r="E33" s="112">
        <f>E20+E30</f>
        <v>105141857.21</v>
      </c>
      <c r="F33" s="113">
        <f>F20+F30</f>
        <v>0</v>
      </c>
      <c r="G33" s="142">
        <f>G20+G30</f>
        <v>0</v>
      </c>
      <c r="H33" s="142">
        <f>H20+H30</f>
        <v>10634487.23</v>
      </c>
      <c r="I33" s="142">
        <f>I20+I30</f>
        <v>81100494.85</v>
      </c>
      <c r="J33" s="110">
        <f t="shared" si="9"/>
        <v>13406875.129999999</v>
      </c>
      <c r="K33" s="110">
        <f t="shared" si="9"/>
        <v>0</v>
      </c>
      <c r="L33" s="110">
        <f t="shared" si="9"/>
        <v>0</v>
      </c>
      <c r="M33" s="110">
        <f t="shared" si="9"/>
        <v>0</v>
      </c>
      <c r="N33" s="110">
        <f t="shared" si="9"/>
        <v>0</v>
      </c>
      <c r="O33" s="114">
        <f t="shared" si="9"/>
        <v>0</v>
      </c>
      <c r="P33" s="19" t="b">
        <f t="shared" si="4"/>
        <v>1</v>
      </c>
      <c r="Q33" s="40" t="b">
        <f t="shared" si="5"/>
        <v>1</v>
      </c>
      <c r="R33" s="28"/>
      <c r="S33" s="28"/>
      <c r="T33" s="2"/>
      <c r="U33" s="2"/>
    </row>
    <row r="34" spans="1:21" ht="39.75" customHeight="1">
      <c r="A34" s="115" t="s">
        <v>39</v>
      </c>
      <c r="B34" s="57">
        <f aca="true" t="shared" si="10" ref="B34:F35">B22+B31</f>
        <v>79</v>
      </c>
      <c r="C34" s="141">
        <f t="shared" si="10"/>
        <v>104820876.76</v>
      </c>
      <c r="D34" s="141">
        <f t="shared" si="10"/>
        <v>46015337.9</v>
      </c>
      <c r="E34" s="67">
        <f t="shared" si="10"/>
        <v>58805538.86</v>
      </c>
      <c r="F34" s="66">
        <f t="shared" si="10"/>
        <v>0</v>
      </c>
      <c r="G34" s="141">
        <f aca="true" t="shared" si="11" ref="G34:O34">G22+G31</f>
        <v>0</v>
      </c>
      <c r="H34" s="141">
        <f t="shared" si="11"/>
        <v>0</v>
      </c>
      <c r="I34" s="141">
        <f t="shared" si="11"/>
        <v>58805538.86</v>
      </c>
      <c r="J34" s="141">
        <f t="shared" si="11"/>
        <v>0</v>
      </c>
      <c r="K34" s="141">
        <f t="shared" si="11"/>
        <v>0</v>
      </c>
      <c r="L34" s="141">
        <f t="shared" si="11"/>
        <v>0</v>
      </c>
      <c r="M34" s="141">
        <f t="shared" si="11"/>
        <v>0</v>
      </c>
      <c r="N34" s="141">
        <f t="shared" si="11"/>
        <v>0</v>
      </c>
      <c r="O34" s="141">
        <f t="shared" si="11"/>
        <v>0</v>
      </c>
      <c r="P34" s="19" t="b">
        <f t="shared" si="4"/>
        <v>1</v>
      </c>
      <c r="Q34" s="40" t="b">
        <f t="shared" si="5"/>
        <v>1</v>
      </c>
      <c r="R34" s="28"/>
      <c r="S34" s="28"/>
      <c r="T34" s="2"/>
      <c r="U34" s="2"/>
    </row>
    <row r="35" spans="1:21" ht="39.75" customHeight="1" thickBot="1">
      <c r="A35" s="116" t="s">
        <v>40</v>
      </c>
      <c r="B35" s="117">
        <f t="shared" si="10"/>
        <v>15</v>
      </c>
      <c r="C35" s="143">
        <f t="shared" si="10"/>
        <v>50103558.56</v>
      </c>
      <c r="D35" s="143">
        <f t="shared" si="10"/>
        <v>20415518.39</v>
      </c>
      <c r="E35" s="81">
        <f t="shared" si="10"/>
        <v>29688040.169999998</v>
      </c>
      <c r="F35" s="118">
        <f t="shared" si="10"/>
        <v>0</v>
      </c>
      <c r="G35" s="143">
        <f aca="true" t="shared" si="12" ref="G35:O35">G23+G32</f>
        <v>0</v>
      </c>
      <c r="H35" s="143">
        <f t="shared" si="12"/>
        <v>0</v>
      </c>
      <c r="I35" s="143">
        <f t="shared" si="12"/>
        <v>16281165.04</v>
      </c>
      <c r="J35" s="143">
        <f t="shared" si="12"/>
        <v>13406875.129999999</v>
      </c>
      <c r="K35" s="143">
        <f t="shared" si="12"/>
        <v>0</v>
      </c>
      <c r="L35" s="143">
        <f t="shared" si="12"/>
        <v>0</v>
      </c>
      <c r="M35" s="143">
        <f t="shared" si="12"/>
        <v>0</v>
      </c>
      <c r="N35" s="143">
        <f t="shared" si="12"/>
        <v>0</v>
      </c>
      <c r="O35" s="143">
        <f t="shared" si="12"/>
        <v>0</v>
      </c>
      <c r="P35" s="19" t="b">
        <f t="shared" si="4"/>
        <v>1</v>
      </c>
      <c r="Q35" s="40" t="b">
        <f t="shared" si="5"/>
        <v>1</v>
      </c>
      <c r="R35" s="28"/>
      <c r="S35" s="28"/>
      <c r="T35" s="2"/>
      <c r="U35" s="2"/>
    </row>
    <row r="36" spans="1:21" ht="15.75" thickTop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8"/>
      <c r="S36" s="28"/>
      <c r="T36" s="2"/>
      <c r="U36" s="2"/>
    </row>
    <row r="37" spans="1:21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8"/>
      <c r="S37" s="28"/>
      <c r="T37" s="2"/>
      <c r="U37" s="2"/>
    </row>
    <row r="38" spans="1:21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8"/>
      <c r="S38" s="28"/>
      <c r="T38" s="2"/>
      <c r="U38" s="2"/>
    </row>
  </sheetData>
  <sheetProtection/>
  <mergeCells count="8">
    <mergeCell ref="G1:H1"/>
    <mergeCell ref="F2:N6"/>
    <mergeCell ref="F7:N7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  <headerFooter>
    <oddHeader>&amp;LWojewództwo &amp;K000000Opolskie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1"/>
  <sheetViews>
    <sheetView showGridLines="0" view="pageBreakPreview" zoomScaleNormal="78" zoomScaleSheetLayoutView="100" zoomScalePageLayoutView="0" workbookViewId="0" topLeftCell="A1">
      <selection activeCell="F12" sqref="F12"/>
    </sheetView>
  </sheetViews>
  <sheetFormatPr defaultColWidth="9.140625" defaultRowHeight="15"/>
  <cols>
    <col min="1" max="1" width="7.421875" style="3" customWidth="1"/>
    <col min="2" max="2" width="15.57421875" style="3" customWidth="1"/>
    <col min="3" max="3" width="11.57421875" style="3" customWidth="1"/>
    <col min="4" max="4" width="18.00390625" style="3" customWidth="1"/>
    <col min="5" max="5" width="15.57421875" style="3" customWidth="1"/>
    <col min="6" max="6" width="52.140625" style="3" customWidth="1"/>
    <col min="7" max="7" width="13.00390625" style="3" bestFit="1" customWidth="1"/>
    <col min="8" max="8" width="15.00390625" style="3" customWidth="1"/>
    <col min="9" max="9" width="20.421875" style="3" bestFit="1" customWidth="1"/>
    <col min="10" max="10" width="18.140625" style="4" customWidth="1"/>
    <col min="11" max="11" width="13.57421875" style="3" bestFit="1" customWidth="1"/>
    <col min="12" max="12" width="18.57421875" style="3" customWidth="1"/>
    <col min="13" max="14" width="15.57421875" style="1" customWidth="1"/>
    <col min="15" max="23" width="15.57421875" style="3" customWidth="1"/>
    <col min="24" max="24" width="15.57421875" style="41" customWidth="1"/>
    <col min="25" max="26" width="15.7109375" style="1" customWidth="1"/>
    <col min="27" max="27" width="15.7109375" style="41" customWidth="1"/>
    <col min="28" max="29" width="9.140625" style="2" customWidth="1"/>
    <col min="30" max="30" width="11.7109375" style="2" bestFit="1" customWidth="1"/>
    <col min="31" max="159" width="9.140625" style="2" customWidth="1"/>
    <col min="160" max="16384" width="9.140625" style="3" customWidth="1"/>
  </cols>
  <sheetData>
    <row r="1" spans="1:27" ht="19.5" customHeight="1">
      <c r="A1" s="327" t="s">
        <v>4</v>
      </c>
      <c r="B1" s="327" t="s">
        <v>5</v>
      </c>
      <c r="C1" s="333" t="s">
        <v>44</v>
      </c>
      <c r="D1" s="325" t="s">
        <v>6</v>
      </c>
      <c r="E1" s="325" t="s">
        <v>32</v>
      </c>
      <c r="F1" s="325" t="s">
        <v>7</v>
      </c>
      <c r="G1" s="327" t="s">
        <v>26</v>
      </c>
      <c r="H1" s="327" t="s">
        <v>102</v>
      </c>
      <c r="I1" s="327" t="s">
        <v>23</v>
      </c>
      <c r="J1" s="328" t="s">
        <v>8</v>
      </c>
      <c r="K1" s="327" t="s">
        <v>15</v>
      </c>
      <c r="L1" s="325" t="s">
        <v>12</v>
      </c>
      <c r="M1" s="327" t="s">
        <v>10</v>
      </c>
      <c r="N1" s="329" t="s">
        <v>11</v>
      </c>
      <c r="O1" s="330"/>
      <c r="P1" s="330"/>
      <c r="Q1" s="330"/>
      <c r="R1" s="330"/>
      <c r="S1" s="330"/>
      <c r="T1" s="330"/>
      <c r="U1" s="330"/>
      <c r="V1" s="330"/>
      <c r="W1" s="330"/>
      <c r="X1" s="256"/>
      <c r="Y1" s="256"/>
      <c r="Z1" s="256"/>
      <c r="AA1" s="257"/>
    </row>
    <row r="2" spans="1:27" ht="49.5" customHeight="1">
      <c r="A2" s="327"/>
      <c r="B2" s="327"/>
      <c r="C2" s="334"/>
      <c r="D2" s="326"/>
      <c r="E2" s="326"/>
      <c r="F2" s="326"/>
      <c r="G2" s="327"/>
      <c r="H2" s="327"/>
      <c r="I2" s="327"/>
      <c r="J2" s="328"/>
      <c r="K2" s="327"/>
      <c r="L2" s="326"/>
      <c r="M2" s="327"/>
      <c r="N2" s="209">
        <v>2019</v>
      </c>
      <c r="O2" s="209">
        <v>2020</v>
      </c>
      <c r="P2" s="209">
        <v>2021</v>
      </c>
      <c r="Q2" s="209">
        <v>2022</v>
      </c>
      <c r="R2" s="209">
        <v>2023</v>
      </c>
      <c r="S2" s="209">
        <v>2024</v>
      </c>
      <c r="T2" s="209">
        <v>2025</v>
      </c>
      <c r="U2" s="209">
        <v>2026</v>
      </c>
      <c r="V2" s="209">
        <v>2027</v>
      </c>
      <c r="W2" s="235">
        <v>2028</v>
      </c>
      <c r="X2" s="256" t="s">
        <v>28</v>
      </c>
      <c r="Y2" s="256" t="s">
        <v>29</v>
      </c>
      <c r="Z2" s="256" t="s">
        <v>30</v>
      </c>
      <c r="AA2" s="42" t="s">
        <v>31</v>
      </c>
    </row>
    <row r="3" spans="1:159" s="135" customFormat="1" ht="33.75" customHeight="1">
      <c r="A3" s="145">
        <v>1</v>
      </c>
      <c r="B3" s="236" t="s">
        <v>96</v>
      </c>
      <c r="C3" s="236" t="s">
        <v>48</v>
      </c>
      <c r="D3" s="236" t="s">
        <v>46</v>
      </c>
      <c r="E3" s="236" t="s">
        <v>106</v>
      </c>
      <c r="F3" s="236" t="s">
        <v>143</v>
      </c>
      <c r="G3" s="236" t="s">
        <v>47</v>
      </c>
      <c r="H3" s="236">
        <v>1.118</v>
      </c>
      <c r="I3" s="236" t="s">
        <v>139</v>
      </c>
      <c r="J3" s="237">
        <v>3334837.71</v>
      </c>
      <c r="K3" s="237">
        <f>ROUND(J3*M3,2)</f>
        <v>1667418.86</v>
      </c>
      <c r="L3" s="237">
        <f>J3-K3</f>
        <v>1667418.8499999999</v>
      </c>
      <c r="M3" s="238">
        <v>0.5</v>
      </c>
      <c r="N3" s="237">
        <v>0</v>
      </c>
      <c r="O3" s="237">
        <v>0</v>
      </c>
      <c r="P3" s="237">
        <f>ROUND(M3*2330000,2)</f>
        <v>1165000</v>
      </c>
      <c r="Q3" s="237">
        <f>ROUND(M3*1004837.71,2)</f>
        <v>502418.86</v>
      </c>
      <c r="R3" s="239">
        <v>0</v>
      </c>
      <c r="S3" s="239">
        <v>0</v>
      </c>
      <c r="T3" s="239">
        <v>0</v>
      </c>
      <c r="U3" s="239">
        <v>0</v>
      </c>
      <c r="V3" s="239">
        <v>0</v>
      </c>
      <c r="W3" s="253">
        <v>0</v>
      </c>
      <c r="X3" s="256" t="b">
        <f aca="true" t="shared" si="0" ref="X3:X12">K3=SUM(O3:W3)</f>
        <v>1</v>
      </c>
      <c r="Y3" s="258">
        <f aca="true" t="shared" si="1" ref="Y3:Y14">ROUND(K3/J3,4)</f>
        <v>0.5</v>
      </c>
      <c r="Z3" s="259" t="b">
        <f aca="true" t="shared" si="2" ref="Z3:Z14">Y3=M3</f>
        <v>1</v>
      </c>
      <c r="AA3" s="259" t="b">
        <f aca="true" t="shared" si="3" ref="AA3:AA14">J3=K3+L3</f>
        <v>1</v>
      </c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</row>
    <row r="4" spans="1:159" s="135" customFormat="1" ht="34.5" customHeight="1">
      <c r="A4" s="158">
        <v>2</v>
      </c>
      <c r="B4" s="178" t="s">
        <v>108</v>
      </c>
      <c r="C4" s="159" t="s">
        <v>53</v>
      </c>
      <c r="D4" s="178" t="s">
        <v>56</v>
      </c>
      <c r="E4" s="178">
        <v>1609</v>
      </c>
      <c r="F4" s="178" t="s">
        <v>119</v>
      </c>
      <c r="G4" s="158" t="s">
        <v>47</v>
      </c>
      <c r="H4" s="158">
        <v>0.342</v>
      </c>
      <c r="I4" s="172" t="s">
        <v>130</v>
      </c>
      <c r="J4" s="171">
        <v>581008.12</v>
      </c>
      <c r="K4" s="169">
        <f aca="true" t="shared" si="4" ref="K4:K12">ROUND(J4*M4,2)</f>
        <v>290504.06</v>
      </c>
      <c r="L4" s="172">
        <f aca="true" t="shared" si="5" ref="L4:L14">J4-K4</f>
        <v>290504.06</v>
      </c>
      <c r="M4" s="147">
        <v>0.5</v>
      </c>
      <c r="N4" s="279">
        <v>0</v>
      </c>
      <c r="O4" s="279">
        <v>0</v>
      </c>
      <c r="P4" s="171">
        <v>0</v>
      </c>
      <c r="Q4" s="171">
        <f aca="true" t="shared" si="6" ref="Q4:Q10">K4</f>
        <v>290504.06</v>
      </c>
      <c r="R4" s="279">
        <v>0</v>
      </c>
      <c r="S4" s="279">
        <v>0</v>
      </c>
      <c r="T4" s="279">
        <v>0</v>
      </c>
      <c r="U4" s="279">
        <v>0</v>
      </c>
      <c r="V4" s="279">
        <v>0</v>
      </c>
      <c r="W4" s="280">
        <v>0</v>
      </c>
      <c r="X4" s="256" t="b">
        <f t="shared" si="0"/>
        <v>1</v>
      </c>
      <c r="Y4" s="258">
        <f t="shared" si="1"/>
        <v>0.5</v>
      </c>
      <c r="Z4" s="259" t="b">
        <f t="shared" si="2"/>
        <v>1</v>
      </c>
      <c r="AA4" s="259" t="b">
        <f t="shared" si="3"/>
        <v>1</v>
      </c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</row>
    <row r="5" spans="1:159" s="135" customFormat="1" ht="34.5" customHeight="1">
      <c r="A5" s="158">
        <v>3</v>
      </c>
      <c r="B5" s="145" t="s">
        <v>109</v>
      </c>
      <c r="C5" s="225" t="s">
        <v>80</v>
      </c>
      <c r="D5" s="223" t="s">
        <v>46</v>
      </c>
      <c r="E5" s="223">
        <v>1607</v>
      </c>
      <c r="F5" s="145" t="s">
        <v>120</v>
      </c>
      <c r="G5" s="222" t="s">
        <v>47</v>
      </c>
      <c r="H5" s="145">
        <v>1.202</v>
      </c>
      <c r="I5" s="145" t="s">
        <v>131</v>
      </c>
      <c r="J5" s="176">
        <v>12979000</v>
      </c>
      <c r="K5" s="170">
        <f t="shared" si="4"/>
        <v>6489500</v>
      </c>
      <c r="L5" s="177">
        <f t="shared" si="5"/>
        <v>6489500</v>
      </c>
      <c r="M5" s="161">
        <v>0.5</v>
      </c>
      <c r="N5" s="281">
        <v>0</v>
      </c>
      <c r="O5" s="281">
        <v>0</v>
      </c>
      <c r="P5" s="176">
        <v>0</v>
      </c>
      <c r="Q5" s="176">
        <f>ROUND(M5*6539000,2)</f>
        <v>3269500</v>
      </c>
      <c r="R5" s="176">
        <f>K5-Q5</f>
        <v>3220000</v>
      </c>
      <c r="S5" s="281">
        <v>0</v>
      </c>
      <c r="T5" s="281">
        <v>0</v>
      </c>
      <c r="U5" s="281">
        <v>0</v>
      </c>
      <c r="V5" s="281">
        <v>0</v>
      </c>
      <c r="W5" s="282">
        <v>0</v>
      </c>
      <c r="X5" s="256" t="b">
        <f t="shared" si="0"/>
        <v>1</v>
      </c>
      <c r="Y5" s="258">
        <f t="shared" si="1"/>
        <v>0.5</v>
      </c>
      <c r="Z5" s="259" t="b">
        <f t="shared" si="2"/>
        <v>1</v>
      </c>
      <c r="AA5" s="259" t="b">
        <f t="shared" si="3"/>
        <v>1</v>
      </c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</row>
    <row r="6" spans="1:159" s="137" customFormat="1" ht="34.5" customHeight="1">
      <c r="A6" s="158">
        <v>4</v>
      </c>
      <c r="B6" s="145" t="s">
        <v>110</v>
      </c>
      <c r="C6" s="145" t="s">
        <v>80</v>
      </c>
      <c r="D6" s="223" t="s">
        <v>57</v>
      </c>
      <c r="E6" s="223">
        <v>1608</v>
      </c>
      <c r="F6" s="145" t="s">
        <v>121</v>
      </c>
      <c r="G6" s="145" t="s">
        <v>47</v>
      </c>
      <c r="H6" s="145">
        <v>1.916</v>
      </c>
      <c r="I6" s="145" t="s">
        <v>132</v>
      </c>
      <c r="J6" s="176">
        <v>3384652.85</v>
      </c>
      <c r="K6" s="170">
        <f t="shared" si="4"/>
        <v>1692326.43</v>
      </c>
      <c r="L6" s="177">
        <f t="shared" si="5"/>
        <v>1692326.4200000002</v>
      </c>
      <c r="M6" s="161">
        <v>0.5</v>
      </c>
      <c r="N6" s="281">
        <v>0</v>
      </c>
      <c r="O6" s="281">
        <v>0</v>
      </c>
      <c r="P6" s="176">
        <v>0</v>
      </c>
      <c r="Q6" s="176">
        <f>ROUND(M6*2375652.85,2)</f>
        <v>1187826.43</v>
      </c>
      <c r="R6" s="176">
        <f>K6-Q6</f>
        <v>504500</v>
      </c>
      <c r="S6" s="281">
        <v>0</v>
      </c>
      <c r="T6" s="281">
        <v>0</v>
      </c>
      <c r="U6" s="281">
        <v>0</v>
      </c>
      <c r="V6" s="281">
        <v>0</v>
      </c>
      <c r="W6" s="282">
        <v>0</v>
      </c>
      <c r="X6" s="256" t="b">
        <f t="shared" si="0"/>
        <v>1</v>
      </c>
      <c r="Y6" s="258">
        <f t="shared" si="1"/>
        <v>0.5</v>
      </c>
      <c r="Z6" s="259" t="b">
        <f t="shared" si="2"/>
        <v>1</v>
      </c>
      <c r="AA6" s="259" t="b">
        <f t="shared" si="3"/>
        <v>1</v>
      </c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</row>
    <row r="7" spans="1:159" s="270" customFormat="1" ht="34.5" customHeight="1">
      <c r="A7" s="158">
        <v>5</v>
      </c>
      <c r="B7" s="178" t="s">
        <v>111</v>
      </c>
      <c r="C7" s="173" t="s">
        <v>53</v>
      </c>
      <c r="D7" s="178" t="s">
        <v>49</v>
      </c>
      <c r="E7" s="178">
        <v>1601</v>
      </c>
      <c r="F7" s="178" t="s">
        <v>122</v>
      </c>
      <c r="G7" s="173" t="s">
        <v>104</v>
      </c>
      <c r="H7" s="178">
        <v>0.995</v>
      </c>
      <c r="I7" s="226" t="s">
        <v>133</v>
      </c>
      <c r="J7" s="226">
        <v>318133.29</v>
      </c>
      <c r="K7" s="283">
        <f>ROUNDDOWN(J7*M7,2)</f>
        <v>222693.3</v>
      </c>
      <c r="L7" s="278">
        <f t="shared" si="5"/>
        <v>95439.98999999999</v>
      </c>
      <c r="M7" s="147">
        <v>0.7</v>
      </c>
      <c r="N7" s="279">
        <v>0</v>
      </c>
      <c r="O7" s="279">
        <v>0</v>
      </c>
      <c r="P7" s="171">
        <v>0</v>
      </c>
      <c r="Q7" s="171">
        <f t="shared" si="6"/>
        <v>222693.3</v>
      </c>
      <c r="R7" s="279">
        <v>0</v>
      </c>
      <c r="S7" s="279">
        <v>0</v>
      </c>
      <c r="T7" s="279">
        <v>0</v>
      </c>
      <c r="U7" s="279">
        <v>0</v>
      </c>
      <c r="V7" s="279">
        <v>0</v>
      </c>
      <c r="W7" s="280">
        <v>0</v>
      </c>
      <c r="X7" s="266" t="b">
        <f t="shared" si="0"/>
        <v>1</v>
      </c>
      <c r="Y7" s="267">
        <f t="shared" si="1"/>
        <v>0.7</v>
      </c>
      <c r="Z7" s="268" t="b">
        <f t="shared" si="2"/>
        <v>1</v>
      </c>
      <c r="AA7" s="268" t="b">
        <f t="shared" si="3"/>
        <v>1</v>
      </c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69"/>
      <c r="CI7" s="269"/>
      <c r="CJ7" s="269"/>
      <c r="CK7" s="269"/>
      <c r="CL7" s="269"/>
      <c r="CM7" s="269"/>
      <c r="CN7" s="269"/>
      <c r="CO7" s="269"/>
      <c r="CP7" s="269"/>
      <c r="CQ7" s="269"/>
      <c r="CR7" s="269"/>
      <c r="CS7" s="269"/>
      <c r="CT7" s="269"/>
      <c r="CU7" s="269"/>
      <c r="CV7" s="269"/>
      <c r="CW7" s="269"/>
      <c r="CX7" s="269"/>
      <c r="CY7" s="269"/>
      <c r="CZ7" s="269"/>
      <c r="DA7" s="269"/>
      <c r="DB7" s="269"/>
      <c r="DC7" s="269"/>
      <c r="DD7" s="269"/>
      <c r="DE7" s="269"/>
      <c r="DF7" s="269"/>
      <c r="DG7" s="269"/>
      <c r="DH7" s="269"/>
      <c r="DI7" s="269"/>
      <c r="DJ7" s="269"/>
      <c r="DK7" s="269"/>
      <c r="DL7" s="269"/>
      <c r="DM7" s="269"/>
      <c r="DN7" s="269"/>
      <c r="DO7" s="269"/>
      <c r="DP7" s="269"/>
      <c r="DQ7" s="269"/>
      <c r="DR7" s="269"/>
      <c r="DS7" s="269"/>
      <c r="DT7" s="269"/>
      <c r="DU7" s="269"/>
      <c r="DV7" s="269"/>
      <c r="DW7" s="269"/>
      <c r="DX7" s="269"/>
      <c r="DY7" s="269"/>
      <c r="DZ7" s="269"/>
      <c r="EA7" s="269"/>
      <c r="EB7" s="269"/>
      <c r="EC7" s="269"/>
      <c r="ED7" s="269"/>
      <c r="EE7" s="269"/>
      <c r="EF7" s="269"/>
      <c r="EG7" s="269"/>
      <c r="EH7" s="269"/>
      <c r="EI7" s="269"/>
      <c r="EJ7" s="269"/>
      <c r="EK7" s="269"/>
      <c r="EL7" s="269"/>
      <c r="EM7" s="269"/>
      <c r="EN7" s="269"/>
      <c r="EO7" s="269"/>
      <c r="EP7" s="269"/>
      <c r="EQ7" s="269"/>
      <c r="ER7" s="269"/>
      <c r="ES7" s="269"/>
      <c r="ET7" s="269"/>
      <c r="EU7" s="269"/>
      <c r="EV7" s="269"/>
      <c r="EW7" s="269"/>
      <c r="EX7" s="269"/>
      <c r="EY7" s="269"/>
      <c r="EZ7" s="269"/>
      <c r="FA7" s="269"/>
      <c r="FB7" s="269"/>
      <c r="FC7" s="269"/>
    </row>
    <row r="8" spans="1:159" s="137" customFormat="1" ht="63.75" customHeight="1">
      <c r="A8" s="158">
        <v>6</v>
      </c>
      <c r="B8" s="178" t="s">
        <v>112</v>
      </c>
      <c r="C8" s="158" t="s">
        <v>53</v>
      </c>
      <c r="D8" s="178" t="s">
        <v>58</v>
      </c>
      <c r="E8" s="224">
        <v>1611</v>
      </c>
      <c r="F8" s="224" t="s">
        <v>123</v>
      </c>
      <c r="G8" s="158" t="s">
        <v>103</v>
      </c>
      <c r="H8" s="158">
        <v>0.215</v>
      </c>
      <c r="I8" s="172" t="s">
        <v>133</v>
      </c>
      <c r="J8" s="171">
        <v>1870637.45</v>
      </c>
      <c r="K8" s="171">
        <f t="shared" si="4"/>
        <v>935318.73</v>
      </c>
      <c r="L8" s="172">
        <f t="shared" si="5"/>
        <v>935318.72</v>
      </c>
      <c r="M8" s="147">
        <v>0.5</v>
      </c>
      <c r="N8" s="279">
        <v>0</v>
      </c>
      <c r="O8" s="279">
        <v>0</v>
      </c>
      <c r="P8" s="171">
        <v>0</v>
      </c>
      <c r="Q8" s="171">
        <f t="shared" si="6"/>
        <v>935318.73</v>
      </c>
      <c r="R8" s="279">
        <v>0</v>
      </c>
      <c r="S8" s="279">
        <v>0</v>
      </c>
      <c r="T8" s="279">
        <v>0</v>
      </c>
      <c r="U8" s="279">
        <v>0</v>
      </c>
      <c r="V8" s="279">
        <v>0</v>
      </c>
      <c r="W8" s="280">
        <v>0</v>
      </c>
      <c r="X8" s="256" t="b">
        <f t="shared" si="0"/>
        <v>1</v>
      </c>
      <c r="Y8" s="258">
        <f t="shared" si="1"/>
        <v>0.5</v>
      </c>
      <c r="Z8" s="259" t="b">
        <f t="shared" si="2"/>
        <v>1</v>
      </c>
      <c r="AA8" s="259" t="b">
        <f t="shared" si="3"/>
        <v>1</v>
      </c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</row>
    <row r="9" spans="1:27" s="140" customFormat="1" ht="29.25" customHeight="1">
      <c r="A9" s="158">
        <v>7</v>
      </c>
      <c r="B9" s="178" t="s">
        <v>113</v>
      </c>
      <c r="C9" s="158" t="s">
        <v>53</v>
      </c>
      <c r="D9" s="178" t="s">
        <v>57</v>
      </c>
      <c r="E9" s="178">
        <v>1608</v>
      </c>
      <c r="F9" s="178" t="s">
        <v>124</v>
      </c>
      <c r="G9" s="158" t="s">
        <v>47</v>
      </c>
      <c r="H9" s="158">
        <v>2.339</v>
      </c>
      <c r="I9" s="172" t="s">
        <v>134</v>
      </c>
      <c r="J9" s="171">
        <v>5627935.25</v>
      </c>
      <c r="K9" s="171">
        <f t="shared" si="4"/>
        <v>2813967.63</v>
      </c>
      <c r="L9" s="172">
        <f t="shared" si="5"/>
        <v>2813967.62</v>
      </c>
      <c r="M9" s="147">
        <v>0.5</v>
      </c>
      <c r="N9" s="279">
        <v>0</v>
      </c>
      <c r="O9" s="279">
        <v>0</v>
      </c>
      <c r="P9" s="171">
        <v>0</v>
      </c>
      <c r="Q9" s="171">
        <f t="shared" si="6"/>
        <v>2813967.63</v>
      </c>
      <c r="R9" s="279">
        <v>0</v>
      </c>
      <c r="S9" s="279">
        <v>0</v>
      </c>
      <c r="T9" s="279">
        <v>0</v>
      </c>
      <c r="U9" s="279">
        <v>0</v>
      </c>
      <c r="V9" s="279">
        <v>0</v>
      </c>
      <c r="W9" s="280">
        <v>0</v>
      </c>
      <c r="X9" s="256" t="b">
        <f t="shared" si="0"/>
        <v>1</v>
      </c>
      <c r="Y9" s="258">
        <f t="shared" si="1"/>
        <v>0.5</v>
      </c>
      <c r="Z9" s="259" t="b">
        <f t="shared" si="2"/>
        <v>1</v>
      </c>
      <c r="AA9" s="259" t="b">
        <f t="shared" si="3"/>
        <v>1</v>
      </c>
    </row>
    <row r="10" spans="1:27" s="140" customFormat="1" ht="33" customHeight="1">
      <c r="A10" s="158">
        <v>8</v>
      </c>
      <c r="B10" s="178" t="s">
        <v>114</v>
      </c>
      <c r="C10" s="158" t="s">
        <v>53</v>
      </c>
      <c r="D10" s="178" t="s">
        <v>79</v>
      </c>
      <c r="E10" s="178">
        <v>1604</v>
      </c>
      <c r="F10" s="178" t="s">
        <v>125</v>
      </c>
      <c r="G10" s="158" t="s">
        <v>104</v>
      </c>
      <c r="H10" s="178">
        <v>1.098</v>
      </c>
      <c r="I10" s="226" t="s">
        <v>135</v>
      </c>
      <c r="J10" s="226">
        <v>2505483.36</v>
      </c>
      <c r="K10" s="171">
        <f t="shared" si="4"/>
        <v>1252741.68</v>
      </c>
      <c r="L10" s="172">
        <f t="shared" si="5"/>
        <v>1252741.68</v>
      </c>
      <c r="M10" s="147">
        <v>0.5</v>
      </c>
      <c r="N10" s="279">
        <v>0</v>
      </c>
      <c r="O10" s="279">
        <v>0</v>
      </c>
      <c r="P10" s="171">
        <v>0</v>
      </c>
      <c r="Q10" s="171">
        <f t="shared" si="6"/>
        <v>1252741.68</v>
      </c>
      <c r="R10" s="279">
        <v>0</v>
      </c>
      <c r="S10" s="279">
        <v>0</v>
      </c>
      <c r="T10" s="279">
        <v>0</v>
      </c>
      <c r="U10" s="279">
        <v>0</v>
      </c>
      <c r="V10" s="279">
        <v>0</v>
      </c>
      <c r="W10" s="280">
        <v>0</v>
      </c>
      <c r="X10" s="256" t="b">
        <f t="shared" si="0"/>
        <v>1</v>
      </c>
      <c r="Y10" s="258">
        <f t="shared" si="1"/>
        <v>0.5</v>
      </c>
      <c r="Z10" s="259" t="b">
        <f t="shared" si="2"/>
        <v>1</v>
      </c>
      <c r="AA10" s="259" t="b">
        <f t="shared" si="3"/>
        <v>1</v>
      </c>
    </row>
    <row r="11" spans="1:27" s="140" customFormat="1" ht="25.5" customHeight="1">
      <c r="A11" s="158">
        <v>9</v>
      </c>
      <c r="B11" s="178" t="s">
        <v>115</v>
      </c>
      <c r="C11" s="158" t="s">
        <v>53</v>
      </c>
      <c r="D11" s="178" t="s">
        <v>59</v>
      </c>
      <c r="E11" s="178">
        <v>1606</v>
      </c>
      <c r="F11" s="178" t="s">
        <v>126</v>
      </c>
      <c r="G11" s="158" t="s">
        <v>47</v>
      </c>
      <c r="H11" s="158">
        <v>0.659</v>
      </c>
      <c r="I11" s="172" t="s">
        <v>136</v>
      </c>
      <c r="J11" s="171">
        <v>1377082.39</v>
      </c>
      <c r="K11" s="171">
        <f t="shared" si="4"/>
        <v>688541.2</v>
      </c>
      <c r="L11" s="172">
        <f t="shared" si="5"/>
        <v>688541.19</v>
      </c>
      <c r="M11" s="147">
        <v>0.5</v>
      </c>
      <c r="N11" s="279">
        <v>0</v>
      </c>
      <c r="O11" s="279">
        <v>0</v>
      </c>
      <c r="P11" s="171">
        <v>0</v>
      </c>
      <c r="Q11" s="171">
        <f>K11</f>
        <v>688541.2</v>
      </c>
      <c r="R11" s="279">
        <v>0</v>
      </c>
      <c r="S11" s="279">
        <v>0</v>
      </c>
      <c r="T11" s="279">
        <v>0</v>
      </c>
      <c r="U11" s="279">
        <v>0</v>
      </c>
      <c r="V11" s="279">
        <v>0</v>
      </c>
      <c r="W11" s="280">
        <v>0</v>
      </c>
      <c r="X11" s="256" t="b">
        <f t="shared" si="0"/>
        <v>1</v>
      </c>
      <c r="Y11" s="258">
        <f t="shared" si="1"/>
        <v>0.5</v>
      </c>
      <c r="Z11" s="259" t="b">
        <f t="shared" si="2"/>
        <v>1</v>
      </c>
      <c r="AA11" s="259" t="b">
        <f t="shared" si="3"/>
        <v>1</v>
      </c>
    </row>
    <row r="12" spans="1:27" s="140" customFormat="1" ht="27.75" customHeight="1">
      <c r="A12" s="158">
        <v>10</v>
      </c>
      <c r="B12" s="178" t="s">
        <v>116</v>
      </c>
      <c r="C12" s="158" t="s">
        <v>53</v>
      </c>
      <c r="D12" s="178" t="s">
        <v>61</v>
      </c>
      <c r="E12" s="186">
        <v>1603</v>
      </c>
      <c r="F12" s="178" t="s">
        <v>127</v>
      </c>
      <c r="G12" s="158" t="s">
        <v>104</v>
      </c>
      <c r="H12" s="178">
        <v>1.08</v>
      </c>
      <c r="I12" s="178" t="s">
        <v>137</v>
      </c>
      <c r="J12" s="227">
        <v>1279220.75</v>
      </c>
      <c r="K12" s="171">
        <f t="shared" si="4"/>
        <v>639610.38</v>
      </c>
      <c r="L12" s="172">
        <f t="shared" si="5"/>
        <v>639610.37</v>
      </c>
      <c r="M12" s="147">
        <v>0.5</v>
      </c>
      <c r="N12" s="279">
        <v>0</v>
      </c>
      <c r="O12" s="279">
        <v>0</v>
      </c>
      <c r="P12" s="171">
        <v>0</v>
      </c>
      <c r="Q12" s="171">
        <f>K12</f>
        <v>639610.38</v>
      </c>
      <c r="R12" s="279">
        <v>0</v>
      </c>
      <c r="S12" s="279">
        <v>0</v>
      </c>
      <c r="T12" s="279">
        <v>0</v>
      </c>
      <c r="U12" s="279">
        <v>0</v>
      </c>
      <c r="V12" s="279">
        <v>0</v>
      </c>
      <c r="W12" s="280">
        <v>0</v>
      </c>
      <c r="X12" s="256" t="b">
        <f t="shared" si="0"/>
        <v>1</v>
      </c>
      <c r="Y12" s="258">
        <f t="shared" si="1"/>
        <v>0.5</v>
      </c>
      <c r="Z12" s="259" t="b">
        <f t="shared" si="2"/>
        <v>1</v>
      </c>
      <c r="AA12" s="259" t="b">
        <f t="shared" si="3"/>
        <v>1</v>
      </c>
    </row>
    <row r="13" spans="1:27" s="140" customFormat="1" ht="34.5" customHeight="1">
      <c r="A13" s="158">
        <v>11</v>
      </c>
      <c r="B13" s="178" t="s">
        <v>117</v>
      </c>
      <c r="C13" s="198" t="s">
        <v>53</v>
      </c>
      <c r="D13" s="178" t="s">
        <v>46</v>
      </c>
      <c r="E13" s="178">
        <v>1607</v>
      </c>
      <c r="F13" s="178" t="s">
        <v>128</v>
      </c>
      <c r="G13" s="207" t="s">
        <v>104</v>
      </c>
      <c r="H13" s="158">
        <v>13.541</v>
      </c>
      <c r="I13" s="172" t="s">
        <v>130</v>
      </c>
      <c r="J13" s="171">
        <v>7538728</v>
      </c>
      <c r="K13" s="171">
        <f>ROUND(J13*M13,2)</f>
        <v>3769364</v>
      </c>
      <c r="L13" s="172">
        <f t="shared" si="5"/>
        <v>3769364</v>
      </c>
      <c r="M13" s="147">
        <v>0.5</v>
      </c>
      <c r="N13" s="279">
        <v>0</v>
      </c>
      <c r="O13" s="279">
        <v>0</v>
      </c>
      <c r="P13" s="171">
        <v>0</v>
      </c>
      <c r="Q13" s="171">
        <f>K13</f>
        <v>3769364</v>
      </c>
      <c r="R13" s="279">
        <v>0</v>
      </c>
      <c r="S13" s="279">
        <v>0</v>
      </c>
      <c r="T13" s="279">
        <v>0</v>
      </c>
      <c r="U13" s="279">
        <v>0</v>
      </c>
      <c r="V13" s="279">
        <v>0</v>
      </c>
      <c r="W13" s="280">
        <v>0</v>
      </c>
      <c r="X13" s="256" t="b">
        <f aca="true" t="shared" si="7" ref="X13:X18">K13=SUM(O13:W13)</f>
        <v>1</v>
      </c>
      <c r="Y13" s="258">
        <f t="shared" si="1"/>
        <v>0.5</v>
      </c>
      <c r="Z13" s="259" t="b">
        <f t="shared" si="2"/>
        <v>1</v>
      </c>
      <c r="AA13" s="259" t="b">
        <f t="shared" si="3"/>
        <v>1</v>
      </c>
    </row>
    <row r="14" spans="1:27" s="140" customFormat="1" ht="33.75" customHeight="1">
      <c r="A14" s="233" t="s">
        <v>138</v>
      </c>
      <c r="B14" s="178" t="s">
        <v>118</v>
      </c>
      <c r="C14" s="198" t="s">
        <v>53</v>
      </c>
      <c r="D14" s="178" t="s">
        <v>46</v>
      </c>
      <c r="E14" s="178">
        <v>1607</v>
      </c>
      <c r="F14" s="178" t="s">
        <v>129</v>
      </c>
      <c r="G14" s="207" t="s">
        <v>104</v>
      </c>
      <c r="H14" s="158">
        <v>12.842</v>
      </c>
      <c r="I14" s="172" t="s">
        <v>130</v>
      </c>
      <c r="J14" s="171">
        <v>6101614</v>
      </c>
      <c r="K14" s="171">
        <f>Q14</f>
        <v>1319367.21</v>
      </c>
      <c r="L14" s="172">
        <f t="shared" si="5"/>
        <v>4782246.79</v>
      </c>
      <c r="M14" s="199">
        <v>0.5</v>
      </c>
      <c r="N14" s="279">
        <v>0</v>
      </c>
      <c r="O14" s="279">
        <v>0</v>
      </c>
      <c r="P14" s="171">
        <v>0</v>
      </c>
      <c r="Q14" s="171">
        <v>1319367.21</v>
      </c>
      <c r="R14" s="279">
        <v>0</v>
      </c>
      <c r="S14" s="279">
        <v>0</v>
      </c>
      <c r="T14" s="279">
        <v>0</v>
      </c>
      <c r="U14" s="279">
        <v>0</v>
      </c>
      <c r="V14" s="279">
        <v>0</v>
      </c>
      <c r="W14" s="280">
        <v>0</v>
      </c>
      <c r="X14" s="256" t="b">
        <f t="shared" si="7"/>
        <v>1</v>
      </c>
      <c r="Y14" s="258">
        <f t="shared" si="1"/>
        <v>0.2162</v>
      </c>
      <c r="Z14" s="259" t="b">
        <f t="shared" si="2"/>
        <v>0</v>
      </c>
      <c r="AA14" s="259" t="b">
        <f t="shared" si="3"/>
        <v>1</v>
      </c>
    </row>
    <row r="15" spans="1:27" ht="19.5" customHeight="1">
      <c r="A15" s="332" t="s">
        <v>45</v>
      </c>
      <c r="B15" s="332"/>
      <c r="C15" s="332"/>
      <c r="D15" s="332"/>
      <c r="E15" s="332"/>
      <c r="F15" s="332"/>
      <c r="G15" s="332"/>
      <c r="H15" s="204">
        <f>SUM(H3:H14)</f>
        <v>37.347</v>
      </c>
      <c r="I15" s="163" t="s">
        <v>13</v>
      </c>
      <c r="J15" s="164">
        <f>SUM(J3:J14)</f>
        <v>46898333.17</v>
      </c>
      <c r="K15" s="164">
        <f>SUM(K3:K14)</f>
        <v>21781353.480000004</v>
      </c>
      <c r="L15" s="164">
        <f>SUM(L3:L14)</f>
        <v>25116979.689999998</v>
      </c>
      <c r="M15" s="166" t="s">
        <v>13</v>
      </c>
      <c r="N15" s="197">
        <f aca="true" t="shared" si="8" ref="N15:W15">SUM(N3:N14)</f>
        <v>0</v>
      </c>
      <c r="O15" s="165">
        <f t="shared" si="8"/>
        <v>0</v>
      </c>
      <c r="P15" s="165">
        <f t="shared" si="8"/>
        <v>1165000</v>
      </c>
      <c r="Q15" s="175">
        <f t="shared" si="8"/>
        <v>16891853.479999997</v>
      </c>
      <c r="R15" s="175">
        <f t="shared" si="8"/>
        <v>3724500</v>
      </c>
      <c r="S15" s="175">
        <f t="shared" si="8"/>
        <v>0</v>
      </c>
      <c r="T15" s="175">
        <f t="shared" si="8"/>
        <v>0</v>
      </c>
      <c r="U15" s="175">
        <f t="shared" si="8"/>
        <v>0</v>
      </c>
      <c r="V15" s="175">
        <f t="shared" si="8"/>
        <v>0</v>
      </c>
      <c r="W15" s="254">
        <f t="shared" si="8"/>
        <v>0</v>
      </c>
      <c r="X15" s="256" t="b">
        <f t="shared" si="7"/>
        <v>1</v>
      </c>
      <c r="Y15" s="258">
        <f>ROUND(K15/J15,4)</f>
        <v>0.4644</v>
      </c>
      <c r="Z15" s="259" t="s">
        <v>13</v>
      </c>
      <c r="AA15" s="259" t="b">
        <f>J15=K15+L15</f>
        <v>1</v>
      </c>
    </row>
    <row r="16" spans="1:27" ht="19.5" customHeight="1">
      <c r="A16" s="331" t="s">
        <v>38</v>
      </c>
      <c r="B16" s="331"/>
      <c r="C16" s="331"/>
      <c r="D16" s="331"/>
      <c r="E16" s="331"/>
      <c r="F16" s="331"/>
      <c r="G16" s="331"/>
      <c r="H16" s="205">
        <f>SUMIF($C$3:$C$14,"K",H3:H14)</f>
        <v>1.118</v>
      </c>
      <c r="I16" s="210" t="s">
        <v>13</v>
      </c>
      <c r="J16" s="180">
        <f>SUMIF($C$3:$C$14,"K",J3:J14)</f>
        <v>3334837.71</v>
      </c>
      <c r="K16" s="180">
        <f>SUMIF($C$3:$C$14,"K",K3:K14)</f>
        <v>1667418.86</v>
      </c>
      <c r="L16" s="180">
        <f>SUMIF($C$3:$C$14,"K",L3:L14)</f>
        <v>1667418.8499999999</v>
      </c>
      <c r="M16" s="181" t="s">
        <v>13</v>
      </c>
      <c r="N16" s="202">
        <f aca="true" t="shared" si="9" ref="N16:W16">SUMIF($C$3:$C$14,"K",N3:N14)</f>
        <v>0</v>
      </c>
      <c r="O16" s="182">
        <f t="shared" si="9"/>
        <v>0</v>
      </c>
      <c r="P16" s="182">
        <f t="shared" si="9"/>
        <v>1165000</v>
      </c>
      <c r="Q16" s="183">
        <f t="shared" si="9"/>
        <v>502418.86</v>
      </c>
      <c r="R16" s="183">
        <f t="shared" si="9"/>
        <v>0</v>
      </c>
      <c r="S16" s="183">
        <f t="shared" si="9"/>
        <v>0</v>
      </c>
      <c r="T16" s="183">
        <f t="shared" si="9"/>
        <v>0</v>
      </c>
      <c r="U16" s="183">
        <f t="shared" si="9"/>
        <v>0</v>
      </c>
      <c r="V16" s="183">
        <f t="shared" si="9"/>
        <v>0</v>
      </c>
      <c r="W16" s="255">
        <f t="shared" si="9"/>
        <v>0</v>
      </c>
      <c r="X16" s="256" t="b">
        <f t="shared" si="7"/>
        <v>1</v>
      </c>
      <c r="Y16" s="258">
        <f>ROUND(K16/J16,4)</f>
        <v>0.5</v>
      </c>
      <c r="Z16" s="259" t="s">
        <v>13</v>
      </c>
      <c r="AA16" s="259" t="b">
        <f>J16=K16+L16</f>
        <v>1</v>
      </c>
    </row>
    <row r="17" spans="1:27" ht="19.5" customHeight="1">
      <c r="A17" s="332" t="s">
        <v>39</v>
      </c>
      <c r="B17" s="332"/>
      <c r="C17" s="332"/>
      <c r="D17" s="332"/>
      <c r="E17" s="332"/>
      <c r="F17" s="332"/>
      <c r="G17" s="332"/>
      <c r="H17" s="204">
        <f>SUMIF($C$3:$C$14,"N",H3:H14)</f>
        <v>33.111</v>
      </c>
      <c r="I17" s="163" t="s">
        <v>13</v>
      </c>
      <c r="J17" s="164">
        <f>SUMIF($C$3:$C$14,"N",J3:J14)</f>
        <v>27199842.61</v>
      </c>
      <c r="K17" s="164">
        <f>SUMIF($C$3:$C$14,"N",K3:K14)</f>
        <v>11932108.190000001</v>
      </c>
      <c r="L17" s="164">
        <f>SUMIF($C$3:$C$14,"N",L3:L14)</f>
        <v>15267734.419999998</v>
      </c>
      <c r="M17" s="166" t="s">
        <v>13</v>
      </c>
      <c r="N17" s="197">
        <f aca="true" t="shared" si="10" ref="N17:W17">SUMIF($C$3:$C$14,"N",N3:N14)</f>
        <v>0</v>
      </c>
      <c r="O17" s="165">
        <f t="shared" si="10"/>
        <v>0</v>
      </c>
      <c r="P17" s="165">
        <f t="shared" si="10"/>
        <v>0</v>
      </c>
      <c r="Q17" s="175">
        <f t="shared" si="10"/>
        <v>11932108.190000001</v>
      </c>
      <c r="R17" s="175">
        <f t="shared" si="10"/>
        <v>0</v>
      </c>
      <c r="S17" s="175">
        <f t="shared" si="10"/>
        <v>0</v>
      </c>
      <c r="T17" s="175">
        <f t="shared" si="10"/>
        <v>0</v>
      </c>
      <c r="U17" s="175">
        <f t="shared" si="10"/>
        <v>0</v>
      </c>
      <c r="V17" s="175">
        <f t="shared" si="10"/>
        <v>0</v>
      </c>
      <c r="W17" s="254">
        <f t="shared" si="10"/>
        <v>0</v>
      </c>
      <c r="X17" s="256" t="b">
        <f t="shared" si="7"/>
        <v>1</v>
      </c>
      <c r="Y17" s="258">
        <f>ROUND(K17/J17,4)</f>
        <v>0.4387</v>
      </c>
      <c r="Z17" s="259" t="s">
        <v>13</v>
      </c>
      <c r="AA17" s="259" t="b">
        <f>J17=K17+L17</f>
        <v>1</v>
      </c>
    </row>
    <row r="18" spans="1:27" ht="19.5" customHeight="1">
      <c r="A18" s="331" t="s">
        <v>40</v>
      </c>
      <c r="B18" s="331"/>
      <c r="C18" s="331"/>
      <c r="D18" s="331"/>
      <c r="E18" s="331"/>
      <c r="F18" s="331"/>
      <c r="G18" s="331"/>
      <c r="H18" s="205">
        <f>SUMIF($C$3:$C$14,"W",H3:H14)</f>
        <v>3.118</v>
      </c>
      <c r="I18" s="210" t="s">
        <v>13</v>
      </c>
      <c r="J18" s="180">
        <f>SUMIF($C$3:$C$14,"W",J3:J14)</f>
        <v>16363652.85</v>
      </c>
      <c r="K18" s="182">
        <f>SUMIF($C$3:$C$14,"W",K3:K14)</f>
        <v>8181826.43</v>
      </c>
      <c r="L18" s="182">
        <f>SUMIF($C$3:$C$14,"W",L3:L14)</f>
        <v>8181826.42</v>
      </c>
      <c r="M18" s="181" t="s">
        <v>13</v>
      </c>
      <c r="N18" s="202">
        <f aca="true" t="shared" si="11" ref="N18:W18">SUMIF($C$3:$C$14,"W",N3:N14)</f>
        <v>0</v>
      </c>
      <c r="O18" s="182">
        <f t="shared" si="11"/>
        <v>0</v>
      </c>
      <c r="P18" s="182">
        <f t="shared" si="11"/>
        <v>0</v>
      </c>
      <c r="Q18" s="183">
        <f t="shared" si="11"/>
        <v>4457326.43</v>
      </c>
      <c r="R18" s="183">
        <f t="shared" si="11"/>
        <v>3724500</v>
      </c>
      <c r="S18" s="183">
        <f t="shared" si="11"/>
        <v>0</v>
      </c>
      <c r="T18" s="183">
        <f t="shared" si="11"/>
        <v>0</v>
      </c>
      <c r="U18" s="183">
        <f t="shared" si="11"/>
        <v>0</v>
      </c>
      <c r="V18" s="183">
        <f t="shared" si="11"/>
        <v>0</v>
      </c>
      <c r="W18" s="255">
        <f t="shared" si="11"/>
        <v>0</v>
      </c>
      <c r="X18" s="256" t="b">
        <f t="shared" si="7"/>
        <v>1</v>
      </c>
      <c r="Y18" s="258">
        <f>ROUND(K18/J18,4)</f>
        <v>0.5</v>
      </c>
      <c r="Z18" s="259" t="s">
        <v>13</v>
      </c>
      <c r="AA18" s="259" t="b">
        <f>J18=K18+L18</f>
        <v>1</v>
      </c>
    </row>
    <row r="19" spans="1:27" ht="15">
      <c r="A19" s="184" t="s">
        <v>24</v>
      </c>
      <c r="B19" s="184"/>
      <c r="C19" s="184"/>
      <c r="D19" s="184"/>
      <c r="E19" s="184"/>
      <c r="F19" s="184"/>
      <c r="G19" s="184"/>
      <c r="H19" s="157"/>
      <c r="I19" s="157"/>
      <c r="J19" s="5"/>
      <c r="K19" s="157"/>
      <c r="L19" s="157"/>
      <c r="M19" s="162"/>
      <c r="N19" s="162"/>
      <c r="O19" s="157"/>
      <c r="P19" s="185"/>
      <c r="Q19" s="185"/>
      <c r="R19" s="157"/>
      <c r="S19" s="157"/>
      <c r="T19" s="157"/>
      <c r="U19" s="157"/>
      <c r="V19" s="157"/>
      <c r="W19" s="157"/>
      <c r="X19" s="256"/>
      <c r="Y19" s="256"/>
      <c r="Z19" s="256"/>
      <c r="AA19" s="259"/>
    </row>
    <row r="20" spans="1:27" ht="15">
      <c r="A20" s="32" t="s">
        <v>25</v>
      </c>
      <c r="B20" s="32"/>
      <c r="C20" s="32"/>
      <c r="D20" s="32"/>
      <c r="E20" s="32"/>
      <c r="F20" s="32"/>
      <c r="G20" s="32"/>
      <c r="H20" s="13"/>
      <c r="I20" s="13"/>
      <c r="J20" s="29"/>
      <c r="K20" s="13"/>
      <c r="L20" s="13"/>
      <c r="O20" s="35"/>
      <c r="P20" s="35"/>
      <c r="Q20" s="35"/>
      <c r="R20" s="13"/>
      <c r="S20" s="13"/>
      <c r="T20" s="13"/>
      <c r="U20" s="13"/>
      <c r="V20" s="13"/>
      <c r="W20" s="13"/>
      <c r="X20" s="256"/>
      <c r="Y20" s="256"/>
      <c r="Z20" s="256"/>
      <c r="AA20" s="257"/>
    </row>
    <row r="21" spans="1:27" ht="15">
      <c r="A21" s="31" t="s">
        <v>43</v>
      </c>
      <c r="B21" s="33"/>
      <c r="C21" s="33"/>
      <c r="D21" s="33"/>
      <c r="E21" s="33"/>
      <c r="F21" s="33"/>
      <c r="G21" s="33"/>
      <c r="J21" s="28"/>
      <c r="P21" s="136"/>
      <c r="Q21" s="136"/>
      <c r="X21" s="257"/>
      <c r="Y21" s="256"/>
      <c r="Z21" s="256"/>
      <c r="AA21" s="257"/>
    </row>
    <row r="22" spans="1:27" ht="15">
      <c r="A22" s="34" t="s">
        <v>27</v>
      </c>
      <c r="B22" s="34"/>
      <c r="C22" s="34"/>
      <c r="D22" s="34"/>
      <c r="E22" s="34"/>
      <c r="F22" s="34"/>
      <c r="G22" s="34"/>
      <c r="J22" s="28"/>
      <c r="X22" s="257"/>
      <c r="Y22" s="256"/>
      <c r="Z22" s="256"/>
      <c r="AA22" s="257"/>
    </row>
    <row r="23" spans="24:27" ht="15">
      <c r="X23" s="257"/>
      <c r="Y23" s="256"/>
      <c r="Z23" s="256"/>
      <c r="AA23" s="257"/>
    </row>
    <row r="24" spans="24:27" ht="15">
      <c r="X24" s="257"/>
      <c r="Y24" s="256"/>
      <c r="Z24" s="256"/>
      <c r="AA24" s="257"/>
    </row>
    <row r="25" spans="24:27" ht="15">
      <c r="X25" s="257"/>
      <c r="Y25" s="256"/>
      <c r="Z25" s="256"/>
      <c r="AA25" s="257"/>
    </row>
    <row r="26" spans="24:27" ht="15">
      <c r="X26" s="257"/>
      <c r="Y26" s="256"/>
      <c r="Z26" s="256"/>
      <c r="AA26" s="257"/>
    </row>
    <row r="27" spans="24:27" ht="15">
      <c r="X27" s="257"/>
      <c r="Y27" s="256"/>
      <c r="Z27" s="256"/>
      <c r="AA27" s="257"/>
    </row>
    <row r="28" spans="24:27" ht="15">
      <c r="X28" s="257"/>
      <c r="Y28" s="256"/>
      <c r="Z28" s="256"/>
      <c r="AA28" s="257"/>
    </row>
    <row r="29" spans="24:27" ht="15">
      <c r="X29" s="257"/>
      <c r="Y29" s="256"/>
      <c r="Z29" s="256"/>
      <c r="AA29" s="257"/>
    </row>
    <row r="30" spans="13:27" ht="15">
      <c r="M30" s="44"/>
      <c r="N30" s="44"/>
      <c r="X30" s="257"/>
      <c r="Y30" s="256"/>
      <c r="Z30" s="256"/>
      <c r="AA30" s="257"/>
    </row>
    <row r="31" spans="24:27" ht="15">
      <c r="X31" s="257"/>
      <c r="Y31" s="256"/>
      <c r="Z31" s="256"/>
      <c r="AA31" s="257"/>
    </row>
  </sheetData>
  <sheetProtection/>
  <autoFilter ref="A2:FC22"/>
  <mergeCells count="18">
    <mergeCell ref="A18:G18"/>
    <mergeCell ref="A17:G17"/>
    <mergeCell ref="E1:E2"/>
    <mergeCell ref="A15:G15"/>
    <mergeCell ref="A1:A2"/>
    <mergeCell ref="B1:B2"/>
    <mergeCell ref="C1:C2"/>
    <mergeCell ref="F1:F2"/>
    <mergeCell ref="G1:G2"/>
    <mergeCell ref="A16:G16"/>
    <mergeCell ref="D1:D2"/>
    <mergeCell ref="H1:H2"/>
    <mergeCell ref="I1:I2"/>
    <mergeCell ref="J1:J2"/>
    <mergeCell ref="K1:K2"/>
    <mergeCell ref="N1:W1"/>
    <mergeCell ref="L1:L2"/>
    <mergeCell ref="M1:M2"/>
  </mergeCells>
  <conditionalFormatting sqref="AA19 X15:AA16">
    <cfRule type="cellIs" priority="40" dxfId="71" operator="equal">
      <formula>FALSE</formula>
    </cfRule>
  </conditionalFormatting>
  <conditionalFormatting sqref="AA19">
    <cfRule type="cellIs" priority="39" dxfId="71" operator="equal">
      <formula>FALSE</formula>
    </cfRule>
  </conditionalFormatting>
  <conditionalFormatting sqref="Y18:Z18">
    <cfRule type="cellIs" priority="22" dxfId="71" operator="equal">
      <formula>FALSE</formula>
    </cfRule>
  </conditionalFormatting>
  <conditionalFormatting sqref="X18">
    <cfRule type="cellIs" priority="21" dxfId="71" operator="equal">
      <formula>FALSE</formula>
    </cfRule>
  </conditionalFormatting>
  <conditionalFormatting sqref="AA18">
    <cfRule type="cellIs" priority="18" dxfId="71" operator="equal">
      <formula>FALSE</formula>
    </cfRule>
  </conditionalFormatting>
  <conditionalFormatting sqref="Y17:Z17">
    <cfRule type="cellIs" priority="17" dxfId="71" operator="equal">
      <formula>FALSE</formula>
    </cfRule>
  </conditionalFormatting>
  <conditionalFormatting sqref="X15:Z16">
    <cfRule type="containsText" priority="23" dxfId="71" operator="containsText" text="fałsz">
      <formula>NOT(ISERROR(SEARCH("fałsz",X15)))</formula>
    </cfRule>
  </conditionalFormatting>
  <conditionalFormatting sqref="X18:Z18">
    <cfRule type="containsText" priority="20" dxfId="71" operator="containsText" text="fałsz">
      <formula>NOT(ISERROR(SEARCH("fałsz",X18)))</formula>
    </cfRule>
  </conditionalFormatting>
  <conditionalFormatting sqref="AA18">
    <cfRule type="cellIs" priority="19" dxfId="71" operator="equal">
      <formula>FALSE</formula>
    </cfRule>
  </conditionalFormatting>
  <conditionalFormatting sqref="X17">
    <cfRule type="cellIs" priority="16" dxfId="71" operator="equal">
      <formula>FALSE</formula>
    </cfRule>
  </conditionalFormatting>
  <conditionalFormatting sqref="X17:Z17">
    <cfRule type="containsText" priority="15" dxfId="71" operator="containsText" text="fałsz">
      <formula>NOT(ISERROR(SEARCH("fałsz",X17)))</formula>
    </cfRule>
  </conditionalFormatting>
  <conditionalFormatting sqref="AA17">
    <cfRule type="cellIs" priority="14" dxfId="71" operator="equal">
      <formula>FALSE</formula>
    </cfRule>
  </conditionalFormatting>
  <conditionalFormatting sqref="AA17">
    <cfRule type="cellIs" priority="13" dxfId="71" operator="equal">
      <formula>FALSE</formula>
    </cfRule>
  </conditionalFormatting>
  <conditionalFormatting sqref="Y4:Z4 Y6:Z6 Y8:Z8 Y10:Z10 Y12:Z12 Y14:Z14">
    <cfRule type="cellIs" priority="10" dxfId="71" operator="equal">
      <formula>FALSE</formula>
    </cfRule>
  </conditionalFormatting>
  <conditionalFormatting sqref="X4 X6 X8 X10 X12 X14">
    <cfRule type="cellIs" priority="9" dxfId="71" operator="equal">
      <formula>FALSE</formula>
    </cfRule>
  </conditionalFormatting>
  <conditionalFormatting sqref="AA4 AA6 AA8 AA10 AA12 AA14">
    <cfRule type="cellIs" priority="6" dxfId="71" operator="equal">
      <formula>FALSE</formula>
    </cfRule>
  </conditionalFormatting>
  <conditionalFormatting sqref="Y3:Z3 Y5:Z5 Y7:Z7 Y9:Z9 Y11:Z11 Y13:Z13">
    <cfRule type="cellIs" priority="5" dxfId="71" operator="equal">
      <formula>FALSE</formula>
    </cfRule>
  </conditionalFormatting>
  <conditionalFormatting sqref="X4:Z4 X6:Z6 X8:Z8 X10:Z10 X12:Z12 X14:Z14">
    <cfRule type="containsText" priority="8" dxfId="71" operator="containsText" text="fałsz">
      <formula>NOT(ISERROR(SEARCH("fałsz",X4)))</formula>
    </cfRule>
  </conditionalFormatting>
  <conditionalFormatting sqref="AA4 AA6 AA8 AA10 AA12 AA14">
    <cfRule type="cellIs" priority="7" dxfId="71" operator="equal">
      <formula>FALSE</formula>
    </cfRule>
  </conditionalFormatting>
  <conditionalFormatting sqref="X3 X5 X7 X9 X11 X13">
    <cfRule type="cellIs" priority="4" dxfId="71" operator="equal">
      <formula>FALSE</formula>
    </cfRule>
  </conditionalFormatting>
  <conditionalFormatting sqref="X3:Z3 X5:Z5 X7:Z7 X9:Z9 X11:Z11 X13:Z13">
    <cfRule type="containsText" priority="3" dxfId="71" operator="containsText" text="fałsz">
      <formula>NOT(ISERROR(SEARCH("fałsz",X3)))</formula>
    </cfRule>
  </conditionalFormatting>
  <conditionalFormatting sqref="AA3 AA5 AA7 AA9 AA11 AA13">
    <cfRule type="cellIs" priority="2" dxfId="71" operator="equal">
      <formula>FALSE</formula>
    </cfRule>
  </conditionalFormatting>
  <conditionalFormatting sqref="AA3 AA5 AA7 AA9 AA11 AA13">
    <cfRule type="cellIs" priority="1" dxfId="71" operator="equal">
      <formula>FALSE</formula>
    </cfRule>
  </conditionalFormatting>
  <dataValidations count="2">
    <dataValidation type="list" allowBlank="1" showInputMessage="1" showErrorMessage="1" sqref="C12:C14 D14 C3:C10">
      <formula1>"N,K,W"</formula1>
    </dataValidation>
    <dataValidation type="list" allowBlank="1" showInputMessage="1" showErrorMessage="1" sqref="G3:G14">
      <formula1>"B,P,R"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2" r:id="rId1"/>
  <headerFooter>
    <oddHeader>&amp;LWojewództwo opolskie&amp;KFF0000 &amp;K01+000- zadania powiatowe lista podstawowa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showGridLines="0" view="pageBreakPreview" zoomScale="90" zoomScaleSheetLayoutView="90" zoomScalePageLayoutView="0" workbookViewId="0" topLeftCell="A1">
      <selection activeCell="B3" sqref="B3"/>
    </sheetView>
  </sheetViews>
  <sheetFormatPr defaultColWidth="9.140625" defaultRowHeight="15"/>
  <cols>
    <col min="1" max="1" width="4.8515625" style="3" customWidth="1"/>
    <col min="2" max="2" width="17.7109375" style="3" customWidth="1"/>
    <col min="3" max="3" width="5.57421875" style="3" customWidth="1"/>
    <col min="4" max="4" width="21.7109375" style="3" customWidth="1"/>
    <col min="5" max="5" width="9.57421875" style="3" bestFit="1" customWidth="1"/>
    <col min="6" max="6" width="17.7109375" style="3" bestFit="1" customWidth="1"/>
    <col min="7" max="7" width="29.57421875" style="3" customWidth="1"/>
    <col min="8" max="8" width="12.421875" style="3" bestFit="1" customWidth="1"/>
    <col min="9" max="9" width="14.8515625" style="3" customWidth="1"/>
    <col min="10" max="10" width="19.7109375" style="3" bestFit="1" customWidth="1"/>
    <col min="11" max="11" width="20.421875" style="4" customWidth="1"/>
    <col min="12" max="12" width="17.7109375" style="2" customWidth="1"/>
    <col min="13" max="13" width="17.7109375" style="3" customWidth="1"/>
    <col min="14" max="14" width="15.7109375" style="1" customWidth="1"/>
    <col min="15" max="15" width="17.7109375" style="1" customWidth="1"/>
    <col min="16" max="17" width="17.7109375" style="3" customWidth="1"/>
    <col min="18" max="18" width="17.28125" style="3" customWidth="1"/>
    <col min="19" max="19" width="13.28125" style="3" customWidth="1"/>
    <col min="20" max="20" width="11.7109375" style="3" customWidth="1"/>
    <col min="21" max="21" width="9.57421875" style="3" customWidth="1"/>
    <col min="22" max="22" width="10.8515625" style="3" customWidth="1"/>
    <col min="23" max="23" width="11.140625" style="3" customWidth="1"/>
    <col min="24" max="24" width="11.7109375" style="3" customWidth="1"/>
    <col min="25" max="27" width="15.7109375" style="247" customWidth="1"/>
    <col min="28" max="28" width="15.7109375" style="248" customWidth="1"/>
    <col min="29" max="29" width="11.421875" style="3" bestFit="1" customWidth="1"/>
    <col min="30" max="16384" width="9.140625" style="3" customWidth="1"/>
  </cols>
  <sheetData>
    <row r="1" spans="1:24" ht="19.5" customHeight="1">
      <c r="A1" s="335" t="s">
        <v>4</v>
      </c>
      <c r="B1" s="327" t="s">
        <v>5</v>
      </c>
      <c r="C1" s="333" t="s">
        <v>44</v>
      </c>
      <c r="D1" s="325" t="s">
        <v>6</v>
      </c>
      <c r="E1" s="148"/>
      <c r="F1" s="148"/>
      <c r="G1" s="327" t="s">
        <v>7</v>
      </c>
      <c r="H1" s="325" t="s">
        <v>26</v>
      </c>
      <c r="I1" s="327" t="s">
        <v>102</v>
      </c>
      <c r="J1" s="327" t="s">
        <v>23</v>
      </c>
      <c r="K1" s="338" t="s">
        <v>8</v>
      </c>
      <c r="L1" s="327" t="s">
        <v>16</v>
      </c>
      <c r="M1" s="336" t="s">
        <v>12</v>
      </c>
      <c r="N1" s="327" t="s">
        <v>10</v>
      </c>
      <c r="O1" s="329" t="s">
        <v>11</v>
      </c>
      <c r="P1" s="330"/>
      <c r="Q1" s="330"/>
      <c r="R1" s="330"/>
      <c r="S1" s="330"/>
      <c r="T1" s="330"/>
      <c r="U1" s="330"/>
      <c r="V1" s="330"/>
      <c r="W1" s="330"/>
      <c r="X1" s="335"/>
    </row>
    <row r="2" spans="1:28" ht="39" customHeight="1">
      <c r="A2" s="335"/>
      <c r="B2" s="327"/>
      <c r="C2" s="334"/>
      <c r="D2" s="326"/>
      <c r="E2" s="149" t="s">
        <v>32</v>
      </c>
      <c r="F2" s="149" t="s">
        <v>14</v>
      </c>
      <c r="G2" s="327"/>
      <c r="H2" s="326"/>
      <c r="I2" s="327"/>
      <c r="J2" s="327"/>
      <c r="K2" s="338"/>
      <c r="L2" s="327"/>
      <c r="M2" s="337"/>
      <c r="N2" s="327"/>
      <c r="O2" s="154">
        <v>2019</v>
      </c>
      <c r="P2" s="150">
        <v>2020</v>
      </c>
      <c r="Q2" s="150">
        <v>2021</v>
      </c>
      <c r="R2" s="150">
        <v>2022</v>
      </c>
      <c r="S2" s="150">
        <v>2023</v>
      </c>
      <c r="T2" s="150">
        <v>2024</v>
      </c>
      <c r="U2" s="150">
        <v>2025</v>
      </c>
      <c r="V2" s="150">
        <v>2026</v>
      </c>
      <c r="W2" s="203">
        <v>2027</v>
      </c>
      <c r="X2" s="203">
        <v>2028</v>
      </c>
      <c r="Y2" s="249" t="s">
        <v>28</v>
      </c>
      <c r="Z2" s="249" t="s">
        <v>29</v>
      </c>
      <c r="AA2" s="249" t="s">
        <v>30</v>
      </c>
      <c r="AB2" s="250" t="s">
        <v>31</v>
      </c>
    </row>
    <row r="3" spans="1:28" ht="71.25" customHeight="1">
      <c r="A3" s="284">
        <v>1</v>
      </c>
      <c r="B3" s="241" t="s">
        <v>85</v>
      </c>
      <c r="C3" s="160" t="s">
        <v>48</v>
      </c>
      <c r="D3" s="236" t="s">
        <v>54</v>
      </c>
      <c r="E3" s="145">
        <v>1601011</v>
      </c>
      <c r="F3" s="145" t="s">
        <v>49</v>
      </c>
      <c r="G3" s="145" t="s">
        <v>97</v>
      </c>
      <c r="H3" s="145" t="s">
        <v>47</v>
      </c>
      <c r="I3" s="242">
        <v>0.48</v>
      </c>
      <c r="J3" s="236" t="s">
        <v>323</v>
      </c>
      <c r="K3" s="229">
        <v>3393515.14</v>
      </c>
      <c r="L3" s="243">
        <f>ROUND(K3*N3,2)</f>
        <v>2375460.6</v>
      </c>
      <c r="M3" s="293">
        <f aca="true" t="shared" si="0" ref="M3:M30">K3-L3</f>
        <v>1018054.54</v>
      </c>
      <c r="N3" s="161">
        <v>0.7</v>
      </c>
      <c r="O3" s="170">
        <v>0</v>
      </c>
      <c r="P3" s="244">
        <v>0</v>
      </c>
      <c r="Q3" s="245">
        <f>ROUND(N3*1501949.12,2)</f>
        <v>1051364.38</v>
      </c>
      <c r="R3" s="170">
        <f>L3-Q3</f>
        <v>1324096.2200000002</v>
      </c>
      <c r="S3" s="170">
        <v>0</v>
      </c>
      <c r="T3" s="170">
        <v>0</v>
      </c>
      <c r="U3" s="170">
        <v>0</v>
      </c>
      <c r="V3" s="170">
        <v>0</v>
      </c>
      <c r="W3" s="170">
        <v>0</v>
      </c>
      <c r="X3" s="170">
        <v>0</v>
      </c>
      <c r="Y3" s="249" t="b">
        <f aca="true" t="shared" si="1" ref="Y3:Y9">L3=SUM(P3:X3)</f>
        <v>1</v>
      </c>
      <c r="Z3" s="43">
        <f aca="true" t="shared" si="2" ref="Z3:Z10">ROUND(L3/K3,4)</f>
        <v>0.7</v>
      </c>
      <c r="AA3" s="251" t="b">
        <f aca="true" t="shared" si="3" ref="AA3:AA40">Z3=N3</f>
        <v>1</v>
      </c>
      <c r="AB3" s="251" t="b">
        <f aca="true" t="shared" si="4" ref="AB3:AB12">K3=L3+M3</f>
        <v>1</v>
      </c>
    </row>
    <row r="4" spans="1:28" s="134" customFormat="1" ht="44.25" customHeight="1">
      <c r="A4" s="246">
        <v>2</v>
      </c>
      <c r="B4" s="241" t="s">
        <v>86</v>
      </c>
      <c r="C4" s="160" t="s">
        <v>48</v>
      </c>
      <c r="D4" s="236" t="s">
        <v>51</v>
      </c>
      <c r="E4" s="145">
        <v>1607053</v>
      </c>
      <c r="F4" s="145" t="s">
        <v>46</v>
      </c>
      <c r="G4" s="145" t="s">
        <v>98</v>
      </c>
      <c r="H4" s="145" t="s">
        <v>47</v>
      </c>
      <c r="I4" s="242">
        <v>0.257</v>
      </c>
      <c r="J4" s="236" t="s">
        <v>322</v>
      </c>
      <c r="K4" s="229">
        <v>4184092.92</v>
      </c>
      <c r="L4" s="243">
        <f>ROUND(K4*N4,2)</f>
        <v>3347274.34</v>
      </c>
      <c r="M4" s="293">
        <f t="shared" si="0"/>
        <v>836818.5800000001</v>
      </c>
      <c r="N4" s="161">
        <v>0.8</v>
      </c>
      <c r="O4" s="170">
        <v>0</v>
      </c>
      <c r="P4" s="244">
        <v>0</v>
      </c>
      <c r="Q4" s="245">
        <f>2269759.24</f>
        <v>2269759.24</v>
      </c>
      <c r="R4" s="245">
        <f>L4-Q4</f>
        <v>1077515.0999999996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249" t="b">
        <f t="shared" si="1"/>
        <v>1</v>
      </c>
      <c r="Z4" s="43">
        <f t="shared" si="2"/>
        <v>0.8</v>
      </c>
      <c r="AA4" s="251" t="b">
        <f t="shared" si="3"/>
        <v>1</v>
      </c>
      <c r="AB4" s="251" t="b">
        <f t="shared" si="4"/>
        <v>1</v>
      </c>
    </row>
    <row r="5" spans="1:29" s="134" customFormat="1" ht="38.25" customHeight="1">
      <c r="A5" s="284">
        <v>3</v>
      </c>
      <c r="B5" s="241" t="s">
        <v>87</v>
      </c>
      <c r="C5" s="160" t="s">
        <v>48</v>
      </c>
      <c r="D5" s="236" t="s">
        <v>72</v>
      </c>
      <c r="E5" s="145">
        <v>1605023</v>
      </c>
      <c r="F5" s="145" t="s">
        <v>60</v>
      </c>
      <c r="G5" s="145" t="s">
        <v>99</v>
      </c>
      <c r="H5" s="145" t="s">
        <v>103</v>
      </c>
      <c r="I5" s="242">
        <v>3.541</v>
      </c>
      <c r="J5" s="236" t="s">
        <v>321</v>
      </c>
      <c r="K5" s="229">
        <v>11292507</v>
      </c>
      <c r="L5" s="243">
        <f>ROUND(K5*N5,2)</f>
        <v>6775504.2</v>
      </c>
      <c r="M5" s="293">
        <f t="shared" si="0"/>
        <v>4517002.8</v>
      </c>
      <c r="N5" s="161">
        <v>0.6</v>
      </c>
      <c r="O5" s="170">
        <v>0</v>
      </c>
      <c r="P5" s="244">
        <v>0</v>
      </c>
      <c r="Q5" s="245">
        <f>ROUND(N5*6874101.38,2)</f>
        <v>4124460.83</v>
      </c>
      <c r="R5" s="245">
        <f>L5-Q5</f>
        <v>2651043.37</v>
      </c>
      <c r="S5" s="170">
        <v>0</v>
      </c>
      <c r="T5" s="170">
        <v>0</v>
      </c>
      <c r="U5" s="170">
        <v>0</v>
      </c>
      <c r="V5" s="170">
        <v>0</v>
      </c>
      <c r="W5" s="170">
        <v>0</v>
      </c>
      <c r="X5" s="170">
        <v>0</v>
      </c>
      <c r="Y5" s="249" t="b">
        <f t="shared" si="1"/>
        <v>1</v>
      </c>
      <c r="Z5" s="43">
        <f t="shared" si="2"/>
        <v>0.6</v>
      </c>
      <c r="AA5" s="251" t="b">
        <f t="shared" si="3"/>
        <v>1</v>
      </c>
      <c r="AB5" s="251" t="b">
        <f t="shared" si="4"/>
        <v>1</v>
      </c>
      <c r="AC5" s="139"/>
    </row>
    <row r="6" spans="1:29" s="134" customFormat="1" ht="93.75" customHeight="1">
      <c r="A6" s="284">
        <v>4</v>
      </c>
      <c r="B6" s="241" t="s">
        <v>93</v>
      </c>
      <c r="C6" s="160" t="s">
        <v>48</v>
      </c>
      <c r="D6" s="236" t="s">
        <v>77</v>
      </c>
      <c r="E6" s="145">
        <v>1604023</v>
      </c>
      <c r="F6" s="145" t="s">
        <v>79</v>
      </c>
      <c r="G6" s="145" t="s">
        <v>100</v>
      </c>
      <c r="H6" s="145" t="s">
        <v>103</v>
      </c>
      <c r="I6" s="242">
        <v>0.77</v>
      </c>
      <c r="J6" s="236" t="s">
        <v>324</v>
      </c>
      <c r="K6" s="229">
        <v>3573507.75</v>
      </c>
      <c r="L6" s="243">
        <v>2482620.18</v>
      </c>
      <c r="M6" s="293">
        <f t="shared" si="0"/>
        <v>1090887.5699999998</v>
      </c>
      <c r="N6" s="161">
        <f>ROUND(L6/K6,4)</f>
        <v>0.6947</v>
      </c>
      <c r="O6" s="170">
        <v>0</v>
      </c>
      <c r="P6" s="244">
        <v>0</v>
      </c>
      <c r="Q6" s="245">
        <v>2023902.78</v>
      </c>
      <c r="R6" s="245">
        <f>458717.4</f>
        <v>458717.4</v>
      </c>
      <c r="S6" s="170">
        <v>0</v>
      </c>
      <c r="T6" s="170">
        <v>0</v>
      </c>
      <c r="U6" s="170">
        <v>0</v>
      </c>
      <c r="V6" s="170">
        <v>0</v>
      </c>
      <c r="W6" s="170">
        <v>0</v>
      </c>
      <c r="X6" s="170">
        <v>0</v>
      </c>
      <c r="Y6" s="249" t="b">
        <f t="shared" si="1"/>
        <v>1</v>
      </c>
      <c r="Z6" s="43">
        <f t="shared" si="2"/>
        <v>0.6947</v>
      </c>
      <c r="AA6" s="251" t="b">
        <f t="shared" si="3"/>
        <v>1</v>
      </c>
      <c r="AB6" s="251" t="b">
        <f t="shared" si="4"/>
        <v>1</v>
      </c>
      <c r="AC6" s="139"/>
    </row>
    <row r="7" spans="1:29" s="134" customFormat="1" ht="44.25" customHeight="1">
      <c r="A7" s="285">
        <v>5</v>
      </c>
      <c r="B7" s="178" t="s">
        <v>144</v>
      </c>
      <c r="C7" s="159" t="s">
        <v>53</v>
      </c>
      <c r="D7" s="158" t="s">
        <v>159</v>
      </c>
      <c r="E7" s="178">
        <v>1603011</v>
      </c>
      <c r="F7" s="178" t="s">
        <v>61</v>
      </c>
      <c r="G7" s="178" t="s">
        <v>162</v>
      </c>
      <c r="H7" s="158" t="s">
        <v>104</v>
      </c>
      <c r="I7" s="178">
        <v>0.132</v>
      </c>
      <c r="J7" s="226" t="s">
        <v>179</v>
      </c>
      <c r="K7" s="291">
        <v>1491303.24</v>
      </c>
      <c r="L7" s="206">
        <f aca="true" t="shared" si="5" ref="L7:L30">ROUND(K7*N7,2)</f>
        <v>745651.62</v>
      </c>
      <c r="M7" s="294">
        <f t="shared" si="0"/>
        <v>745651.62</v>
      </c>
      <c r="N7" s="147">
        <v>0.5</v>
      </c>
      <c r="O7" s="169">
        <v>0</v>
      </c>
      <c r="P7" s="171">
        <v>0</v>
      </c>
      <c r="Q7" s="169">
        <v>0</v>
      </c>
      <c r="R7" s="169">
        <f aca="true" t="shared" si="6" ref="R7:R12">L7</f>
        <v>745651.62</v>
      </c>
      <c r="S7" s="169">
        <v>0</v>
      </c>
      <c r="T7" s="169">
        <v>0</v>
      </c>
      <c r="U7" s="169">
        <v>0</v>
      </c>
      <c r="V7" s="169">
        <v>0</v>
      </c>
      <c r="W7" s="171">
        <v>0</v>
      </c>
      <c r="X7" s="171">
        <v>0</v>
      </c>
      <c r="Y7" s="249" t="b">
        <f t="shared" si="1"/>
        <v>1</v>
      </c>
      <c r="Z7" s="43">
        <f t="shared" si="2"/>
        <v>0.5</v>
      </c>
      <c r="AA7" s="251" t="b">
        <f t="shared" si="3"/>
        <v>1</v>
      </c>
      <c r="AB7" s="251" t="b">
        <f t="shared" si="4"/>
        <v>1</v>
      </c>
      <c r="AC7" s="139"/>
    </row>
    <row r="8" spans="1:29" s="275" customFormat="1" ht="31.5" customHeight="1">
      <c r="A8" s="285">
        <v>6</v>
      </c>
      <c r="B8" s="178" t="s">
        <v>145</v>
      </c>
      <c r="C8" s="159" t="s">
        <v>53</v>
      </c>
      <c r="D8" s="158" t="s">
        <v>91</v>
      </c>
      <c r="E8" s="178">
        <v>1602013</v>
      </c>
      <c r="F8" s="178" t="s">
        <v>78</v>
      </c>
      <c r="G8" s="178" t="s">
        <v>163</v>
      </c>
      <c r="H8" s="158" t="s">
        <v>47</v>
      </c>
      <c r="I8" s="178">
        <v>0.247</v>
      </c>
      <c r="J8" s="226" t="s">
        <v>130</v>
      </c>
      <c r="K8" s="291">
        <v>612084.52</v>
      </c>
      <c r="L8" s="206">
        <f>ROUNDDOWN(K8*N8,2)</f>
        <v>428459.16</v>
      </c>
      <c r="M8" s="294">
        <f>K8-L8</f>
        <v>183625.36000000004</v>
      </c>
      <c r="N8" s="147">
        <v>0.7</v>
      </c>
      <c r="O8" s="169">
        <v>0</v>
      </c>
      <c r="P8" s="171">
        <v>0</v>
      </c>
      <c r="Q8" s="169">
        <v>0</v>
      </c>
      <c r="R8" s="169">
        <f t="shared" si="6"/>
        <v>428459.16</v>
      </c>
      <c r="S8" s="169">
        <v>0</v>
      </c>
      <c r="T8" s="169">
        <v>0</v>
      </c>
      <c r="U8" s="169">
        <v>0</v>
      </c>
      <c r="V8" s="169">
        <v>0</v>
      </c>
      <c r="W8" s="171">
        <v>0</v>
      </c>
      <c r="X8" s="171">
        <v>0</v>
      </c>
      <c r="Y8" s="271" t="b">
        <f t="shared" si="1"/>
        <v>1</v>
      </c>
      <c r="Z8" s="272">
        <f t="shared" si="2"/>
        <v>0.7</v>
      </c>
      <c r="AA8" s="273" t="b">
        <f t="shared" si="3"/>
        <v>1</v>
      </c>
      <c r="AB8" s="273" t="b">
        <f t="shared" si="4"/>
        <v>1</v>
      </c>
      <c r="AC8" s="274"/>
    </row>
    <row r="9" spans="1:29" s="134" customFormat="1" ht="44.25" customHeight="1">
      <c r="A9" s="285">
        <v>7</v>
      </c>
      <c r="B9" s="178" t="s">
        <v>327</v>
      </c>
      <c r="C9" s="159" t="s">
        <v>53</v>
      </c>
      <c r="D9" s="158" t="s">
        <v>62</v>
      </c>
      <c r="E9" s="178">
        <v>1610043</v>
      </c>
      <c r="F9" s="178" t="s">
        <v>50</v>
      </c>
      <c r="G9" s="178" t="s">
        <v>328</v>
      </c>
      <c r="H9" s="178" t="s">
        <v>104</v>
      </c>
      <c r="I9" s="178">
        <v>0.758</v>
      </c>
      <c r="J9" s="226" t="s">
        <v>220</v>
      </c>
      <c r="K9" s="291">
        <v>1606143.82</v>
      </c>
      <c r="L9" s="206">
        <f t="shared" si="5"/>
        <v>1284915.06</v>
      </c>
      <c r="M9" s="294">
        <f t="shared" si="0"/>
        <v>321228.76</v>
      </c>
      <c r="N9" s="147">
        <v>0.8</v>
      </c>
      <c r="O9" s="169">
        <v>0</v>
      </c>
      <c r="P9" s="171">
        <v>0</v>
      </c>
      <c r="Q9" s="169">
        <v>0</v>
      </c>
      <c r="R9" s="169">
        <f t="shared" si="6"/>
        <v>1284915.06</v>
      </c>
      <c r="S9" s="169">
        <v>0</v>
      </c>
      <c r="T9" s="169">
        <v>0</v>
      </c>
      <c r="U9" s="169">
        <v>0</v>
      </c>
      <c r="V9" s="169">
        <v>0</v>
      </c>
      <c r="W9" s="171">
        <v>0</v>
      </c>
      <c r="X9" s="171">
        <v>0</v>
      </c>
      <c r="Y9" s="249" t="b">
        <f t="shared" si="1"/>
        <v>1</v>
      </c>
      <c r="Z9" s="43">
        <f>ROUND(L9/K9,4)</f>
        <v>0.8</v>
      </c>
      <c r="AA9" s="251" t="b">
        <f>Z9=N9</f>
        <v>1</v>
      </c>
      <c r="AB9" s="251" t="b">
        <f>K9=L9+M9</f>
        <v>1</v>
      </c>
      <c r="AC9" s="139"/>
    </row>
    <row r="10" spans="1:29" s="134" customFormat="1" ht="44.25" customHeight="1">
      <c r="A10" s="284">
        <v>8</v>
      </c>
      <c r="B10" s="145" t="s">
        <v>146</v>
      </c>
      <c r="C10" s="160" t="s">
        <v>80</v>
      </c>
      <c r="D10" s="145" t="s">
        <v>159</v>
      </c>
      <c r="E10" s="145">
        <v>1603011</v>
      </c>
      <c r="F10" s="145" t="s">
        <v>61</v>
      </c>
      <c r="G10" s="145" t="s">
        <v>164</v>
      </c>
      <c r="H10" s="145" t="s">
        <v>103</v>
      </c>
      <c r="I10" s="145">
        <v>0.434</v>
      </c>
      <c r="J10" s="177" t="s">
        <v>219</v>
      </c>
      <c r="K10" s="170">
        <v>1638985.74</v>
      </c>
      <c r="L10" s="243">
        <f t="shared" si="5"/>
        <v>819492.87</v>
      </c>
      <c r="M10" s="301">
        <f t="shared" si="0"/>
        <v>819492.87</v>
      </c>
      <c r="N10" s="161">
        <v>0.5</v>
      </c>
      <c r="O10" s="170">
        <v>0</v>
      </c>
      <c r="P10" s="176">
        <v>0</v>
      </c>
      <c r="Q10" s="170">
        <v>0</v>
      </c>
      <c r="R10" s="170">
        <f t="shared" si="6"/>
        <v>819492.87</v>
      </c>
      <c r="S10" s="170">
        <v>0</v>
      </c>
      <c r="T10" s="170">
        <v>0</v>
      </c>
      <c r="U10" s="170">
        <v>0</v>
      </c>
      <c r="V10" s="170">
        <v>0</v>
      </c>
      <c r="W10" s="176">
        <v>0</v>
      </c>
      <c r="X10" s="176">
        <v>0</v>
      </c>
      <c r="Y10" s="249" t="b">
        <f>L6=SUM(P6:X6)</f>
        <v>1</v>
      </c>
      <c r="Z10" s="43">
        <f t="shared" si="2"/>
        <v>0.5</v>
      </c>
      <c r="AA10" s="251" t="b">
        <f t="shared" si="3"/>
        <v>1</v>
      </c>
      <c r="AB10" s="251" t="b">
        <f>K10=L10+M10</f>
        <v>1</v>
      </c>
      <c r="AC10" s="139"/>
    </row>
    <row r="11" spans="1:28" s="133" customFormat="1" ht="35.25" customHeight="1">
      <c r="A11" s="285">
        <v>9</v>
      </c>
      <c r="B11" s="178" t="s">
        <v>148</v>
      </c>
      <c r="C11" s="159" t="s">
        <v>53</v>
      </c>
      <c r="D11" s="158" t="s">
        <v>71</v>
      </c>
      <c r="E11" s="178">
        <v>1608043</v>
      </c>
      <c r="F11" s="178" t="s">
        <v>57</v>
      </c>
      <c r="G11" s="178" t="s">
        <v>166</v>
      </c>
      <c r="H11" s="158" t="s">
        <v>47</v>
      </c>
      <c r="I11" s="178">
        <v>0.286</v>
      </c>
      <c r="J11" s="226" t="s">
        <v>130</v>
      </c>
      <c r="K11" s="291">
        <v>947116.5</v>
      </c>
      <c r="L11" s="206">
        <f t="shared" si="5"/>
        <v>568269.9</v>
      </c>
      <c r="M11" s="295">
        <f t="shared" si="0"/>
        <v>378846.6</v>
      </c>
      <c r="N11" s="147">
        <v>0.6</v>
      </c>
      <c r="O11" s="169">
        <v>0</v>
      </c>
      <c r="P11" s="171">
        <v>0</v>
      </c>
      <c r="Q11" s="286">
        <v>0</v>
      </c>
      <c r="R11" s="169">
        <f t="shared" si="6"/>
        <v>568269.9</v>
      </c>
      <c r="S11" s="169">
        <v>0</v>
      </c>
      <c r="T11" s="169">
        <v>0</v>
      </c>
      <c r="U11" s="169">
        <v>0</v>
      </c>
      <c r="V11" s="169">
        <v>0</v>
      </c>
      <c r="W11" s="171">
        <v>0</v>
      </c>
      <c r="X11" s="171">
        <v>0</v>
      </c>
      <c r="Y11" s="249" t="b">
        <f>L11=SUM(P11:X11)</f>
        <v>1</v>
      </c>
      <c r="Z11" s="43">
        <f>ROUND(L11/K11,4)</f>
        <v>0.6</v>
      </c>
      <c r="AA11" s="251" t="b">
        <f>Z11=N11</f>
        <v>1</v>
      </c>
      <c r="AB11" s="251" t="b">
        <f>K11=L11+M11</f>
        <v>1</v>
      </c>
    </row>
    <row r="12" spans="1:28" s="41" customFormat="1" ht="39.75" customHeight="1">
      <c r="A12" s="284">
        <v>10</v>
      </c>
      <c r="B12" s="145" t="s">
        <v>147</v>
      </c>
      <c r="C12" s="160" t="s">
        <v>80</v>
      </c>
      <c r="D12" s="145" t="s">
        <v>159</v>
      </c>
      <c r="E12" s="145">
        <v>1603011</v>
      </c>
      <c r="F12" s="145" t="s">
        <v>61</v>
      </c>
      <c r="G12" s="145" t="s">
        <v>165</v>
      </c>
      <c r="H12" s="145" t="s">
        <v>47</v>
      </c>
      <c r="I12" s="145">
        <v>0.177</v>
      </c>
      <c r="J12" s="177" t="s">
        <v>353</v>
      </c>
      <c r="K12" s="170">
        <v>1414200.2</v>
      </c>
      <c r="L12" s="243">
        <f t="shared" si="5"/>
        <v>707100.1</v>
      </c>
      <c r="M12" s="301">
        <f t="shared" si="0"/>
        <v>707100.1</v>
      </c>
      <c r="N12" s="161">
        <v>0.5</v>
      </c>
      <c r="O12" s="170">
        <v>0</v>
      </c>
      <c r="P12" s="176">
        <v>0</v>
      </c>
      <c r="Q12" s="170">
        <v>0</v>
      </c>
      <c r="R12" s="170">
        <f t="shared" si="6"/>
        <v>707100.1</v>
      </c>
      <c r="S12" s="170">
        <v>0</v>
      </c>
      <c r="T12" s="170">
        <v>0</v>
      </c>
      <c r="U12" s="170">
        <v>0</v>
      </c>
      <c r="V12" s="170">
        <v>0</v>
      </c>
      <c r="W12" s="176">
        <v>0</v>
      </c>
      <c r="X12" s="176">
        <v>0</v>
      </c>
      <c r="Y12" s="249" t="b">
        <f aca="true" t="shared" si="7" ref="Y12:Y40">L12=SUM(P12:X12)</f>
        <v>1</v>
      </c>
      <c r="Z12" s="43">
        <f aca="true" t="shared" si="8" ref="Z12:Z40">ROUND(L12/K12,4)</f>
        <v>0.5</v>
      </c>
      <c r="AA12" s="251" t="b">
        <f t="shared" si="3"/>
        <v>1</v>
      </c>
      <c r="AB12" s="251" t="b">
        <f t="shared" si="4"/>
        <v>1</v>
      </c>
    </row>
    <row r="13" spans="1:28" s="276" customFormat="1" ht="35.25" customHeight="1">
      <c r="A13" s="285">
        <v>11</v>
      </c>
      <c r="B13" s="178" t="s">
        <v>149</v>
      </c>
      <c r="C13" s="159" t="s">
        <v>53</v>
      </c>
      <c r="D13" s="158" t="s">
        <v>91</v>
      </c>
      <c r="E13" s="178">
        <v>1602013</v>
      </c>
      <c r="F13" s="178" t="s">
        <v>78</v>
      </c>
      <c r="G13" s="178" t="s">
        <v>167</v>
      </c>
      <c r="H13" s="158" t="s">
        <v>47</v>
      </c>
      <c r="I13" s="178">
        <v>0.534</v>
      </c>
      <c r="J13" s="226" t="s">
        <v>130</v>
      </c>
      <c r="K13" s="291">
        <v>1087581.48</v>
      </c>
      <c r="L13" s="206">
        <f>ROUNDDOWN(K13*N13,2)</f>
        <v>761307.03</v>
      </c>
      <c r="M13" s="295">
        <f t="shared" si="0"/>
        <v>326274.44999999995</v>
      </c>
      <c r="N13" s="147">
        <v>0.7</v>
      </c>
      <c r="O13" s="169">
        <v>0</v>
      </c>
      <c r="P13" s="171">
        <v>0</v>
      </c>
      <c r="Q13" s="286">
        <v>0</v>
      </c>
      <c r="R13" s="169">
        <f aca="true" t="shared" si="9" ref="R13:R40">L13</f>
        <v>761307.03</v>
      </c>
      <c r="S13" s="169">
        <v>0</v>
      </c>
      <c r="T13" s="169">
        <v>0</v>
      </c>
      <c r="U13" s="169">
        <v>0</v>
      </c>
      <c r="V13" s="169">
        <v>0</v>
      </c>
      <c r="W13" s="171">
        <v>0</v>
      </c>
      <c r="X13" s="171">
        <v>0</v>
      </c>
      <c r="Y13" s="271" t="b">
        <f t="shared" si="7"/>
        <v>1</v>
      </c>
      <c r="Z13" s="272">
        <f t="shared" si="8"/>
        <v>0.7</v>
      </c>
      <c r="AA13" s="273" t="b">
        <f t="shared" si="3"/>
        <v>1</v>
      </c>
      <c r="AB13" s="273" t="b">
        <f aca="true" t="shared" si="10" ref="AB13:AB40">K13=L13+M13</f>
        <v>1</v>
      </c>
    </row>
    <row r="14" spans="1:28" s="41" customFormat="1" ht="35.25" customHeight="1">
      <c r="A14" s="207">
        <v>12</v>
      </c>
      <c r="B14" s="145" t="s">
        <v>150</v>
      </c>
      <c r="C14" s="160" t="s">
        <v>80</v>
      </c>
      <c r="D14" s="145" t="s">
        <v>51</v>
      </c>
      <c r="E14" s="145">
        <v>1607054</v>
      </c>
      <c r="F14" s="145" t="s">
        <v>46</v>
      </c>
      <c r="G14" s="145" t="s">
        <v>168</v>
      </c>
      <c r="H14" s="145" t="s">
        <v>103</v>
      </c>
      <c r="I14" s="145">
        <v>0.95</v>
      </c>
      <c r="J14" s="177" t="s">
        <v>131</v>
      </c>
      <c r="K14" s="292">
        <v>8364835.94</v>
      </c>
      <c r="L14" s="243">
        <f t="shared" si="5"/>
        <v>5855385.16</v>
      </c>
      <c r="M14" s="296">
        <f t="shared" si="0"/>
        <v>2509450.7800000003</v>
      </c>
      <c r="N14" s="161">
        <v>0.7</v>
      </c>
      <c r="O14" s="170">
        <v>0</v>
      </c>
      <c r="P14" s="176">
        <v>0</v>
      </c>
      <c r="Q14" s="287">
        <v>0</v>
      </c>
      <c r="R14" s="170">
        <f>ROUND(N14*4773332.08,2)</f>
        <v>3341332.46</v>
      </c>
      <c r="S14" s="170">
        <f>L14-R14</f>
        <v>2514052.7</v>
      </c>
      <c r="T14" s="170">
        <v>0</v>
      </c>
      <c r="U14" s="170">
        <v>0</v>
      </c>
      <c r="V14" s="170">
        <v>0</v>
      </c>
      <c r="W14" s="176">
        <v>0</v>
      </c>
      <c r="X14" s="176">
        <v>0</v>
      </c>
      <c r="Y14" s="249" t="b">
        <f t="shared" si="7"/>
        <v>1</v>
      </c>
      <c r="Z14" s="43">
        <f t="shared" si="8"/>
        <v>0.7</v>
      </c>
      <c r="AA14" s="251" t="b">
        <f t="shared" si="3"/>
        <v>1</v>
      </c>
      <c r="AB14" s="251" t="b">
        <f t="shared" si="10"/>
        <v>1</v>
      </c>
    </row>
    <row r="15" spans="1:28" s="41" customFormat="1" ht="36.75" customHeight="1">
      <c r="A15" s="285">
        <v>13</v>
      </c>
      <c r="B15" s="178" t="s">
        <v>151</v>
      </c>
      <c r="C15" s="159" t="s">
        <v>53</v>
      </c>
      <c r="D15" s="158" t="s">
        <v>64</v>
      </c>
      <c r="E15" s="178">
        <v>1606042</v>
      </c>
      <c r="F15" s="178" t="s">
        <v>59</v>
      </c>
      <c r="G15" s="178" t="s">
        <v>169</v>
      </c>
      <c r="H15" s="158" t="s">
        <v>47</v>
      </c>
      <c r="I15" s="178">
        <v>2.917</v>
      </c>
      <c r="J15" s="226" t="s">
        <v>177</v>
      </c>
      <c r="K15" s="291">
        <v>2775599.41</v>
      </c>
      <c r="L15" s="206">
        <f t="shared" si="5"/>
        <v>1387799.71</v>
      </c>
      <c r="M15" s="295">
        <f t="shared" si="0"/>
        <v>1387799.7000000002</v>
      </c>
      <c r="N15" s="147">
        <v>0.5</v>
      </c>
      <c r="O15" s="169">
        <v>0</v>
      </c>
      <c r="P15" s="171">
        <v>0</v>
      </c>
      <c r="Q15" s="286">
        <v>0</v>
      </c>
      <c r="R15" s="169">
        <f t="shared" si="9"/>
        <v>1387799.71</v>
      </c>
      <c r="S15" s="169">
        <v>0</v>
      </c>
      <c r="T15" s="169">
        <v>0</v>
      </c>
      <c r="U15" s="169">
        <v>0</v>
      </c>
      <c r="V15" s="169">
        <v>0</v>
      </c>
      <c r="W15" s="171">
        <v>0</v>
      </c>
      <c r="X15" s="171">
        <v>0</v>
      </c>
      <c r="Y15" s="249" t="b">
        <f t="shared" si="7"/>
        <v>1</v>
      </c>
      <c r="Z15" s="43">
        <f t="shared" si="8"/>
        <v>0.5</v>
      </c>
      <c r="AA15" s="251" t="b">
        <f t="shared" si="3"/>
        <v>1</v>
      </c>
      <c r="AB15" s="251" t="b">
        <f t="shared" si="10"/>
        <v>1</v>
      </c>
    </row>
    <row r="16" spans="1:28" s="41" customFormat="1" ht="39.75" customHeight="1">
      <c r="A16" s="285">
        <v>14</v>
      </c>
      <c r="B16" s="178" t="s">
        <v>152</v>
      </c>
      <c r="C16" s="159" t="s">
        <v>53</v>
      </c>
      <c r="D16" s="158" t="s">
        <v>82</v>
      </c>
      <c r="E16" s="178">
        <v>1602033</v>
      </c>
      <c r="F16" s="178" t="s">
        <v>78</v>
      </c>
      <c r="G16" s="178" t="s">
        <v>170</v>
      </c>
      <c r="H16" s="158" t="s">
        <v>47</v>
      </c>
      <c r="I16" s="178">
        <v>1.617</v>
      </c>
      <c r="J16" s="226" t="s">
        <v>178</v>
      </c>
      <c r="K16" s="291">
        <v>5414908.46</v>
      </c>
      <c r="L16" s="206">
        <f t="shared" si="5"/>
        <v>3248945.08</v>
      </c>
      <c r="M16" s="294">
        <f t="shared" si="0"/>
        <v>2165963.38</v>
      </c>
      <c r="N16" s="147">
        <v>0.6</v>
      </c>
      <c r="O16" s="169">
        <v>0</v>
      </c>
      <c r="P16" s="171">
        <v>0</v>
      </c>
      <c r="Q16" s="286">
        <v>0</v>
      </c>
      <c r="R16" s="169">
        <f t="shared" si="9"/>
        <v>3248945.08</v>
      </c>
      <c r="S16" s="169">
        <v>0</v>
      </c>
      <c r="T16" s="169">
        <v>0</v>
      </c>
      <c r="U16" s="169">
        <v>0</v>
      </c>
      <c r="V16" s="169">
        <v>0</v>
      </c>
      <c r="W16" s="171">
        <v>0</v>
      </c>
      <c r="X16" s="171">
        <v>0</v>
      </c>
      <c r="Y16" s="249" t="b">
        <f t="shared" si="7"/>
        <v>1</v>
      </c>
      <c r="Z16" s="43">
        <f t="shared" si="8"/>
        <v>0.6</v>
      </c>
      <c r="AA16" s="251" t="b">
        <f t="shared" si="3"/>
        <v>1</v>
      </c>
      <c r="AB16" s="251" t="b">
        <f t="shared" si="10"/>
        <v>1</v>
      </c>
    </row>
    <row r="17" spans="1:28" s="133" customFormat="1" ht="58.5" customHeight="1">
      <c r="A17" s="207">
        <v>15</v>
      </c>
      <c r="B17" s="145" t="s">
        <v>158</v>
      </c>
      <c r="C17" s="160" t="s">
        <v>80</v>
      </c>
      <c r="D17" s="145" t="s">
        <v>74</v>
      </c>
      <c r="E17" s="145">
        <v>1606023</v>
      </c>
      <c r="F17" s="145" t="s">
        <v>59</v>
      </c>
      <c r="G17" s="145" t="s">
        <v>176</v>
      </c>
      <c r="H17" s="158" t="s">
        <v>103</v>
      </c>
      <c r="I17" s="145">
        <v>0.651</v>
      </c>
      <c r="J17" s="177" t="s">
        <v>182</v>
      </c>
      <c r="K17" s="170">
        <v>2368248.79</v>
      </c>
      <c r="L17" s="243">
        <f t="shared" si="5"/>
        <v>1420949.27</v>
      </c>
      <c r="M17" s="296">
        <f t="shared" si="0"/>
        <v>947299.52</v>
      </c>
      <c r="N17" s="161">
        <v>0.6</v>
      </c>
      <c r="O17" s="170">
        <v>0</v>
      </c>
      <c r="P17" s="176">
        <v>0</v>
      </c>
      <c r="Q17" s="287">
        <v>0</v>
      </c>
      <c r="R17" s="170">
        <f>ROUND(N17*1187124.4,2)</f>
        <v>712274.64</v>
      </c>
      <c r="S17" s="170">
        <f>L17-R17</f>
        <v>708674.63</v>
      </c>
      <c r="T17" s="170">
        <v>0</v>
      </c>
      <c r="U17" s="170">
        <v>0</v>
      </c>
      <c r="V17" s="170">
        <v>0</v>
      </c>
      <c r="W17" s="176">
        <v>0</v>
      </c>
      <c r="X17" s="176">
        <v>0</v>
      </c>
      <c r="Y17" s="249" t="b">
        <f>L17=SUM(P17:X17)</f>
        <v>1</v>
      </c>
      <c r="Z17" s="43">
        <f>ROUND(L17/K17,4)</f>
        <v>0.6</v>
      </c>
      <c r="AA17" s="251" t="b">
        <f>Z17=N17</f>
        <v>1</v>
      </c>
      <c r="AB17" s="251" t="b">
        <f>K17=L17+M17</f>
        <v>1</v>
      </c>
    </row>
    <row r="18" spans="1:28" s="133" customFormat="1" ht="39" customHeight="1">
      <c r="A18" s="285">
        <v>16</v>
      </c>
      <c r="B18" s="178" t="s">
        <v>157</v>
      </c>
      <c r="C18" s="159" t="s">
        <v>53</v>
      </c>
      <c r="D18" s="158" t="s">
        <v>55</v>
      </c>
      <c r="E18" s="178">
        <v>1609052</v>
      </c>
      <c r="F18" s="178" t="s">
        <v>56</v>
      </c>
      <c r="G18" s="178" t="s">
        <v>175</v>
      </c>
      <c r="H18" s="158" t="s">
        <v>47</v>
      </c>
      <c r="I18" s="178">
        <v>0.307</v>
      </c>
      <c r="J18" s="226" t="s">
        <v>181</v>
      </c>
      <c r="K18" s="291">
        <v>1633214.93</v>
      </c>
      <c r="L18" s="206">
        <f t="shared" si="5"/>
        <v>1143250.45</v>
      </c>
      <c r="M18" s="295">
        <f t="shared" si="0"/>
        <v>489964.48</v>
      </c>
      <c r="N18" s="147">
        <v>0.7</v>
      </c>
      <c r="O18" s="169">
        <v>0</v>
      </c>
      <c r="P18" s="171">
        <v>0</v>
      </c>
      <c r="Q18" s="286">
        <v>0</v>
      </c>
      <c r="R18" s="169">
        <f>L18</f>
        <v>1143250.45</v>
      </c>
      <c r="S18" s="169">
        <v>0</v>
      </c>
      <c r="T18" s="169">
        <v>0</v>
      </c>
      <c r="U18" s="169">
        <v>0</v>
      </c>
      <c r="V18" s="169">
        <v>0</v>
      </c>
      <c r="W18" s="171">
        <v>0</v>
      </c>
      <c r="X18" s="171">
        <v>0</v>
      </c>
      <c r="Y18" s="249" t="b">
        <f>L18=SUM(P18:X18)</f>
        <v>1</v>
      </c>
      <c r="Z18" s="43">
        <f>ROUND(L18/K18,4)</f>
        <v>0.7</v>
      </c>
      <c r="AA18" s="251" t="b">
        <f>Z18=N18</f>
        <v>1</v>
      </c>
      <c r="AB18" s="251" t="b">
        <f>K18=L18+M18</f>
        <v>1</v>
      </c>
    </row>
    <row r="19" spans="1:28" s="41" customFormat="1" ht="36.75" customHeight="1">
      <c r="A19" s="285">
        <v>17</v>
      </c>
      <c r="B19" s="178" t="s">
        <v>155</v>
      </c>
      <c r="C19" s="159" t="s">
        <v>53</v>
      </c>
      <c r="D19" s="158" t="s">
        <v>68</v>
      </c>
      <c r="E19" s="178">
        <v>1608013</v>
      </c>
      <c r="F19" s="178" t="s">
        <v>57</v>
      </c>
      <c r="G19" s="178" t="s">
        <v>173</v>
      </c>
      <c r="H19" s="158" t="s">
        <v>47</v>
      </c>
      <c r="I19" s="178">
        <v>0.269</v>
      </c>
      <c r="J19" s="226" t="s">
        <v>179</v>
      </c>
      <c r="K19" s="291">
        <v>2769956.38</v>
      </c>
      <c r="L19" s="206">
        <f t="shared" si="5"/>
        <v>1661973.83</v>
      </c>
      <c r="M19" s="295">
        <f t="shared" si="0"/>
        <v>1107982.5499999998</v>
      </c>
      <c r="N19" s="147">
        <v>0.6</v>
      </c>
      <c r="O19" s="169">
        <v>0</v>
      </c>
      <c r="P19" s="171">
        <v>0</v>
      </c>
      <c r="Q19" s="286">
        <v>0</v>
      </c>
      <c r="R19" s="169">
        <f>L19</f>
        <v>1661973.83</v>
      </c>
      <c r="S19" s="169">
        <v>0</v>
      </c>
      <c r="T19" s="169">
        <v>0</v>
      </c>
      <c r="U19" s="169">
        <v>0</v>
      </c>
      <c r="V19" s="169">
        <v>0</v>
      </c>
      <c r="W19" s="171">
        <v>0</v>
      </c>
      <c r="X19" s="171">
        <v>0</v>
      </c>
      <c r="Y19" s="249" t="b">
        <f>L19=SUM(P19:X19)</f>
        <v>1</v>
      </c>
      <c r="Z19" s="43">
        <f>ROUND(L19/K19,4)</f>
        <v>0.6</v>
      </c>
      <c r="AA19" s="251" t="b">
        <f>Z19=N19</f>
        <v>1</v>
      </c>
      <c r="AB19" s="251" t="b">
        <f>K19=L19+M19</f>
        <v>1</v>
      </c>
    </row>
    <row r="20" spans="1:28" s="41" customFormat="1" ht="33.75" customHeight="1">
      <c r="A20" s="285">
        <v>18</v>
      </c>
      <c r="B20" s="178" t="s">
        <v>154</v>
      </c>
      <c r="C20" s="159" t="s">
        <v>53</v>
      </c>
      <c r="D20" s="178" t="s">
        <v>65</v>
      </c>
      <c r="E20" s="178">
        <v>1609032</v>
      </c>
      <c r="F20" s="178" t="s">
        <v>56</v>
      </c>
      <c r="G20" s="178" t="s">
        <v>172</v>
      </c>
      <c r="H20" s="158" t="s">
        <v>104</v>
      </c>
      <c r="I20" s="178">
        <v>0.264</v>
      </c>
      <c r="J20" s="226" t="s">
        <v>325</v>
      </c>
      <c r="K20" s="291">
        <v>168773.51</v>
      </c>
      <c r="L20" s="206">
        <f t="shared" si="5"/>
        <v>135018.81</v>
      </c>
      <c r="M20" s="295">
        <f t="shared" si="0"/>
        <v>33754.70000000001</v>
      </c>
      <c r="N20" s="147">
        <v>0.8</v>
      </c>
      <c r="O20" s="169">
        <v>0</v>
      </c>
      <c r="P20" s="171">
        <v>0</v>
      </c>
      <c r="Q20" s="286">
        <v>0</v>
      </c>
      <c r="R20" s="169">
        <f>L20</f>
        <v>135018.81</v>
      </c>
      <c r="S20" s="169">
        <v>0</v>
      </c>
      <c r="T20" s="169">
        <v>0</v>
      </c>
      <c r="U20" s="169">
        <v>0</v>
      </c>
      <c r="V20" s="169">
        <v>0</v>
      </c>
      <c r="W20" s="171">
        <v>0</v>
      </c>
      <c r="X20" s="171">
        <v>0</v>
      </c>
      <c r="Y20" s="249" t="b">
        <f>L20=SUM(P20:X20)</f>
        <v>1</v>
      </c>
      <c r="Z20" s="43">
        <f>ROUND(L20/K20,4)</f>
        <v>0.8</v>
      </c>
      <c r="AA20" s="251" t="b">
        <f>Z20=N20</f>
        <v>1</v>
      </c>
      <c r="AB20" s="251" t="b">
        <f>K20=L20+M20</f>
        <v>1</v>
      </c>
    </row>
    <row r="21" spans="1:28" s="41" customFormat="1" ht="40.5" customHeight="1">
      <c r="A21" s="285">
        <v>19</v>
      </c>
      <c r="B21" s="178" t="s">
        <v>156</v>
      </c>
      <c r="C21" s="159" t="s">
        <v>53</v>
      </c>
      <c r="D21" s="158" t="s">
        <v>66</v>
      </c>
      <c r="E21" s="178">
        <v>1605013</v>
      </c>
      <c r="F21" s="178" t="s">
        <v>60</v>
      </c>
      <c r="G21" s="178" t="s">
        <v>174</v>
      </c>
      <c r="H21" s="158" t="s">
        <v>47</v>
      </c>
      <c r="I21" s="178">
        <v>0.98</v>
      </c>
      <c r="J21" s="226" t="s">
        <v>180</v>
      </c>
      <c r="K21" s="291">
        <v>3683555.16</v>
      </c>
      <c r="L21" s="206">
        <f t="shared" si="5"/>
        <v>1841777.58</v>
      </c>
      <c r="M21" s="295">
        <f t="shared" si="0"/>
        <v>1841777.58</v>
      </c>
      <c r="N21" s="147">
        <v>0.5</v>
      </c>
      <c r="O21" s="169">
        <v>0</v>
      </c>
      <c r="P21" s="171">
        <v>0</v>
      </c>
      <c r="Q21" s="286">
        <v>0</v>
      </c>
      <c r="R21" s="169">
        <f>L21</f>
        <v>1841777.58</v>
      </c>
      <c r="S21" s="169">
        <v>0</v>
      </c>
      <c r="T21" s="169">
        <v>0</v>
      </c>
      <c r="U21" s="169">
        <v>0</v>
      </c>
      <c r="V21" s="169">
        <v>0</v>
      </c>
      <c r="W21" s="171">
        <v>0</v>
      </c>
      <c r="X21" s="171">
        <v>0</v>
      </c>
      <c r="Y21" s="249" t="b">
        <f>L21=SUM(P21:X21)</f>
        <v>1</v>
      </c>
      <c r="Z21" s="43">
        <f>ROUND(L21/K21,4)</f>
        <v>0.5</v>
      </c>
      <c r="AA21" s="251" t="b">
        <f>Z21=N21</f>
        <v>1</v>
      </c>
      <c r="AB21" s="251" t="b">
        <f>K21=L21+M21</f>
        <v>1</v>
      </c>
    </row>
    <row r="22" spans="1:28" s="41" customFormat="1" ht="36.75" customHeight="1">
      <c r="A22" s="285">
        <v>20</v>
      </c>
      <c r="B22" s="178" t="s">
        <v>153</v>
      </c>
      <c r="C22" s="159" t="s">
        <v>53</v>
      </c>
      <c r="D22" s="178" t="s">
        <v>65</v>
      </c>
      <c r="E22" s="178">
        <v>1609032</v>
      </c>
      <c r="F22" s="178" t="s">
        <v>56</v>
      </c>
      <c r="G22" s="178" t="s">
        <v>171</v>
      </c>
      <c r="H22" s="158" t="s">
        <v>104</v>
      </c>
      <c r="I22" s="178">
        <v>0.133</v>
      </c>
      <c r="J22" s="226" t="s">
        <v>325</v>
      </c>
      <c r="K22" s="291">
        <v>230652.85</v>
      </c>
      <c r="L22" s="206">
        <f t="shared" si="5"/>
        <v>184522.28</v>
      </c>
      <c r="M22" s="295">
        <f t="shared" si="0"/>
        <v>46130.57000000001</v>
      </c>
      <c r="N22" s="147">
        <v>0.8</v>
      </c>
      <c r="O22" s="169">
        <v>0</v>
      </c>
      <c r="P22" s="171">
        <v>0</v>
      </c>
      <c r="Q22" s="286">
        <v>0</v>
      </c>
      <c r="R22" s="169">
        <f t="shared" si="9"/>
        <v>184522.28</v>
      </c>
      <c r="S22" s="169">
        <v>0</v>
      </c>
      <c r="T22" s="169">
        <v>0</v>
      </c>
      <c r="U22" s="169">
        <v>0</v>
      </c>
      <c r="V22" s="169">
        <v>0</v>
      </c>
      <c r="W22" s="171">
        <v>0</v>
      </c>
      <c r="X22" s="171">
        <v>0</v>
      </c>
      <c r="Y22" s="249" t="b">
        <f t="shared" si="7"/>
        <v>1</v>
      </c>
      <c r="Z22" s="43">
        <f t="shared" si="8"/>
        <v>0.8</v>
      </c>
      <c r="AA22" s="251" t="b">
        <f t="shared" si="3"/>
        <v>1</v>
      </c>
      <c r="AB22" s="251" t="b">
        <f t="shared" si="10"/>
        <v>1</v>
      </c>
    </row>
    <row r="23" spans="1:28" s="133" customFormat="1" ht="36.75" customHeight="1">
      <c r="A23" s="284">
        <v>21</v>
      </c>
      <c r="B23" s="145" t="s">
        <v>183</v>
      </c>
      <c r="C23" s="160" t="s">
        <v>80</v>
      </c>
      <c r="D23" s="145" t="s">
        <v>159</v>
      </c>
      <c r="E23" s="145">
        <v>1603011</v>
      </c>
      <c r="F23" s="145" t="s">
        <v>61</v>
      </c>
      <c r="G23" s="145" t="s">
        <v>201</v>
      </c>
      <c r="H23" s="145" t="s">
        <v>47</v>
      </c>
      <c r="I23" s="145">
        <v>0.357</v>
      </c>
      <c r="J23" s="177" t="s">
        <v>354</v>
      </c>
      <c r="K23" s="170">
        <v>1318033.13</v>
      </c>
      <c r="L23" s="243">
        <f t="shared" si="5"/>
        <v>659016.57</v>
      </c>
      <c r="M23" s="296">
        <f t="shared" si="0"/>
        <v>659016.5599999999</v>
      </c>
      <c r="N23" s="161">
        <v>0.5</v>
      </c>
      <c r="O23" s="170">
        <v>0</v>
      </c>
      <c r="P23" s="176">
        <v>0</v>
      </c>
      <c r="Q23" s="287">
        <v>0</v>
      </c>
      <c r="R23" s="170">
        <f t="shared" si="9"/>
        <v>659016.57</v>
      </c>
      <c r="S23" s="170">
        <v>0</v>
      </c>
      <c r="T23" s="170">
        <v>0</v>
      </c>
      <c r="U23" s="170">
        <v>0</v>
      </c>
      <c r="V23" s="170">
        <v>0</v>
      </c>
      <c r="W23" s="176">
        <v>0</v>
      </c>
      <c r="X23" s="176">
        <v>0</v>
      </c>
      <c r="Y23" s="249" t="b">
        <f t="shared" si="7"/>
        <v>1</v>
      </c>
      <c r="Z23" s="43">
        <f t="shared" si="8"/>
        <v>0.5</v>
      </c>
      <c r="AA23" s="251" t="b">
        <f t="shared" si="3"/>
        <v>1</v>
      </c>
      <c r="AB23" s="251" t="b">
        <f t="shared" si="10"/>
        <v>1</v>
      </c>
    </row>
    <row r="24" spans="1:28" s="276" customFormat="1" ht="42" customHeight="1">
      <c r="A24" s="285">
        <v>22</v>
      </c>
      <c r="B24" s="178" t="s">
        <v>185</v>
      </c>
      <c r="C24" s="159" t="s">
        <v>53</v>
      </c>
      <c r="D24" s="158" t="s">
        <v>198</v>
      </c>
      <c r="E24" s="178">
        <v>1602022</v>
      </c>
      <c r="F24" s="178" t="s">
        <v>78</v>
      </c>
      <c r="G24" s="178" t="s">
        <v>203</v>
      </c>
      <c r="H24" s="158" t="s">
        <v>47</v>
      </c>
      <c r="I24" s="178">
        <v>0.845</v>
      </c>
      <c r="J24" s="226" t="s">
        <v>218</v>
      </c>
      <c r="K24" s="291">
        <v>4302528.18</v>
      </c>
      <c r="L24" s="206">
        <f>ROUNDDOWN(K24*N24,2)</f>
        <v>3011769.72</v>
      </c>
      <c r="M24" s="295">
        <f t="shared" si="0"/>
        <v>1290758.4599999995</v>
      </c>
      <c r="N24" s="147">
        <v>0.7</v>
      </c>
      <c r="O24" s="169">
        <v>0</v>
      </c>
      <c r="P24" s="171">
        <v>0</v>
      </c>
      <c r="Q24" s="286">
        <v>0</v>
      </c>
      <c r="R24" s="169">
        <f>L24</f>
        <v>3011769.72</v>
      </c>
      <c r="S24" s="169">
        <v>0</v>
      </c>
      <c r="T24" s="169">
        <v>0</v>
      </c>
      <c r="U24" s="169">
        <v>0</v>
      </c>
      <c r="V24" s="169">
        <v>0</v>
      </c>
      <c r="W24" s="171">
        <v>0</v>
      </c>
      <c r="X24" s="171">
        <v>0</v>
      </c>
      <c r="Y24" s="271" t="b">
        <f>L24=SUM(P24:X24)</f>
        <v>1</v>
      </c>
      <c r="Z24" s="272">
        <f>ROUND(L24/K24,4)</f>
        <v>0.7</v>
      </c>
      <c r="AA24" s="273" t="b">
        <f>Z24=N24</f>
        <v>1</v>
      </c>
      <c r="AB24" s="273" t="b">
        <f>K24=L24+M24</f>
        <v>1</v>
      </c>
    </row>
    <row r="25" spans="1:28" s="133" customFormat="1" ht="36.75" customHeight="1">
      <c r="A25" s="285">
        <v>23</v>
      </c>
      <c r="B25" s="178" t="s">
        <v>184</v>
      </c>
      <c r="C25" s="159" t="s">
        <v>53</v>
      </c>
      <c r="D25" s="158" t="s">
        <v>84</v>
      </c>
      <c r="E25" s="178">
        <v>1609022</v>
      </c>
      <c r="F25" s="178" t="s">
        <v>56</v>
      </c>
      <c r="G25" s="178" t="s">
        <v>202</v>
      </c>
      <c r="H25" s="158" t="s">
        <v>47</v>
      </c>
      <c r="I25" s="178">
        <v>0.166</v>
      </c>
      <c r="J25" s="226" t="s">
        <v>352</v>
      </c>
      <c r="K25" s="291">
        <v>436198.2</v>
      </c>
      <c r="L25" s="206">
        <f t="shared" si="5"/>
        <v>261718.92</v>
      </c>
      <c r="M25" s="295">
        <f t="shared" si="0"/>
        <v>174479.28</v>
      </c>
      <c r="N25" s="147">
        <v>0.6</v>
      </c>
      <c r="O25" s="169">
        <v>0</v>
      </c>
      <c r="P25" s="171">
        <v>0</v>
      </c>
      <c r="Q25" s="286">
        <v>0</v>
      </c>
      <c r="R25" s="169">
        <f t="shared" si="9"/>
        <v>261718.92</v>
      </c>
      <c r="S25" s="169">
        <v>0</v>
      </c>
      <c r="T25" s="169">
        <v>0</v>
      </c>
      <c r="U25" s="169">
        <v>0</v>
      </c>
      <c r="V25" s="169">
        <v>0</v>
      </c>
      <c r="W25" s="171">
        <v>0</v>
      </c>
      <c r="X25" s="171">
        <v>0</v>
      </c>
      <c r="Y25" s="249" t="b">
        <f t="shared" si="7"/>
        <v>1</v>
      </c>
      <c r="Z25" s="43">
        <f t="shared" si="8"/>
        <v>0.6</v>
      </c>
      <c r="AA25" s="251" t="b">
        <f t="shared" si="3"/>
        <v>1</v>
      </c>
      <c r="AB25" s="251" t="b">
        <f t="shared" si="10"/>
        <v>1</v>
      </c>
    </row>
    <row r="26" spans="1:28" s="133" customFormat="1" ht="30.75" customHeight="1">
      <c r="A26" s="285">
        <v>24</v>
      </c>
      <c r="B26" s="178" t="s">
        <v>187</v>
      </c>
      <c r="C26" s="159" t="s">
        <v>53</v>
      </c>
      <c r="D26" s="158" t="s">
        <v>199</v>
      </c>
      <c r="E26" s="178">
        <v>1607013</v>
      </c>
      <c r="F26" s="178" t="s">
        <v>46</v>
      </c>
      <c r="G26" s="178" t="s">
        <v>205</v>
      </c>
      <c r="H26" s="158" t="s">
        <v>104</v>
      </c>
      <c r="I26" s="178">
        <v>0.647</v>
      </c>
      <c r="J26" s="226" t="s">
        <v>222</v>
      </c>
      <c r="K26" s="291">
        <v>440327</v>
      </c>
      <c r="L26" s="206">
        <f t="shared" si="5"/>
        <v>352261.6</v>
      </c>
      <c r="M26" s="295">
        <f t="shared" si="0"/>
        <v>88065.40000000002</v>
      </c>
      <c r="N26" s="147">
        <v>0.8</v>
      </c>
      <c r="O26" s="169">
        <v>0</v>
      </c>
      <c r="P26" s="171">
        <v>0</v>
      </c>
      <c r="Q26" s="286">
        <v>0</v>
      </c>
      <c r="R26" s="169">
        <f>L26</f>
        <v>352261.6</v>
      </c>
      <c r="S26" s="169">
        <v>0</v>
      </c>
      <c r="T26" s="169">
        <v>0</v>
      </c>
      <c r="U26" s="169">
        <v>0</v>
      </c>
      <c r="V26" s="169">
        <v>0</v>
      </c>
      <c r="W26" s="171">
        <v>0</v>
      </c>
      <c r="X26" s="171">
        <v>0</v>
      </c>
      <c r="Y26" s="249" t="b">
        <f>L26=SUM(P26:X26)</f>
        <v>1</v>
      </c>
      <c r="Z26" s="43">
        <f>ROUND(L26/K26,4)</f>
        <v>0.8</v>
      </c>
      <c r="AA26" s="251" t="b">
        <f>Z26=N26</f>
        <v>1</v>
      </c>
      <c r="AB26" s="251" t="b">
        <f>K26=L26+M26</f>
        <v>1</v>
      </c>
    </row>
    <row r="27" spans="1:28" s="133" customFormat="1" ht="30.75" customHeight="1">
      <c r="A27" s="285">
        <v>25</v>
      </c>
      <c r="B27" s="145" t="s">
        <v>186</v>
      </c>
      <c r="C27" s="160" t="s">
        <v>80</v>
      </c>
      <c r="D27" s="145" t="s">
        <v>199</v>
      </c>
      <c r="E27" s="145">
        <v>1607013</v>
      </c>
      <c r="F27" s="145" t="s">
        <v>46</v>
      </c>
      <c r="G27" s="145" t="s">
        <v>204</v>
      </c>
      <c r="H27" s="158" t="s">
        <v>103</v>
      </c>
      <c r="I27" s="234">
        <v>0.44</v>
      </c>
      <c r="J27" s="177" t="s">
        <v>351</v>
      </c>
      <c r="K27" s="292">
        <v>2691650</v>
      </c>
      <c r="L27" s="243">
        <f t="shared" si="5"/>
        <v>2153320</v>
      </c>
      <c r="M27" s="296">
        <f t="shared" si="0"/>
        <v>538330</v>
      </c>
      <c r="N27" s="161">
        <v>0.8</v>
      </c>
      <c r="O27" s="170">
        <v>0</v>
      </c>
      <c r="P27" s="176">
        <v>0</v>
      </c>
      <c r="Q27" s="287">
        <v>0</v>
      </c>
      <c r="R27" s="170">
        <f>ROUND(N27*2083000,2)</f>
        <v>1666400</v>
      </c>
      <c r="S27" s="170">
        <f>L27-R27</f>
        <v>486920</v>
      </c>
      <c r="T27" s="170">
        <v>0</v>
      </c>
      <c r="U27" s="170">
        <v>0</v>
      </c>
      <c r="V27" s="170">
        <v>0</v>
      </c>
      <c r="W27" s="176">
        <v>0</v>
      </c>
      <c r="X27" s="176">
        <v>0</v>
      </c>
      <c r="Y27" s="249" t="b">
        <f t="shared" si="7"/>
        <v>1</v>
      </c>
      <c r="Z27" s="43">
        <f t="shared" si="8"/>
        <v>0.8</v>
      </c>
      <c r="AA27" s="251" t="b">
        <f t="shared" si="3"/>
        <v>1</v>
      </c>
      <c r="AB27" s="251" t="b">
        <f t="shared" si="10"/>
        <v>1</v>
      </c>
    </row>
    <row r="28" spans="1:28" s="133" customFormat="1" ht="30.75" customHeight="1">
      <c r="A28" s="285">
        <v>26</v>
      </c>
      <c r="B28" s="178" t="s">
        <v>188</v>
      </c>
      <c r="C28" s="159" t="s">
        <v>53</v>
      </c>
      <c r="D28" s="158" t="s">
        <v>55</v>
      </c>
      <c r="E28" s="178">
        <v>1609052</v>
      </c>
      <c r="F28" s="178" t="s">
        <v>56</v>
      </c>
      <c r="G28" s="178" t="s">
        <v>206</v>
      </c>
      <c r="H28" s="158" t="s">
        <v>47</v>
      </c>
      <c r="I28" s="178">
        <v>0.304</v>
      </c>
      <c r="J28" s="226" t="s">
        <v>181</v>
      </c>
      <c r="K28" s="291">
        <v>1057405.07</v>
      </c>
      <c r="L28" s="206">
        <f t="shared" si="5"/>
        <v>740183.55</v>
      </c>
      <c r="M28" s="295">
        <f t="shared" si="0"/>
        <v>317221.52</v>
      </c>
      <c r="N28" s="147">
        <v>0.7</v>
      </c>
      <c r="O28" s="169">
        <v>0</v>
      </c>
      <c r="P28" s="171">
        <v>0</v>
      </c>
      <c r="Q28" s="286">
        <v>0</v>
      </c>
      <c r="R28" s="169">
        <f t="shared" si="9"/>
        <v>740183.55</v>
      </c>
      <c r="S28" s="169">
        <v>0</v>
      </c>
      <c r="T28" s="169">
        <v>0</v>
      </c>
      <c r="U28" s="169">
        <v>0</v>
      </c>
      <c r="V28" s="169">
        <v>0</v>
      </c>
      <c r="W28" s="171">
        <v>0</v>
      </c>
      <c r="X28" s="171">
        <v>0</v>
      </c>
      <c r="Y28" s="249" t="b">
        <f t="shared" si="7"/>
        <v>1</v>
      </c>
      <c r="Z28" s="43">
        <f t="shared" si="8"/>
        <v>0.7</v>
      </c>
      <c r="AA28" s="251" t="b">
        <f t="shared" si="3"/>
        <v>1</v>
      </c>
      <c r="AB28" s="251" t="b">
        <f t="shared" si="10"/>
        <v>1</v>
      </c>
    </row>
    <row r="29" spans="1:28" s="138" customFormat="1" ht="30.75" customHeight="1">
      <c r="A29" s="285">
        <v>27</v>
      </c>
      <c r="B29" s="178" t="s">
        <v>189</v>
      </c>
      <c r="C29" s="159" t="s">
        <v>53</v>
      </c>
      <c r="D29" s="158" t="s">
        <v>84</v>
      </c>
      <c r="E29" s="178">
        <v>1609022</v>
      </c>
      <c r="F29" s="178" t="s">
        <v>56</v>
      </c>
      <c r="G29" s="178" t="s">
        <v>207</v>
      </c>
      <c r="H29" s="158" t="s">
        <v>47</v>
      </c>
      <c r="I29" s="178">
        <v>0.682</v>
      </c>
      <c r="J29" s="226" t="s">
        <v>319</v>
      </c>
      <c r="K29" s="291">
        <v>1496349.91</v>
      </c>
      <c r="L29" s="206">
        <f t="shared" si="5"/>
        <v>897809.95</v>
      </c>
      <c r="M29" s="295">
        <f t="shared" si="0"/>
        <v>598539.96</v>
      </c>
      <c r="N29" s="147">
        <v>0.6</v>
      </c>
      <c r="O29" s="169">
        <v>0</v>
      </c>
      <c r="P29" s="171">
        <v>0</v>
      </c>
      <c r="Q29" s="286">
        <v>0</v>
      </c>
      <c r="R29" s="169">
        <f t="shared" si="9"/>
        <v>897809.95</v>
      </c>
      <c r="S29" s="169">
        <v>0</v>
      </c>
      <c r="T29" s="169">
        <v>0</v>
      </c>
      <c r="U29" s="169">
        <v>0</v>
      </c>
      <c r="V29" s="169">
        <v>0</v>
      </c>
      <c r="W29" s="171">
        <v>0</v>
      </c>
      <c r="X29" s="171">
        <v>0</v>
      </c>
      <c r="Y29" s="249" t="b">
        <f t="shared" si="7"/>
        <v>1</v>
      </c>
      <c r="Z29" s="43">
        <f t="shared" si="8"/>
        <v>0.6</v>
      </c>
      <c r="AA29" s="251" t="b">
        <f t="shared" si="3"/>
        <v>1</v>
      </c>
      <c r="AB29" s="251" t="b">
        <f t="shared" si="10"/>
        <v>1</v>
      </c>
    </row>
    <row r="30" spans="1:28" s="133" customFormat="1" ht="44.25" customHeight="1">
      <c r="A30" s="285">
        <v>28</v>
      </c>
      <c r="B30" s="178" t="s">
        <v>193</v>
      </c>
      <c r="C30" s="159" t="s">
        <v>53</v>
      </c>
      <c r="D30" s="158" t="s">
        <v>89</v>
      </c>
      <c r="E30" s="178">
        <v>1607073</v>
      </c>
      <c r="F30" s="178" t="s">
        <v>46</v>
      </c>
      <c r="G30" s="178" t="s">
        <v>212</v>
      </c>
      <c r="H30" s="158" t="s">
        <v>104</v>
      </c>
      <c r="I30" s="288">
        <v>0.13</v>
      </c>
      <c r="J30" s="226" t="s">
        <v>222</v>
      </c>
      <c r="K30" s="291">
        <v>82212.71</v>
      </c>
      <c r="L30" s="206">
        <f t="shared" si="5"/>
        <v>65770.17</v>
      </c>
      <c r="M30" s="295">
        <f t="shared" si="0"/>
        <v>16442.540000000008</v>
      </c>
      <c r="N30" s="147">
        <v>0.8</v>
      </c>
      <c r="O30" s="169">
        <v>0</v>
      </c>
      <c r="P30" s="171">
        <v>0</v>
      </c>
      <c r="Q30" s="286">
        <v>0</v>
      </c>
      <c r="R30" s="169">
        <f>L30</f>
        <v>65770.17</v>
      </c>
      <c r="S30" s="169">
        <v>0</v>
      </c>
      <c r="T30" s="169">
        <v>0</v>
      </c>
      <c r="U30" s="169">
        <v>0</v>
      </c>
      <c r="V30" s="169">
        <v>0</v>
      </c>
      <c r="W30" s="171">
        <v>0</v>
      </c>
      <c r="X30" s="171">
        <v>0</v>
      </c>
      <c r="Y30" s="249" t="b">
        <f>L30=SUM(P30:X30)</f>
        <v>1</v>
      </c>
      <c r="Z30" s="43">
        <f>ROUND(L30/K30,4)</f>
        <v>0.8</v>
      </c>
      <c r="AA30" s="251" t="b">
        <f>Z30=N30</f>
        <v>1</v>
      </c>
      <c r="AB30" s="251" t="b">
        <f>K30=L30+M30</f>
        <v>1</v>
      </c>
    </row>
    <row r="31" spans="1:28" s="138" customFormat="1" ht="30.75" customHeight="1">
      <c r="A31" s="285">
        <v>29</v>
      </c>
      <c r="B31" s="178" t="s">
        <v>190</v>
      </c>
      <c r="C31" s="159" t="s">
        <v>53</v>
      </c>
      <c r="D31" s="158" t="s">
        <v>72</v>
      </c>
      <c r="E31" s="178">
        <v>1605023</v>
      </c>
      <c r="F31" s="178" t="s">
        <v>208</v>
      </c>
      <c r="G31" s="178" t="s">
        <v>209</v>
      </c>
      <c r="H31" s="158" t="s">
        <v>103</v>
      </c>
      <c r="I31" s="288">
        <v>0.16</v>
      </c>
      <c r="J31" s="226" t="s">
        <v>350</v>
      </c>
      <c r="K31" s="291">
        <v>602115.55</v>
      </c>
      <c r="L31" s="206">
        <f>ROUND(K31*N31,2)</f>
        <v>361269.33</v>
      </c>
      <c r="M31" s="295">
        <f>K31-L31</f>
        <v>240846.22000000003</v>
      </c>
      <c r="N31" s="147">
        <v>0.6</v>
      </c>
      <c r="O31" s="169">
        <v>0</v>
      </c>
      <c r="P31" s="171">
        <v>0</v>
      </c>
      <c r="Q31" s="286">
        <v>0</v>
      </c>
      <c r="R31" s="169">
        <f t="shared" si="9"/>
        <v>361269.33</v>
      </c>
      <c r="S31" s="169">
        <v>0</v>
      </c>
      <c r="T31" s="169">
        <v>0</v>
      </c>
      <c r="U31" s="169">
        <v>0</v>
      </c>
      <c r="V31" s="169">
        <v>0</v>
      </c>
      <c r="W31" s="171">
        <v>0</v>
      </c>
      <c r="X31" s="171">
        <v>0</v>
      </c>
      <c r="Y31" s="249" t="b">
        <f t="shared" si="7"/>
        <v>1</v>
      </c>
      <c r="Z31" s="43">
        <f t="shared" si="8"/>
        <v>0.6</v>
      </c>
      <c r="AA31" s="251" t="b">
        <f t="shared" si="3"/>
        <v>1</v>
      </c>
      <c r="AB31" s="251" t="b">
        <f t="shared" si="10"/>
        <v>1</v>
      </c>
    </row>
    <row r="32" spans="1:28" s="138" customFormat="1" ht="39.75" customHeight="1">
      <c r="A32" s="285">
        <v>30</v>
      </c>
      <c r="B32" s="178" t="s">
        <v>192</v>
      </c>
      <c r="C32" s="159" t="s">
        <v>53</v>
      </c>
      <c r="D32" s="158" t="s">
        <v>89</v>
      </c>
      <c r="E32" s="178">
        <v>1607073</v>
      </c>
      <c r="F32" s="178" t="s">
        <v>46</v>
      </c>
      <c r="G32" s="178" t="s">
        <v>211</v>
      </c>
      <c r="H32" s="158" t="s">
        <v>47</v>
      </c>
      <c r="I32" s="288">
        <v>0.42</v>
      </c>
      <c r="J32" s="226" t="s">
        <v>136</v>
      </c>
      <c r="K32" s="291">
        <v>500686.52</v>
      </c>
      <c r="L32" s="206">
        <f>ROUND(K32*N32,2)</f>
        <v>400549.22</v>
      </c>
      <c r="M32" s="295">
        <f>K32-L32</f>
        <v>100137.30000000005</v>
      </c>
      <c r="N32" s="147">
        <v>0.8</v>
      </c>
      <c r="O32" s="169">
        <v>0</v>
      </c>
      <c r="P32" s="171">
        <v>0</v>
      </c>
      <c r="Q32" s="286">
        <v>0</v>
      </c>
      <c r="R32" s="169">
        <f>L32</f>
        <v>400549.22</v>
      </c>
      <c r="S32" s="169">
        <v>0</v>
      </c>
      <c r="T32" s="169">
        <v>0</v>
      </c>
      <c r="U32" s="169">
        <v>0</v>
      </c>
      <c r="V32" s="169">
        <v>0</v>
      </c>
      <c r="W32" s="171">
        <v>0</v>
      </c>
      <c r="X32" s="171">
        <v>0</v>
      </c>
      <c r="Y32" s="249" t="b">
        <f>L32=SUM(P32:X32)</f>
        <v>1</v>
      </c>
      <c r="Z32" s="43">
        <f>ROUND(L32/K32,4)</f>
        <v>0.8</v>
      </c>
      <c r="AA32" s="251" t="b">
        <f>Z32=N32</f>
        <v>1</v>
      </c>
      <c r="AB32" s="251" t="b">
        <f>K32=L32+M32</f>
        <v>1</v>
      </c>
    </row>
    <row r="33" spans="1:28" s="138" customFormat="1" ht="39.75" customHeight="1">
      <c r="A33" s="285">
        <v>31</v>
      </c>
      <c r="B33" s="178" t="s">
        <v>329</v>
      </c>
      <c r="C33" s="159" t="s">
        <v>53</v>
      </c>
      <c r="D33" s="158" t="s">
        <v>330</v>
      </c>
      <c r="E33" s="178">
        <v>1611033</v>
      </c>
      <c r="F33" s="178" t="s">
        <v>58</v>
      </c>
      <c r="G33" s="178" t="s">
        <v>331</v>
      </c>
      <c r="H33" s="178" t="s">
        <v>47</v>
      </c>
      <c r="I33" s="178">
        <v>0.863</v>
      </c>
      <c r="J33" s="226" t="s">
        <v>136</v>
      </c>
      <c r="K33" s="291">
        <v>1497605.95</v>
      </c>
      <c r="L33" s="206">
        <f>ROUND(K33*N33,2)</f>
        <v>898563.57</v>
      </c>
      <c r="M33" s="295">
        <f>K33-L33</f>
        <v>599042.38</v>
      </c>
      <c r="N33" s="147">
        <v>0.6</v>
      </c>
      <c r="O33" s="169">
        <v>0</v>
      </c>
      <c r="P33" s="171">
        <v>0</v>
      </c>
      <c r="Q33" s="286">
        <v>0</v>
      </c>
      <c r="R33" s="169">
        <f>L33</f>
        <v>898563.57</v>
      </c>
      <c r="S33" s="169">
        <v>0</v>
      </c>
      <c r="T33" s="169">
        <v>0</v>
      </c>
      <c r="U33" s="169">
        <v>0</v>
      </c>
      <c r="V33" s="169">
        <v>0</v>
      </c>
      <c r="W33" s="171">
        <v>0</v>
      </c>
      <c r="X33" s="171">
        <v>0</v>
      </c>
      <c r="Y33" s="249" t="b">
        <f>L33=SUM(P33:X33)</f>
        <v>1</v>
      </c>
      <c r="Z33" s="43">
        <f>ROUND(L33/K33,4)</f>
        <v>0.6</v>
      </c>
      <c r="AA33" s="251" t="b">
        <f>Z33=N33</f>
        <v>1</v>
      </c>
      <c r="AB33" s="251" t="b">
        <f>K33=L33+M33</f>
        <v>1</v>
      </c>
    </row>
    <row r="34" spans="1:28" s="138" customFormat="1" ht="42" customHeight="1">
      <c r="A34" s="285">
        <v>32</v>
      </c>
      <c r="B34" s="178" t="s">
        <v>191</v>
      </c>
      <c r="C34" s="159" t="s">
        <v>53</v>
      </c>
      <c r="D34" s="158" t="s">
        <v>83</v>
      </c>
      <c r="E34" s="178">
        <v>1604013</v>
      </c>
      <c r="F34" s="178" t="s">
        <v>79</v>
      </c>
      <c r="G34" s="178" t="s">
        <v>210</v>
      </c>
      <c r="H34" s="158" t="s">
        <v>104</v>
      </c>
      <c r="I34" s="178">
        <v>0.265</v>
      </c>
      <c r="J34" s="226" t="s">
        <v>221</v>
      </c>
      <c r="K34" s="291">
        <v>383442.44</v>
      </c>
      <c r="L34" s="206">
        <f>ROUND(K34*N34,2)</f>
        <v>230065.46</v>
      </c>
      <c r="M34" s="295">
        <f>K34-L34</f>
        <v>153376.98</v>
      </c>
      <c r="N34" s="147">
        <v>0.6</v>
      </c>
      <c r="O34" s="169">
        <v>0</v>
      </c>
      <c r="P34" s="171">
        <v>0</v>
      </c>
      <c r="Q34" s="286">
        <v>0</v>
      </c>
      <c r="R34" s="169">
        <f t="shared" si="9"/>
        <v>230065.46</v>
      </c>
      <c r="S34" s="169">
        <v>0</v>
      </c>
      <c r="T34" s="169">
        <v>0</v>
      </c>
      <c r="U34" s="169">
        <v>0</v>
      </c>
      <c r="V34" s="169">
        <v>0</v>
      </c>
      <c r="W34" s="171">
        <v>0</v>
      </c>
      <c r="X34" s="171">
        <v>0</v>
      </c>
      <c r="Y34" s="249" t="b">
        <f t="shared" si="7"/>
        <v>1</v>
      </c>
      <c r="Z34" s="43">
        <f t="shared" si="8"/>
        <v>0.6</v>
      </c>
      <c r="AA34" s="251" t="b">
        <f t="shared" si="3"/>
        <v>1</v>
      </c>
      <c r="AB34" s="251" t="b">
        <f t="shared" si="10"/>
        <v>1</v>
      </c>
    </row>
    <row r="35" spans="1:28" s="133" customFormat="1" ht="34.5" customHeight="1">
      <c r="A35" s="285">
        <v>33</v>
      </c>
      <c r="B35" s="178" t="s">
        <v>194</v>
      </c>
      <c r="C35" s="159"/>
      <c r="D35" s="158" t="s">
        <v>200</v>
      </c>
      <c r="E35" s="178">
        <v>1609112</v>
      </c>
      <c r="F35" s="178" t="s">
        <v>56</v>
      </c>
      <c r="G35" s="178" t="s">
        <v>213</v>
      </c>
      <c r="H35" s="158" t="s">
        <v>47</v>
      </c>
      <c r="I35" s="178">
        <v>0</v>
      </c>
      <c r="J35" s="290" t="s">
        <v>360</v>
      </c>
      <c r="K35" s="291"/>
      <c r="L35" s="206"/>
      <c r="M35" s="295"/>
      <c r="N35" s="147">
        <v>0.7</v>
      </c>
      <c r="O35" s="169">
        <v>0</v>
      </c>
      <c r="P35" s="171">
        <v>0</v>
      </c>
      <c r="Q35" s="286">
        <v>0</v>
      </c>
      <c r="R35" s="169">
        <f t="shared" si="9"/>
        <v>0</v>
      </c>
      <c r="S35" s="169">
        <v>0</v>
      </c>
      <c r="T35" s="169">
        <v>0</v>
      </c>
      <c r="U35" s="169">
        <v>0</v>
      </c>
      <c r="V35" s="169">
        <v>0</v>
      </c>
      <c r="W35" s="171">
        <v>0</v>
      </c>
      <c r="X35" s="171">
        <v>0</v>
      </c>
      <c r="Y35" s="302" t="b">
        <f t="shared" si="7"/>
        <v>1</v>
      </c>
      <c r="Z35" s="303" t="e">
        <f t="shared" si="8"/>
        <v>#DIV/0!</v>
      </c>
      <c r="AA35" s="304" t="e">
        <f t="shared" si="3"/>
        <v>#DIV/0!</v>
      </c>
      <c r="AB35" s="304" t="b">
        <f t="shared" si="10"/>
        <v>1</v>
      </c>
    </row>
    <row r="36" spans="1:28" s="41" customFormat="1" ht="45.75" customHeight="1">
      <c r="A36" s="285">
        <v>34</v>
      </c>
      <c r="B36" s="178" t="s">
        <v>224</v>
      </c>
      <c r="C36" s="159" t="s">
        <v>53</v>
      </c>
      <c r="D36" s="158" t="s">
        <v>92</v>
      </c>
      <c r="E36" s="178">
        <v>1608052</v>
      </c>
      <c r="F36" s="178" t="s">
        <v>57</v>
      </c>
      <c r="G36" s="178" t="s">
        <v>228</v>
      </c>
      <c r="H36" s="158" t="s">
        <v>47</v>
      </c>
      <c r="I36" s="288">
        <v>1.7</v>
      </c>
      <c r="J36" s="226" t="s">
        <v>221</v>
      </c>
      <c r="K36" s="291">
        <v>1665217.06</v>
      </c>
      <c r="L36" s="206">
        <f aca="true" t="shared" si="11" ref="L36:L44">ROUND(K36*N36,2)</f>
        <v>999130.24</v>
      </c>
      <c r="M36" s="295">
        <f>K36-L36</f>
        <v>666086.8200000001</v>
      </c>
      <c r="N36" s="147">
        <v>0.6</v>
      </c>
      <c r="O36" s="169">
        <v>0</v>
      </c>
      <c r="P36" s="171">
        <v>0</v>
      </c>
      <c r="Q36" s="286">
        <v>0</v>
      </c>
      <c r="R36" s="169">
        <f>L36</f>
        <v>999130.24</v>
      </c>
      <c r="S36" s="169">
        <v>0</v>
      </c>
      <c r="T36" s="169">
        <v>0</v>
      </c>
      <c r="U36" s="169">
        <v>0</v>
      </c>
      <c r="V36" s="169">
        <v>0</v>
      </c>
      <c r="W36" s="171">
        <v>0</v>
      </c>
      <c r="X36" s="171">
        <v>0</v>
      </c>
      <c r="Y36" s="249" t="b">
        <f>L36=SUM(P36:X36)</f>
        <v>1</v>
      </c>
      <c r="Z36" s="43">
        <f>ROUND(L36/K36,4)</f>
        <v>0.6</v>
      </c>
      <c r="AA36" s="251" t="b">
        <f>Z36=N36</f>
        <v>1</v>
      </c>
      <c r="AB36" s="251" t="b">
        <f>K36=L36+M36</f>
        <v>1</v>
      </c>
    </row>
    <row r="37" spans="1:28" s="41" customFormat="1" ht="34.5" customHeight="1">
      <c r="A37" s="285">
        <v>35</v>
      </c>
      <c r="B37" s="178" t="s">
        <v>197</v>
      </c>
      <c r="C37" s="159" t="s">
        <v>53</v>
      </c>
      <c r="D37" s="158" t="s">
        <v>75</v>
      </c>
      <c r="E37" s="178">
        <v>1603042</v>
      </c>
      <c r="F37" s="178" t="s">
        <v>61</v>
      </c>
      <c r="G37" s="178" t="s">
        <v>216</v>
      </c>
      <c r="H37" s="158" t="s">
        <v>103</v>
      </c>
      <c r="I37" s="178">
        <v>0.357</v>
      </c>
      <c r="J37" s="226" t="s">
        <v>218</v>
      </c>
      <c r="K37" s="291">
        <v>402695.38</v>
      </c>
      <c r="L37" s="206">
        <f t="shared" si="11"/>
        <v>241617.23</v>
      </c>
      <c r="M37" s="295">
        <f>K37-L37</f>
        <v>161078.15</v>
      </c>
      <c r="N37" s="147">
        <v>0.6</v>
      </c>
      <c r="O37" s="169">
        <v>0</v>
      </c>
      <c r="P37" s="171">
        <v>0</v>
      </c>
      <c r="Q37" s="286">
        <v>0</v>
      </c>
      <c r="R37" s="169">
        <f>L37</f>
        <v>241617.23</v>
      </c>
      <c r="S37" s="169">
        <v>0</v>
      </c>
      <c r="T37" s="169">
        <v>0</v>
      </c>
      <c r="U37" s="169">
        <v>0</v>
      </c>
      <c r="V37" s="169">
        <v>0</v>
      </c>
      <c r="W37" s="171">
        <v>0</v>
      </c>
      <c r="X37" s="171">
        <v>0</v>
      </c>
      <c r="Y37" s="249" t="b">
        <f>L37=SUM(P37:X37)</f>
        <v>1</v>
      </c>
      <c r="Z37" s="43">
        <f>ROUND(L37/K37,4)</f>
        <v>0.6</v>
      </c>
      <c r="AA37" s="251" t="b">
        <f>Z37=N37</f>
        <v>1</v>
      </c>
      <c r="AB37" s="251" t="b">
        <f>K37=L37+M37</f>
        <v>1</v>
      </c>
    </row>
    <row r="38" spans="1:28" s="133" customFormat="1" ht="34.5" customHeight="1">
      <c r="A38" s="285">
        <v>36</v>
      </c>
      <c r="B38" s="178" t="s">
        <v>195</v>
      </c>
      <c r="C38" s="159" t="s">
        <v>53</v>
      </c>
      <c r="D38" s="158" t="s">
        <v>52</v>
      </c>
      <c r="E38" s="178">
        <v>1601033</v>
      </c>
      <c r="F38" s="178" t="s">
        <v>49</v>
      </c>
      <c r="G38" s="178" t="s">
        <v>214</v>
      </c>
      <c r="H38" s="158" t="s">
        <v>47</v>
      </c>
      <c r="I38" s="178">
        <v>0.343</v>
      </c>
      <c r="J38" s="226" t="s">
        <v>223</v>
      </c>
      <c r="K38" s="291">
        <v>2470251.97</v>
      </c>
      <c r="L38" s="206">
        <f t="shared" si="11"/>
        <v>1482151.18</v>
      </c>
      <c r="M38" s="295">
        <f>K38-L38</f>
        <v>988100.7900000003</v>
      </c>
      <c r="N38" s="147">
        <v>0.6</v>
      </c>
      <c r="O38" s="169">
        <v>0</v>
      </c>
      <c r="P38" s="171">
        <v>0</v>
      </c>
      <c r="Q38" s="286">
        <v>0</v>
      </c>
      <c r="R38" s="169">
        <f t="shared" si="9"/>
        <v>1482151.18</v>
      </c>
      <c r="S38" s="169">
        <v>0</v>
      </c>
      <c r="T38" s="169">
        <v>0</v>
      </c>
      <c r="U38" s="169">
        <v>0</v>
      </c>
      <c r="V38" s="169">
        <v>0</v>
      </c>
      <c r="W38" s="171">
        <v>0</v>
      </c>
      <c r="X38" s="171">
        <v>0</v>
      </c>
      <c r="Y38" s="249" t="b">
        <f t="shared" si="7"/>
        <v>1</v>
      </c>
      <c r="Z38" s="43">
        <f t="shared" si="8"/>
        <v>0.6</v>
      </c>
      <c r="AA38" s="251" t="b">
        <f t="shared" si="3"/>
        <v>1</v>
      </c>
      <c r="AB38" s="251" t="b">
        <f t="shared" si="10"/>
        <v>1</v>
      </c>
    </row>
    <row r="39" spans="1:28" s="41" customFormat="1" ht="46.5" customHeight="1">
      <c r="A39" s="285">
        <v>37</v>
      </c>
      <c r="B39" s="178" t="s">
        <v>196</v>
      </c>
      <c r="C39" s="159" t="s">
        <v>53</v>
      </c>
      <c r="D39" s="158" t="s">
        <v>75</v>
      </c>
      <c r="E39" s="178">
        <v>1603042</v>
      </c>
      <c r="F39" s="178" t="s">
        <v>61</v>
      </c>
      <c r="G39" s="178" t="s">
        <v>215</v>
      </c>
      <c r="H39" s="158" t="s">
        <v>47</v>
      </c>
      <c r="I39" s="178">
        <v>0.204</v>
      </c>
      <c r="J39" s="226" t="s">
        <v>218</v>
      </c>
      <c r="K39" s="291">
        <v>204830.46</v>
      </c>
      <c r="L39" s="206">
        <f t="shared" si="11"/>
        <v>122898.28</v>
      </c>
      <c r="M39" s="295">
        <f aca="true" t="shared" si="12" ref="M39:M45">K39-L39</f>
        <v>81932.18</v>
      </c>
      <c r="N39" s="147">
        <v>0.6</v>
      </c>
      <c r="O39" s="169">
        <v>0</v>
      </c>
      <c r="P39" s="171">
        <v>0</v>
      </c>
      <c r="Q39" s="286">
        <v>0</v>
      </c>
      <c r="R39" s="169">
        <f t="shared" si="9"/>
        <v>122898.28</v>
      </c>
      <c r="S39" s="169">
        <v>0</v>
      </c>
      <c r="T39" s="169">
        <v>0</v>
      </c>
      <c r="U39" s="169">
        <v>0</v>
      </c>
      <c r="V39" s="169">
        <v>0</v>
      </c>
      <c r="W39" s="171">
        <v>0</v>
      </c>
      <c r="X39" s="171">
        <v>0</v>
      </c>
      <c r="Y39" s="249" t="b">
        <f t="shared" si="7"/>
        <v>1</v>
      </c>
      <c r="Z39" s="43">
        <f t="shared" si="8"/>
        <v>0.6</v>
      </c>
      <c r="AA39" s="251" t="b">
        <f t="shared" si="3"/>
        <v>1</v>
      </c>
      <c r="AB39" s="251" t="b">
        <f t="shared" si="10"/>
        <v>1</v>
      </c>
    </row>
    <row r="40" spans="1:28" s="41" customFormat="1" ht="39.75" customHeight="1">
      <c r="A40" s="285">
        <v>38</v>
      </c>
      <c r="B40" s="178" t="s">
        <v>225</v>
      </c>
      <c r="C40" s="159" t="s">
        <v>53</v>
      </c>
      <c r="D40" s="158" t="s">
        <v>63</v>
      </c>
      <c r="E40" s="178">
        <v>1609092</v>
      </c>
      <c r="F40" s="178" t="s">
        <v>56</v>
      </c>
      <c r="G40" s="178" t="s">
        <v>229</v>
      </c>
      <c r="H40" s="158" t="s">
        <v>104</v>
      </c>
      <c r="I40" s="178">
        <v>0.733</v>
      </c>
      <c r="J40" s="226" t="s">
        <v>221</v>
      </c>
      <c r="K40" s="291">
        <v>1546785.31</v>
      </c>
      <c r="L40" s="206">
        <f t="shared" si="11"/>
        <v>928071.19</v>
      </c>
      <c r="M40" s="295">
        <f t="shared" si="12"/>
        <v>618714.1200000001</v>
      </c>
      <c r="N40" s="147">
        <v>0.6</v>
      </c>
      <c r="O40" s="169">
        <v>0</v>
      </c>
      <c r="P40" s="171">
        <v>0</v>
      </c>
      <c r="Q40" s="286">
        <v>0</v>
      </c>
      <c r="R40" s="169">
        <f t="shared" si="9"/>
        <v>928071.19</v>
      </c>
      <c r="S40" s="169">
        <v>0</v>
      </c>
      <c r="T40" s="169">
        <v>0</v>
      </c>
      <c r="U40" s="169">
        <v>0</v>
      </c>
      <c r="V40" s="169">
        <v>0</v>
      </c>
      <c r="W40" s="171">
        <v>0</v>
      </c>
      <c r="X40" s="171">
        <v>0</v>
      </c>
      <c r="Y40" s="249" t="b">
        <f t="shared" si="7"/>
        <v>1</v>
      </c>
      <c r="Z40" s="43">
        <f t="shared" si="8"/>
        <v>0.6</v>
      </c>
      <c r="AA40" s="251" t="b">
        <f t="shared" si="3"/>
        <v>1</v>
      </c>
      <c r="AB40" s="251" t="b">
        <f t="shared" si="10"/>
        <v>1</v>
      </c>
    </row>
    <row r="41" spans="1:28" s="41" customFormat="1" ht="36" customHeight="1">
      <c r="A41" s="207">
        <v>39</v>
      </c>
      <c r="B41" s="178" t="s">
        <v>226</v>
      </c>
      <c r="C41" s="159" t="s">
        <v>53</v>
      </c>
      <c r="D41" s="158" t="s">
        <v>71</v>
      </c>
      <c r="E41" s="232">
        <v>1608043</v>
      </c>
      <c r="F41" s="178" t="s">
        <v>57</v>
      </c>
      <c r="G41" s="178" t="s">
        <v>232</v>
      </c>
      <c r="H41" s="158" t="s">
        <v>47</v>
      </c>
      <c r="I41" s="178">
        <v>0.437</v>
      </c>
      <c r="J41" s="226" t="s">
        <v>223</v>
      </c>
      <c r="K41" s="291">
        <v>932317.75</v>
      </c>
      <c r="L41" s="206">
        <f t="shared" si="11"/>
        <v>559390.65</v>
      </c>
      <c r="M41" s="295">
        <f t="shared" si="12"/>
        <v>372927.1</v>
      </c>
      <c r="N41" s="147">
        <v>0.6</v>
      </c>
      <c r="O41" s="169">
        <v>0</v>
      </c>
      <c r="P41" s="171">
        <v>0</v>
      </c>
      <c r="Q41" s="286">
        <v>0</v>
      </c>
      <c r="R41" s="169">
        <f>L41</f>
        <v>559390.65</v>
      </c>
      <c r="S41" s="169">
        <v>0</v>
      </c>
      <c r="T41" s="169">
        <v>0</v>
      </c>
      <c r="U41" s="169">
        <v>0</v>
      </c>
      <c r="V41" s="169">
        <v>0</v>
      </c>
      <c r="W41" s="171">
        <v>0</v>
      </c>
      <c r="X41" s="171">
        <v>0</v>
      </c>
      <c r="Y41" s="249" t="b">
        <f>L41=SUM(P41:X41)</f>
        <v>1</v>
      </c>
      <c r="Z41" s="43">
        <f aca="true" t="shared" si="13" ref="Z41:Z49">ROUND(L41/K41,4)</f>
        <v>0.6</v>
      </c>
      <c r="AA41" s="251" t="b">
        <f>Z41=N41</f>
        <v>1</v>
      </c>
      <c r="AB41" s="251" t="b">
        <f aca="true" t="shared" si="14" ref="AB41:AB49">K41=L41+M41</f>
        <v>1</v>
      </c>
    </row>
    <row r="42" spans="1:28" s="41" customFormat="1" ht="36" customHeight="1">
      <c r="A42" s="156">
        <v>40</v>
      </c>
      <c r="B42" s="158" t="s">
        <v>355</v>
      </c>
      <c r="C42" s="159" t="s">
        <v>53</v>
      </c>
      <c r="D42" s="158" t="s">
        <v>82</v>
      </c>
      <c r="E42" s="178">
        <v>1602033</v>
      </c>
      <c r="F42" s="178" t="s">
        <v>78</v>
      </c>
      <c r="G42" s="178" t="s">
        <v>231</v>
      </c>
      <c r="H42" s="158" t="s">
        <v>47</v>
      </c>
      <c r="I42" s="178">
        <v>0.308</v>
      </c>
      <c r="J42" s="226" t="s">
        <v>130</v>
      </c>
      <c r="K42" s="291">
        <v>1492119.06</v>
      </c>
      <c r="L42" s="206">
        <f t="shared" si="11"/>
        <v>895271.44</v>
      </c>
      <c r="M42" s="299">
        <f t="shared" si="12"/>
        <v>596847.6200000001</v>
      </c>
      <c r="N42" s="147">
        <v>0.6</v>
      </c>
      <c r="O42" s="169">
        <v>0</v>
      </c>
      <c r="P42" s="169">
        <v>0</v>
      </c>
      <c r="Q42" s="213">
        <v>0</v>
      </c>
      <c r="R42" s="169">
        <f>L42</f>
        <v>895271.44</v>
      </c>
      <c r="S42" s="169">
        <v>0</v>
      </c>
      <c r="T42" s="169">
        <v>0</v>
      </c>
      <c r="U42" s="169">
        <v>0</v>
      </c>
      <c r="V42" s="169">
        <v>0</v>
      </c>
      <c r="W42" s="171">
        <v>0</v>
      </c>
      <c r="X42" s="171">
        <v>0</v>
      </c>
      <c r="Y42" s="249" t="b">
        <f>L42=SUM(P42:X42)</f>
        <v>1</v>
      </c>
      <c r="Z42" s="43">
        <f t="shared" si="13"/>
        <v>0.6</v>
      </c>
      <c r="AA42" s="251" t="b">
        <f>Z42=N42</f>
        <v>1</v>
      </c>
      <c r="AB42" s="251" t="b">
        <f t="shared" si="14"/>
        <v>1</v>
      </c>
    </row>
    <row r="43" spans="1:28" s="41" customFormat="1" ht="49.5" customHeight="1">
      <c r="A43" s="156">
        <v>41</v>
      </c>
      <c r="B43" s="178" t="s">
        <v>356</v>
      </c>
      <c r="C43" s="159" t="s">
        <v>53</v>
      </c>
      <c r="D43" s="158" t="s">
        <v>55</v>
      </c>
      <c r="E43" s="232">
        <v>1609052</v>
      </c>
      <c r="F43" s="178" t="s">
        <v>56</v>
      </c>
      <c r="G43" s="178" t="s">
        <v>233</v>
      </c>
      <c r="H43" s="158" t="s">
        <v>103</v>
      </c>
      <c r="I43" s="178">
        <v>0.462</v>
      </c>
      <c r="J43" s="226" t="s">
        <v>181</v>
      </c>
      <c r="K43" s="291">
        <v>626790.77</v>
      </c>
      <c r="L43" s="171">
        <f t="shared" si="11"/>
        <v>438753.54</v>
      </c>
      <c r="M43" s="299">
        <f t="shared" si="12"/>
        <v>188037.23000000004</v>
      </c>
      <c r="N43" s="147">
        <v>0.7</v>
      </c>
      <c r="O43" s="169">
        <v>0</v>
      </c>
      <c r="P43" s="169">
        <v>0</v>
      </c>
      <c r="Q43" s="213">
        <v>0</v>
      </c>
      <c r="R43" s="169">
        <f>L43</f>
        <v>438753.54</v>
      </c>
      <c r="S43" s="169">
        <v>0</v>
      </c>
      <c r="T43" s="169">
        <v>0</v>
      </c>
      <c r="U43" s="169">
        <v>0</v>
      </c>
      <c r="V43" s="169">
        <v>0</v>
      </c>
      <c r="W43" s="171">
        <v>0</v>
      </c>
      <c r="X43" s="171">
        <v>0</v>
      </c>
      <c r="Y43" s="249" t="b">
        <f>L43=SUM(P43:X43)</f>
        <v>1</v>
      </c>
      <c r="Z43" s="43">
        <f t="shared" si="13"/>
        <v>0.7</v>
      </c>
      <c r="AA43" s="251" t="b">
        <f>Z43=N43</f>
        <v>1</v>
      </c>
      <c r="AB43" s="251" t="b">
        <f t="shared" si="14"/>
        <v>1</v>
      </c>
    </row>
    <row r="44" spans="1:28" s="41" customFormat="1" ht="36" customHeight="1">
      <c r="A44" s="156">
        <v>42</v>
      </c>
      <c r="B44" s="178" t="s">
        <v>357</v>
      </c>
      <c r="C44" s="159" t="s">
        <v>53</v>
      </c>
      <c r="D44" s="158" t="s">
        <v>89</v>
      </c>
      <c r="E44" s="178">
        <v>1607073</v>
      </c>
      <c r="F44" s="178" t="s">
        <v>46</v>
      </c>
      <c r="G44" s="178" t="s">
        <v>332</v>
      </c>
      <c r="H44" s="178" t="s">
        <v>47</v>
      </c>
      <c r="I44" s="178">
        <v>0.703</v>
      </c>
      <c r="J44" s="226" t="s">
        <v>136</v>
      </c>
      <c r="K44" s="291">
        <v>330007.5</v>
      </c>
      <c r="L44" s="171">
        <f t="shared" si="11"/>
        <v>264006</v>
      </c>
      <c r="M44" s="299">
        <f t="shared" si="12"/>
        <v>66001.5</v>
      </c>
      <c r="N44" s="147">
        <v>0.8</v>
      </c>
      <c r="O44" s="169">
        <v>0</v>
      </c>
      <c r="P44" s="169">
        <v>0</v>
      </c>
      <c r="Q44" s="213">
        <v>0</v>
      </c>
      <c r="R44" s="169">
        <f>L44</f>
        <v>264006</v>
      </c>
      <c r="S44" s="169">
        <v>0</v>
      </c>
      <c r="T44" s="169">
        <v>0</v>
      </c>
      <c r="U44" s="169">
        <v>0</v>
      </c>
      <c r="V44" s="169">
        <v>0</v>
      </c>
      <c r="W44" s="171">
        <v>0</v>
      </c>
      <c r="X44" s="171">
        <v>0</v>
      </c>
      <c r="Y44" s="249" t="b">
        <f>L44=SUM(P44:X44)</f>
        <v>1</v>
      </c>
      <c r="Z44" s="43">
        <f t="shared" si="13"/>
        <v>0.8</v>
      </c>
      <c r="AA44" s="251" t="b">
        <f>Z44=N44</f>
        <v>1</v>
      </c>
      <c r="AB44" s="251" t="b">
        <f t="shared" si="14"/>
        <v>1</v>
      </c>
    </row>
    <row r="45" spans="1:28" s="41" customFormat="1" ht="36" customHeight="1">
      <c r="A45" s="300" t="s">
        <v>359</v>
      </c>
      <c r="B45" s="178" t="s">
        <v>358</v>
      </c>
      <c r="C45" s="159" t="s">
        <v>53</v>
      </c>
      <c r="D45" s="158" t="s">
        <v>90</v>
      </c>
      <c r="E45" s="178">
        <v>1610013</v>
      </c>
      <c r="F45" s="178" t="s">
        <v>50</v>
      </c>
      <c r="G45" s="178" t="s">
        <v>230</v>
      </c>
      <c r="H45" s="158" t="s">
        <v>47</v>
      </c>
      <c r="I45" s="178">
        <v>0.997</v>
      </c>
      <c r="J45" s="226" t="s">
        <v>134</v>
      </c>
      <c r="K45" s="291">
        <v>3242879.83</v>
      </c>
      <c r="L45" s="171">
        <v>75918.11</v>
      </c>
      <c r="M45" s="299">
        <f t="shared" si="12"/>
        <v>3166961.72</v>
      </c>
      <c r="N45" s="147">
        <v>0.6</v>
      </c>
      <c r="O45" s="169">
        <v>0</v>
      </c>
      <c r="P45" s="169">
        <v>0</v>
      </c>
      <c r="Q45" s="213">
        <v>0</v>
      </c>
      <c r="R45" s="169">
        <f>L45</f>
        <v>75918.11</v>
      </c>
      <c r="S45" s="169">
        <v>0</v>
      </c>
      <c r="T45" s="169">
        <v>0</v>
      </c>
      <c r="U45" s="169">
        <v>0</v>
      </c>
      <c r="V45" s="169">
        <v>0</v>
      </c>
      <c r="W45" s="171">
        <v>0</v>
      </c>
      <c r="X45" s="171">
        <v>0</v>
      </c>
      <c r="Y45" s="249" t="b">
        <f>L45=SUM(P45:X45)</f>
        <v>1</v>
      </c>
      <c r="Z45" s="43">
        <f t="shared" si="13"/>
        <v>0.0234</v>
      </c>
      <c r="AA45" s="251" t="b">
        <f>Z45=N45</f>
        <v>0</v>
      </c>
      <c r="AB45" s="251" t="b">
        <f t="shared" si="14"/>
        <v>1</v>
      </c>
    </row>
    <row r="46" spans="1:28" ht="19.5" customHeight="1">
      <c r="A46" s="329" t="s">
        <v>45</v>
      </c>
      <c r="B46" s="330"/>
      <c r="C46" s="330"/>
      <c r="D46" s="330"/>
      <c r="E46" s="330"/>
      <c r="F46" s="330"/>
      <c r="G46" s="330"/>
      <c r="H46" s="153"/>
      <c r="I46" s="174">
        <f>SUM(I3:I45)</f>
        <v>27.226999999999993</v>
      </c>
      <c r="J46" s="163" t="s">
        <v>13</v>
      </c>
      <c r="K46" s="261">
        <f>SUM(K3:K45)</f>
        <v>86373233.48999996</v>
      </c>
      <c r="L46" s="164">
        <f>SUM(L3:L45)</f>
        <v>53215183.15</v>
      </c>
      <c r="M46" s="297">
        <f>SUM(M3:M45)</f>
        <v>33158050.339999996</v>
      </c>
      <c r="N46" s="166" t="s">
        <v>13</v>
      </c>
      <c r="O46" s="165">
        <f aca="true" t="shared" si="15" ref="O46:X46">SUM(O3:O45)</f>
        <v>0</v>
      </c>
      <c r="P46" s="165">
        <f t="shared" si="15"/>
        <v>0</v>
      </c>
      <c r="Q46" s="165">
        <f t="shared" si="15"/>
        <v>9469487.23</v>
      </c>
      <c r="R46" s="165">
        <f t="shared" si="15"/>
        <v>40036048.589999996</v>
      </c>
      <c r="S46" s="165">
        <f t="shared" si="15"/>
        <v>3709647.33</v>
      </c>
      <c r="T46" s="165">
        <f t="shared" si="15"/>
        <v>0</v>
      </c>
      <c r="U46" s="165">
        <f t="shared" si="15"/>
        <v>0</v>
      </c>
      <c r="V46" s="165">
        <f t="shared" si="15"/>
        <v>0</v>
      </c>
      <c r="W46" s="165">
        <f t="shared" si="15"/>
        <v>0</v>
      </c>
      <c r="X46" s="165">
        <f t="shared" si="15"/>
        <v>0</v>
      </c>
      <c r="Y46" s="249" t="b">
        <f>L46=SUM(O46:X46)</f>
        <v>1</v>
      </c>
      <c r="Z46" s="43">
        <f t="shared" si="13"/>
        <v>0.6161</v>
      </c>
      <c r="AA46" s="251" t="s">
        <v>13</v>
      </c>
      <c r="AB46" s="251" t="b">
        <f t="shared" si="14"/>
        <v>1</v>
      </c>
    </row>
    <row r="47" spans="1:28" s="228" customFormat="1" ht="19.5" customHeight="1">
      <c r="A47" s="339" t="s">
        <v>38</v>
      </c>
      <c r="B47" s="340"/>
      <c r="C47" s="340"/>
      <c r="D47" s="340"/>
      <c r="E47" s="340"/>
      <c r="F47" s="340"/>
      <c r="G47" s="340"/>
      <c r="H47" s="187"/>
      <c r="I47" s="179">
        <f>SUMIF($C$3:$C$45,"K",I3:I45)</f>
        <v>5.048</v>
      </c>
      <c r="J47" s="221" t="s">
        <v>13</v>
      </c>
      <c r="K47" s="262">
        <f>SUMIF($C$3:$C$45,"K",K3:K45)</f>
        <v>22443622.810000002</v>
      </c>
      <c r="L47" s="180">
        <f>SUMIF($C$3:$C$45,"K",L3:L45)</f>
        <v>14980859.32</v>
      </c>
      <c r="M47" s="298">
        <f>SUMIF($C$3:$C$45,"K",M3:M45)</f>
        <v>7462763.49</v>
      </c>
      <c r="N47" s="181" t="s">
        <v>13</v>
      </c>
      <c r="O47" s="182">
        <f aca="true" t="shared" si="16" ref="O47:X47">SUMIF($C$3:$C$45,"K",O3:O45)</f>
        <v>0</v>
      </c>
      <c r="P47" s="182">
        <f t="shared" si="16"/>
        <v>0</v>
      </c>
      <c r="Q47" s="182">
        <f t="shared" si="16"/>
        <v>9469487.23</v>
      </c>
      <c r="R47" s="182">
        <f t="shared" si="16"/>
        <v>5511372.09</v>
      </c>
      <c r="S47" s="182">
        <f t="shared" si="16"/>
        <v>0</v>
      </c>
      <c r="T47" s="182">
        <f t="shared" si="16"/>
        <v>0</v>
      </c>
      <c r="U47" s="182">
        <f t="shared" si="16"/>
        <v>0</v>
      </c>
      <c r="V47" s="182">
        <f t="shared" si="16"/>
        <v>0</v>
      </c>
      <c r="W47" s="182">
        <f t="shared" si="16"/>
        <v>0</v>
      </c>
      <c r="X47" s="182">
        <f t="shared" si="16"/>
        <v>0</v>
      </c>
      <c r="Y47" s="249" t="b">
        <f>L47=SUM(O47:X47)</f>
        <v>1</v>
      </c>
      <c r="Z47" s="43">
        <f t="shared" si="13"/>
        <v>0.6675</v>
      </c>
      <c r="AA47" s="251" t="s">
        <v>13</v>
      </c>
      <c r="AB47" s="251" t="b">
        <f t="shared" si="14"/>
        <v>1</v>
      </c>
    </row>
    <row r="48" spans="1:28" ht="19.5" customHeight="1">
      <c r="A48" s="329" t="s">
        <v>39</v>
      </c>
      <c r="B48" s="330"/>
      <c r="C48" s="330"/>
      <c r="D48" s="330"/>
      <c r="E48" s="330"/>
      <c r="F48" s="330"/>
      <c r="G48" s="330"/>
      <c r="H48" s="153"/>
      <c r="I48" s="174">
        <f>SUMIF($C$3:$C$45,"N",I3:I45)</f>
        <v>19.17</v>
      </c>
      <c r="J48" s="163" t="s">
        <v>13</v>
      </c>
      <c r="K48" s="261">
        <f>SUMIF($C$3:$C$45,"N",K3:K45)</f>
        <v>46133656.88000001</v>
      </c>
      <c r="L48" s="164">
        <f>SUMIF($C$3:$C$45,"N",L3:L45)</f>
        <v>26619059.86</v>
      </c>
      <c r="M48" s="297">
        <f>SUMIF($C$3:$C$45,"N",M3:M45)</f>
        <v>19514597.02</v>
      </c>
      <c r="N48" s="166" t="s">
        <v>13</v>
      </c>
      <c r="O48" s="165">
        <f aca="true" t="shared" si="17" ref="O48:X48">SUMIF($C$3:$C$45,"N",O3:O45)</f>
        <v>0</v>
      </c>
      <c r="P48" s="165">
        <f t="shared" si="17"/>
        <v>0</v>
      </c>
      <c r="Q48" s="165">
        <f t="shared" si="17"/>
        <v>0</v>
      </c>
      <c r="R48" s="165">
        <f t="shared" si="17"/>
        <v>26619059.86</v>
      </c>
      <c r="S48" s="165">
        <f t="shared" si="17"/>
        <v>0</v>
      </c>
      <c r="T48" s="165">
        <f t="shared" si="17"/>
        <v>0</v>
      </c>
      <c r="U48" s="165">
        <f t="shared" si="17"/>
        <v>0</v>
      </c>
      <c r="V48" s="165">
        <f t="shared" si="17"/>
        <v>0</v>
      </c>
      <c r="W48" s="165">
        <f t="shared" si="17"/>
        <v>0</v>
      </c>
      <c r="X48" s="165">
        <f t="shared" si="17"/>
        <v>0</v>
      </c>
      <c r="Y48" s="249" t="b">
        <f>L48=SUM(O48:X48)</f>
        <v>1</v>
      </c>
      <c r="Z48" s="43">
        <f t="shared" si="13"/>
        <v>0.577</v>
      </c>
      <c r="AA48" s="251" t="s">
        <v>13</v>
      </c>
      <c r="AB48" s="251" t="b">
        <f t="shared" si="14"/>
        <v>1</v>
      </c>
    </row>
    <row r="49" spans="1:28" ht="19.5" customHeight="1">
      <c r="A49" s="339" t="s">
        <v>40</v>
      </c>
      <c r="B49" s="340"/>
      <c r="C49" s="340"/>
      <c r="D49" s="340"/>
      <c r="E49" s="340"/>
      <c r="F49" s="340"/>
      <c r="G49" s="340"/>
      <c r="H49" s="187"/>
      <c r="I49" s="179">
        <f>SUMIF($C$3:$C$45,"W",I3:I45)</f>
        <v>3.009</v>
      </c>
      <c r="J49" s="211" t="s">
        <v>13</v>
      </c>
      <c r="K49" s="262">
        <f>SUMIF($C$3:$C$45,"W",K3:K45)</f>
        <v>17795953.8</v>
      </c>
      <c r="L49" s="180">
        <f>SUMIF($C$3:$C$45,"W",L3:L45)</f>
        <v>11615263.97</v>
      </c>
      <c r="M49" s="298">
        <f>SUMIF($C$3:$C$45,"W",M3:M45)</f>
        <v>6180689.829999999</v>
      </c>
      <c r="N49" s="181" t="s">
        <v>13</v>
      </c>
      <c r="O49" s="182">
        <f aca="true" t="shared" si="18" ref="O49:X49">SUMIF($C$3:$C$45,"W",O3:O45)</f>
        <v>0</v>
      </c>
      <c r="P49" s="182">
        <f t="shared" si="18"/>
        <v>0</v>
      </c>
      <c r="Q49" s="182">
        <f t="shared" si="18"/>
        <v>0</v>
      </c>
      <c r="R49" s="182">
        <f t="shared" si="18"/>
        <v>7905616.64</v>
      </c>
      <c r="S49" s="182">
        <f t="shared" si="18"/>
        <v>3709647.33</v>
      </c>
      <c r="T49" s="182">
        <f t="shared" si="18"/>
        <v>0</v>
      </c>
      <c r="U49" s="182">
        <f t="shared" si="18"/>
        <v>0</v>
      </c>
      <c r="V49" s="182">
        <f t="shared" si="18"/>
        <v>0</v>
      </c>
      <c r="W49" s="182">
        <f t="shared" si="18"/>
        <v>0</v>
      </c>
      <c r="X49" s="182">
        <f t="shared" si="18"/>
        <v>0</v>
      </c>
      <c r="Y49" s="249" t="b">
        <f>L49=SUM(O49:X49)</f>
        <v>1</v>
      </c>
      <c r="Z49" s="43">
        <f t="shared" si="13"/>
        <v>0.6527</v>
      </c>
      <c r="AA49" s="251" t="s">
        <v>13</v>
      </c>
      <c r="AB49" s="251" t="b">
        <f t="shared" si="14"/>
        <v>1</v>
      </c>
    </row>
    <row r="50" spans="1:18" ht="15.75" customHeight="1">
      <c r="A50" s="31" t="s">
        <v>24</v>
      </c>
      <c r="M50" s="136"/>
      <c r="Q50" s="136"/>
      <c r="R50" s="136"/>
    </row>
    <row r="51" spans="1:18" ht="15.75" customHeight="1">
      <c r="A51" s="32" t="s">
        <v>25</v>
      </c>
      <c r="M51" s="136"/>
      <c r="Q51" s="136"/>
      <c r="R51" s="136"/>
    </row>
    <row r="52" spans="1:18" ht="30" customHeight="1">
      <c r="A52" s="31" t="s">
        <v>43</v>
      </c>
      <c r="M52" s="136"/>
      <c r="Q52" s="136"/>
      <c r="R52" s="136"/>
    </row>
    <row r="53" spans="1:18" ht="15">
      <c r="A53" s="34" t="s">
        <v>27</v>
      </c>
      <c r="R53" s="136"/>
    </row>
    <row r="56" ht="15">
      <c r="Q56" s="136"/>
    </row>
  </sheetData>
  <sheetProtection/>
  <autoFilter ref="A2:AC53"/>
  <mergeCells count="17">
    <mergeCell ref="H1:H2"/>
    <mergeCell ref="A49:G49"/>
    <mergeCell ref="A48:G48"/>
    <mergeCell ref="A47:G47"/>
    <mergeCell ref="A46:G46"/>
    <mergeCell ref="A1:A2"/>
    <mergeCell ref="B1:B2"/>
    <mergeCell ref="C1:C2"/>
    <mergeCell ref="G1:G2"/>
    <mergeCell ref="D1:D2"/>
    <mergeCell ref="O1:X1"/>
    <mergeCell ref="N1:N2"/>
    <mergeCell ref="L1:L2"/>
    <mergeCell ref="M1:M2"/>
    <mergeCell ref="I1:I2"/>
    <mergeCell ref="K1:K2"/>
    <mergeCell ref="J1:J2"/>
  </mergeCells>
  <conditionalFormatting sqref="Y12:AA12 Y11:AB11 AB10:AB12 Z10:AA11 Y3:AB9 Y13:AB47">
    <cfRule type="cellIs" priority="30" dxfId="71" operator="equal">
      <formula>FALSE</formula>
    </cfRule>
  </conditionalFormatting>
  <conditionalFormatting sqref="Z10:AA11 Y3:AA9 Y11:AA47">
    <cfRule type="containsText" priority="28" dxfId="71" operator="containsText" text="fałsz">
      <formula>NOT(ISERROR(SEARCH("fałsz",Y3)))</formula>
    </cfRule>
  </conditionalFormatting>
  <conditionalFormatting sqref="Z49:AA49">
    <cfRule type="cellIs" priority="25" dxfId="71" operator="equal">
      <formula>FALSE</formula>
    </cfRule>
  </conditionalFormatting>
  <conditionalFormatting sqref="Y49:AA49">
    <cfRule type="containsText" priority="23" dxfId="71" operator="containsText" text="fałsz">
      <formula>NOT(ISERROR(SEARCH("fałsz",Y49)))</formula>
    </cfRule>
  </conditionalFormatting>
  <conditionalFormatting sqref="Y49">
    <cfRule type="cellIs" priority="24" dxfId="71" operator="equal">
      <formula>FALSE</formula>
    </cfRule>
  </conditionalFormatting>
  <conditionalFormatting sqref="AB49">
    <cfRule type="cellIs" priority="22" dxfId="71" operator="equal">
      <formula>FALSE</formula>
    </cfRule>
  </conditionalFormatting>
  <conditionalFormatting sqref="AB49">
    <cfRule type="cellIs" priority="21" dxfId="71" operator="equal">
      <formula>FALSE</formula>
    </cfRule>
  </conditionalFormatting>
  <conditionalFormatting sqref="Z48:AA48">
    <cfRule type="cellIs" priority="20" dxfId="71" operator="equal">
      <formula>FALSE</formula>
    </cfRule>
  </conditionalFormatting>
  <conditionalFormatting sqref="Y48">
    <cfRule type="cellIs" priority="19" dxfId="71" operator="equal">
      <formula>FALSE</formula>
    </cfRule>
  </conditionalFormatting>
  <conditionalFormatting sqref="Y48:AA48">
    <cfRule type="containsText" priority="18" dxfId="71" operator="containsText" text="fałsz">
      <formula>NOT(ISERROR(SEARCH("fałsz",Y48)))</formula>
    </cfRule>
  </conditionalFormatting>
  <conditionalFormatting sqref="AB48">
    <cfRule type="cellIs" priority="17" dxfId="71" operator="equal">
      <formula>FALSE</formula>
    </cfRule>
  </conditionalFormatting>
  <conditionalFormatting sqref="AB48">
    <cfRule type="cellIs" priority="16" dxfId="71" operator="equal">
      <formula>FALSE</formula>
    </cfRule>
  </conditionalFormatting>
  <conditionalFormatting sqref="Y10:Y11">
    <cfRule type="cellIs" priority="7" dxfId="71" operator="equal">
      <formula>FALSE</formula>
    </cfRule>
  </conditionalFormatting>
  <conditionalFormatting sqref="Y10:Y11">
    <cfRule type="containsText" priority="6" dxfId="71" operator="containsText" text="fałsz">
      <formula>NOT(ISERROR(SEARCH("fałsz",Y10)))</formula>
    </cfRule>
  </conditionalFormatting>
  <dataValidations count="3">
    <dataValidation type="list" allowBlank="1" showInputMessage="1" showErrorMessage="1" sqref="C3:C45">
      <formula1>"N,K,W"</formula1>
    </dataValidation>
    <dataValidation type="list" allowBlank="1" showInputMessage="1" showErrorMessage="1" sqref="H3:H45">
      <formula1>"B,P,R"</formula1>
    </dataValidation>
    <dataValidation type="list" allowBlank="1" showInputMessage="1" showErrorMessage="1" sqref="D42 D45">
      <formula1>"N,W"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6" r:id="rId1"/>
  <headerFooter>
    <oddHeader>&amp;LWojewództwo o&amp;K000000polskie&amp;K01+000 - zadania gminne lista podstawowa</oddHeader>
    <oddFooter>&amp;CStrona &amp;P z &amp;N</oddFooter>
  </headerFooter>
  <rowBreaks count="1" manualBreakCount="1">
    <brk id="3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2"/>
  <sheetViews>
    <sheetView showGridLines="0" view="pageBreakPreview" zoomScale="85" zoomScaleNormal="78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7.8515625" style="13" customWidth="1"/>
    <col min="2" max="2" width="12.28125" style="13" customWidth="1"/>
    <col min="3" max="3" width="9.8515625" style="13" customWidth="1"/>
    <col min="4" max="4" width="18.00390625" style="155" customWidth="1"/>
    <col min="5" max="5" width="11.421875" style="192" customWidth="1"/>
    <col min="6" max="6" width="43.00390625" style="13" customWidth="1"/>
    <col min="7" max="7" width="8.7109375" style="192" customWidth="1"/>
    <col min="8" max="8" width="13.28125" style="13" customWidth="1"/>
    <col min="9" max="9" width="15.7109375" style="189" customWidth="1"/>
    <col min="10" max="10" width="15.7109375" style="37" customWidth="1"/>
    <col min="11" max="12" width="15.7109375" style="13" customWidth="1"/>
    <col min="13" max="14" width="9.421875" style="1" customWidth="1"/>
    <col min="15" max="15" width="8.421875" style="13" customWidth="1"/>
    <col min="16" max="16" width="9.140625" style="13" customWidth="1"/>
    <col min="17" max="17" width="10.00390625" style="13" customWidth="1"/>
    <col min="18" max="18" width="8.8515625" style="13" customWidth="1"/>
    <col min="19" max="19" width="11.140625" style="13" customWidth="1"/>
    <col min="20" max="20" width="9.57421875" style="13" customWidth="1"/>
    <col min="21" max="21" width="10.00390625" style="13" customWidth="1"/>
    <col min="22" max="22" width="8.140625" style="13" customWidth="1"/>
    <col min="23" max="23" width="10.421875" style="13" customWidth="1"/>
    <col min="24" max="27" width="15.7109375" style="13" customWidth="1"/>
    <col min="28" max="16384" width="9.140625" style="13" customWidth="1"/>
  </cols>
  <sheetData>
    <row r="1" spans="1:94" ht="19.5" customHeight="1">
      <c r="A1" s="327" t="s">
        <v>4</v>
      </c>
      <c r="B1" s="327" t="s">
        <v>5</v>
      </c>
      <c r="C1" s="333" t="s">
        <v>33</v>
      </c>
      <c r="D1" s="325" t="s">
        <v>6</v>
      </c>
      <c r="E1" s="341" t="s">
        <v>32</v>
      </c>
      <c r="F1" s="325" t="s">
        <v>7</v>
      </c>
      <c r="G1" s="344" t="s">
        <v>26</v>
      </c>
      <c r="H1" s="327" t="s">
        <v>102</v>
      </c>
      <c r="I1" s="344" t="s">
        <v>23</v>
      </c>
      <c r="J1" s="328" t="s">
        <v>8</v>
      </c>
      <c r="K1" s="327" t="s">
        <v>9</v>
      </c>
      <c r="L1" s="325" t="s">
        <v>12</v>
      </c>
      <c r="M1" s="327" t="s">
        <v>10</v>
      </c>
      <c r="N1" s="329" t="s">
        <v>11</v>
      </c>
      <c r="O1" s="330"/>
      <c r="P1" s="330"/>
      <c r="Q1" s="330"/>
      <c r="R1" s="190"/>
      <c r="S1" s="190"/>
      <c r="T1" s="190"/>
      <c r="U1" s="190"/>
      <c r="V1" s="190"/>
      <c r="W1" s="19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</row>
    <row r="2" spans="1:94" ht="26.25" customHeight="1">
      <c r="A2" s="327"/>
      <c r="B2" s="327"/>
      <c r="C2" s="334"/>
      <c r="D2" s="326"/>
      <c r="E2" s="342"/>
      <c r="F2" s="326"/>
      <c r="G2" s="344"/>
      <c r="H2" s="327"/>
      <c r="I2" s="344"/>
      <c r="J2" s="328"/>
      <c r="K2" s="327"/>
      <c r="L2" s="326"/>
      <c r="M2" s="327"/>
      <c r="N2" s="188">
        <v>2019</v>
      </c>
      <c r="O2" s="36">
        <v>2020</v>
      </c>
      <c r="P2" s="36">
        <v>2021</v>
      </c>
      <c r="Q2" s="144">
        <v>2022</v>
      </c>
      <c r="R2" s="36">
        <v>2023</v>
      </c>
      <c r="S2" s="36">
        <v>2024</v>
      </c>
      <c r="T2" s="36">
        <v>2025</v>
      </c>
      <c r="U2" s="36">
        <v>2026</v>
      </c>
      <c r="V2" s="36">
        <v>2027</v>
      </c>
      <c r="W2" s="235">
        <v>2028</v>
      </c>
      <c r="X2" s="256" t="s">
        <v>28</v>
      </c>
      <c r="Y2" s="256" t="s">
        <v>29</v>
      </c>
      <c r="Z2" s="256" t="s">
        <v>30</v>
      </c>
      <c r="AA2" s="42" t="s">
        <v>31</v>
      </c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</row>
    <row r="3" spans="1:94" s="214" customFormat="1" ht="37.5" customHeight="1" thickBot="1">
      <c r="A3" s="212">
        <v>1</v>
      </c>
      <c r="B3" s="178" t="s">
        <v>140</v>
      </c>
      <c r="C3" s="158" t="s">
        <v>53</v>
      </c>
      <c r="D3" s="158" t="s">
        <v>60</v>
      </c>
      <c r="E3" s="158">
        <v>1605</v>
      </c>
      <c r="F3" s="158" t="s">
        <v>141</v>
      </c>
      <c r="G3" s="158" t="s">
        <v>47</v>
      </c>
      <c r="H3" s="230">
        <v>0.2</v>
      </c>
      <c r="I3" s="172" t="s">
        <v>142</v>
      </c>
      <c r="J3" s="227">
        <v>569156.28</v>
      </c>
      <c r="K3" s="213">
        <f>ROUND(J3*M3,2)</f>
        <v>284578.14</v>
      </c>
      <c r="L3" s="213">
        <f>J3-K3</f>
        <v>284578.14</v>
      </c>
      <c r="M3" s="194">
        <v>0.5</v>
      </c>
      <c r="N3" s="171">
        <v>0</v>
      </c>
      <c r="O3" s="171">
        <v>0</v>
      </c>
      <c r="P3" s="171">
        <v>0</v>
      </c>
      <c r="Q3" s="171">
        <f>K3</f>
        <v>284578.14</v>
      </c>
      <c r="R3" s="169">
        <v>0</v>
      </c>
      <c r="S3" s="169">
        <v>0</v>
      </c>
      <c r="T3" s="169">
        <v>0</v>
      </c>
      <c r="U3" s="169">
        <v>0</v>
      </c>
      <c r="V3" s="169">
        <v>0</v>
      </c>
      <c r="W3" s="169">
        <v>0</v>
      </c>
      <c r="X3" s="42" t="b">
        <f>K3=SUM(O3:W3)</f>
        <v>1</v>
      </c>
      <c r="Y3" s="263">
        <f>ROUND(K3/J3,4)</f>
        <v>0.5</v>
      </c>
      <c r="Z3" s="264" t="s">
        <v>13</v>
      </c>
      <c r="AA3" s="264" t="b">
        <f>J3=K3+L3</f>
        <v>1</v>
      </c>
      <c r="AB3" s="263"/>
      <c r="AC3" s="264"/>
      <c r="AD3" s="264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</row>
    <row r="4" spans="1:94" s="133" customFormat="1" ht="21.75" customHeight="1">
      <c r="A4" s="327" t="s">
        <v>45</v>
      </c>
      <c r="B4" s="327"/>
      <c r="C4" s="327"/>
      <c r="D4" s="327"/>
      <c r="E4" s="327"/>
      <c r="F4" s="327"/>
      <c r="G4" s="327"/>
      <c r="H4" s="216">
        <f>SUM(H3:H3)</f>
        <v>0.2</v>
      </c>
      <c r="I4" s="217" t="s">
        <v>13</v>
      </c>
      <c r="J4" s="218">
        <f>SUM(J3:J3)</f>
        <v>569156.28</v>
      </c>
      <c r="K4" s="165">
        <f>SUM(K3:K3)</f>
        <v>284578.14</v>
      </c>
      <c r="L4" s="165">
        <f>SUM(L3:L3)</f>
        <v>284578.14</v>
      </c>
      <c r="M4" s="219" t="s">
        <v>13</v>
      </c>
      <c r="N4" s="220">
        <f aca="true" t="shared" si="0" ref="N4:W4">SUM(N3:N3)</f>
        <v>0</v>
      </c>
      <c r="O4" s="220">
        <f t="shared" si="0"/>
        <v>0</v>
      </c>
      <c r="P4" s="220">
        <f t="shared" si="0"/>
        <v>0</v>
      </c>
      <c r="Q4" s="220">
        <f t="shared" si="0"/>
        <v>284578.14</v>
      </c>
      <c r="R4" s="220">
        <f t="shared" si="0"/>
        <v>0</v>
      </c>
      <c r="S4" s="220">
        <f t="shared" si="0"/>
        <v>0</v>
      </c>
      <c r="T4" s="220">
        <f t="shared" si="0"/>
        <v>0</v>
      </c>
      <c r="U4" s="220">
        <f t="shared" si="0"/>
        <v>0</v>
      </c>
      <c r="V4" s="220">
        <f t="shared" si="0"/>
        <v>0</v>
      </c>
      <c r="W4" s="260">
        <f t="shared" si="0"/>
        <v>0</v>
      </c>
      <c r="X4" s="256" t="b">
        <f>K4=SUM(O4:W4)</f>
        <v>1</v>
      </c>
      <c r="Y4" s="258">
        <f>ROUND(K4/J4,4)</f>
        <v>0.5</v>
      </c>
      <c r="Z4" s="259" t="s">
        <v>13</v>
      </c>
      <c r="AA4" s="259" t="b">
        <f>J4=K4+L4</f>
        <v>1</v>
      </c>
      <c r="AB4" s="263"/>
      <c r="AC4" s="264"/>
      <c r="AD4" s="264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</row>
    <row r="5" spans="1:94" ht="19.5" customHeight="1">
      <c r="A5" s="327" t="s">
        <v>39</v>
      </c>
      <c r="B5" s="327"/>
      <c r="C5" s="327"/>
      <c r="D5" s="327"/>
      <c r="E5" s="327"/>
      <c r="F5" s="327"/>
      <c r="G5" s="327"/>
      <c r="H5" s="174">
        <f>SUMIF($C$3:$C$3,"N",H3:H3)</f>
        <v>0.2</v>
      </c>
      <c r="I5" s="193" t="s">
        <v>13</v>
      </c>
      <c r="J5" s="164">
        <f>SUMIF($C$3:$C$3,"N",J3:J3)</f>
        <v>569156.28</v>
      </c>
      <c r="K5" s="164">
        <f>SUMIF($C$3:$C$3,"N",K3:K3)</f>
        <v>284578.14</v>
      </c>
      <c r="L5" s="164">
        <f>SUMIF($C$3:$C$3,"N",L3:L3)</f>
        <v>284578.14</v>
      </c>
      <c r="M5" s="164" t="s">
        <v>13</v>
      </c>
      <c r="N5" s="164">
        <f aca="true" t="shared" si="1" ref="N5:W5">SUMIF($C$3:$C$3,"N",N3:N3)</f>
        <v>0</v>
      </c>
      <c r="O5" s="164">
        <f t="shared" si="1"/>
        <v>0</v>
      </c>
      <c r="P5" s="164">
        <f t="shared" si="1"/>
        <v>0</v>
      </c>
      <c r="Q5" s="164">
        <f t="shared" si="1"/>
        <v>284578.14</v>
      </c>
      <c r="R5" s="164">
        <f t="shared" si="1"/>
        <v>0</v>
      </c>
      <c r="S5" s="164">
        <f t="shared" si="1"/>
        <v>0</v>
      </c>
      <c r="T5" s="164">
        <f t="shared" si="1"/>
        <v>0</v>
      </c>
      <c r="U5" s="164">
        <f t="shared" si="1"/>
        <v>0</v>
      </c>
      <c r="V5" s="164">
        <f t="shared" si="1"/>
        <v>0</v>
      </c>
      <c r="W5" s="261">
        <f t="shared" si="1"/>
        <v>0</v>
      </c>
      <c r="X5" s="256" t="b">
        <f>K5=SUM(O5:W5)</f>
        <v>1</v>
      </c>
      <c r="Y5" s="258">
        <f>ROUND(K5/J5,4)</f>
        <v>0.5</v>
      </c>
      <c r="Z5" s="259" t="s">
        <v>13</v>
      </c>
      <c r="AA5" s="259" t="b">
        <f>J5=K5+L5</f>
        <v>1</v>
      </c>
      <c r="AB5" s="265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</row>
    <row r="6" spans="1:94" ht="19.5" customHeight="1">
      <c r="A6" s="327" t="s">
        <v>40</v>
      </c>
      <c r="B6" s="327"/>
      <c r="C6" s="327"/>
      <c r="D6" s="327"/>
      <c r="E6" s="327"/>
      <c r="F6" s="327"/>
      <c r="G6" s="327"/>
      <c r="H6" s="174">
        <f>SUMIF($C$3:$C$3,"W",H3:H3)</f>
        <v>0</v>
      </c>
      <c r="I6" s="193" t="s">
        <v>13</v>
      </c>
      <c r="J6" s="164">
        <f>SUMIF($C$3:$C$3,"W",J3:J3)</f>
        <v>0</v>
      </c>
      <c r="K6" s="164">
        <f>SUMIF($C$3:$C$3,"W",K3:K3)</f>
        <v>0</v>
      </c>
      <c r="L6" s="164">
        <f>SUMIF($C$3:$C$3,"W",L3:L3)</f>
        <v>0</v>
      </c>
      <c r="M6" s="164" t="s">
        <v>13</v>
      </c>
      <c r="N6" s="164">
        <f aca="true" t="shared" si="2" ref="N6:W6">SUMIF($C$3:$C$3,"W",N3:N3)</f>
        <v>0</v>
      </c>
      <c r="O6" s="164">
        <f t="shared" si="2"/>
        <v>0</v>
      </c>
      <c r="P6" s="164">
        <f t="shared" si="2"/>
        <v>0</v>
      </c>
      <c r="Q6" s="164">
        <f t="shared" si="2"/>
        <v>0</v>
      </c>
      <c r="R6" s="164">
        <f t="shared" si="2"/>
        <v>0</v>
      </c>
      <c r="S6" s="164">
        <f t="shared" si="2"/>
        <v>0</v>
      </c>
      <c r="T6" s="164">
        <f t="shared" si="2"/>
        <v>0</v>
      </c>
      <c r="U6" s="164">
        <f t="shared" si="2"/>
        <v>0</v>
      </c>
      <c r="V6" s="164">
        <f t="shared" si="2"/>
        <v>0</v>
      </c>
      <c r="W6" s="261">
        <f t="shared" si="2"/>
        <v>0</v>
      </c>
      <c r="X6" s="256" t="b">
        <f>K6=SUM(O6:W6)</f>
        <v>1</v>
      </c>
      <c r="Y6" s="258" t="e">
        <f>ROUND(K6/J6,4)</f>
        <v>#DIV/0!</v>
      </c>
      <c r="Z6" s="259" t="s">
        <v>13</v>
      </c>
      <c r="AA6" s="259" t="b">
        <f>J6=K6+L6</f>
        <v>1</v>
      </c>
      <c r="AB6" s="265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</row>
    <row r="7" spans="1:94" ht="19.5" customHeight="1">
      <c r="A7" s="343" t="s">
        <v>40</v>
      </c>
      <c r="B7" s="343"/>
      <c r="C7" s="343"/>
      <c r="D7" s="343"/>
      <c r="E7" s="343"/>
      <c r="F7" s="343"/>
      <c r="G7" s="343"/>
      <c r="H7" s="179">
        <f>SUMIF($C$3:$C$3,"W",H3:H3)</f>
        <v>0</v>
      </c>
      <c r="I7" s="193" t="s">
        <v>13</v>
      </c>
      <c r="J7" s="180">
        <f>SUMIF($C$3:$C$3,"W",J3:J3)</f>
        <v>0</v>
      </c>
      <c r="K7" s="180">
        <f>SUMIF($C$3:$C$3,"W",K3:K3)</f>
        <v>0</v>
      </c>
      <c r="L7" s="180">
        <f>SUMIF($C$3:$C$3,"W",L3:L3)</f>
        <v>0</v>
      </c>
      <c r="M7" s="180" t="s">
        <v>13</v>
      </c>
      <c r="N7" s="180">
        <f aca="true" t="shared" si="3" ref="N7:W7">SUMIF($C$3:$C$3,"W",N3:N3)</f>
        <v>0</v>
      </c>
      <c r="O7" s="180">
        <f t="shared" si="3"/>
        <v>0</v>
      </c>
      <c r="P7" s="180">
        <f t="shared" si="3"/>
        <v>0</v>
      </c>
      <c r="Q7" s="180">
        <f t="shared" si="3"/>
        <v>0</v>
      </c>
      <c r="R7" s="180">
        <f t="shared" si="3"/>
        <v>0</v>
      </c>
      <c r="S7" s="180">
        <f t="shared" si="3"/>
        <v>0</v>
      </c>
      <c r="T7" s="180">
        <f t="shared" si="3"/>
        <v>0</v>
      </c>
      <c r="U7" s="180">
        <f t="shared" si="3"/>
        <v>0</v>
      </c>
      <c r="V7" s="180">
        <f t="shared" si="3"/>
        <v>0</v>
      </c>
      <c r="W7" s="262">
        <f t="shared" si="3"/>
        <v>0</v>
      </c>
      <c r="X7" s="256" t="b">
        <f>K7=SUM(O7:W7)</f>
        <v>1</v>
      </c>
      <c r="Y7" s="258" t="e">
        <f>ROUND(K7/J7,4)</f>
        <v>#DIV/0!</v>
      </c>
      <c r="Z7" s="259" t="s">
        <v>13</v>
      </c>
      <c r="AA7" s="259" t="b">
        <f>J7=K7+L7</f>
        <v>1</v>
      </c>
      <c r="AB7" s="265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</row>
    <row r="8" spans="1:94" ht="15">
      <c r="A8" s="38"/>
      <c r="P8" s="136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</row>
    <row r="9" spans="1:94" ht="15">
      <c r="A9" s="31" t="s">
        <v>24</v>
      </c>
      <c r="O9" s="146"/>
      <c r="P9" s="35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</row>
    <row r="10" spans="1:94" ht="15">
      <c r="A10" s="32" t="s">
        <v>25</v>
      </c>
      <c r="P10" s="35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</row>
    <row r="11" ht="15">
      <c r="A11" s="31" t="s">
        <v>36</v>
      </c>
    </row>
    <row r="12" ht="15">
      <c r="A12" s="39"/>
    </row>
  </sheetData>
  <sheetProtection/>
  <mergeCells count="18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A4:G4"/>
    <mergeCell ref="N1:Q1"/>
    <mergeCell ref="J1:J2"/>
    <mergeCell ref="K1:K2"/>
    <mergeCell ref="L1:L2"/>
    <mergeCell ref="M1:M2"/>
  </mergeCells>
  <conditionalFormatting sqref="AA7 X3:AD4">
    <cfRule type="cellIs" priority="27" dxfId="71" operator="equal">
      <formula>FALSE</formula>
    </cfRule>
  </conditionalFormatting>
  <conditionalFormatting sqref="AB7">
    <cfRule type="cellIs" priority="32" dxfId="71" operator="equal">
      <formula>FALSE</formula>
    </cfRule>
  </conditionalFormatting>
  <conditionalFormatting sqref="AB7">
    <cfRule type="cellIs" priority="31" dxfId="71" operator="equal">
      <formula>FALSE</formula>
    </cfRule>
  </conditionalFormatting>
  <conditionalFormatting sqref="Y7:Z7">
    <cfRule type="cellIs" priority="30" dxfId="71" operator="equal">
      <formula>FALSE</formula>
    </cfRule>
  </conditionalFormatting>
  <conditionalFormatting sqref="X7">
    <cfRule type="cellIs" priority="29" dxfId="71" operator="equal">
      <formula>FALSE</formula>
    </cfRule>
  </conditionalFormatting>
  <conditionalFormatting sqref="X7:Z7 X3:Z4 AB3:AC4">
    <cfRule type="containsText" priority="28" dxfId="71" operator="containsText" text="fałsz">
      <formula>NOT(ISERROR(SEARCH("fałsz",X3)))</formula>
    </cfRule>
  </conditionalFormatting>
  <conditionalFormatting sqref="AA7">
    <cfRule type="cellIs" priority="26" dxfId="71" operator="equal">
      <formula>FALSE</formula>
    </cfRule>
  </conditionalFormatting>
  <conditionalFormatting sqref="AB5:AB6">
    <cfRule type="cellIs" priority="25" dxfId="71" operator="equal">
      <formula>FALSE</formula>
    </cfRule>
  </conditionalFormatting>
  <conditionalFormatting sqref="AB5:AB6">
    <cfRule type="cellIs" priority="24" dxfId="71" operator="equal">
      <formula>FALSE</formula>
    </cfRule>
  </conditionalFormatting>
  <conditionalFormatting sqref="Y5:Z5">
    <cfRule type="cellIs" priority="23" dxfId="71" operator="equal">
      <formula>FALSE</formula>
    </cfRule>
  </conditionalFormatting>
  <conditionalFormatting sqref="X5">
    <cfRule type="cellIs" priority="22" dxfId="71" operator="equal">
      <formula>FALSE</formula>
    </cfRule>
  </conditionalFormatting>
  <conditionalFormatting sqref="X5:Z5">
    <cfRule type="containsText" priority="21" dxfId="71" operator="containsText" text="fałsz">
      <formula>NOT(ISERROR(SEARCH("fałsz",X5)))</formula>
    </cfRule>
  </conditionalFormatting>
  <conditionalFormatting sqref="AA5">
    <cfRule type="cellIs" priority="20" dxfId="71" operator="equal">
      <formula>FALSE</formula>
    </cfRule>
  </conditionalFormatting>
  <conditionalFormatting sqref="AA5">
    <cfRule type="cellIs" priority="19" dxfId="71" operator="equal">
      <formula>FALSE</formula>
    </cfRule>
  </conditionalFormatting>
  <conditionalFormatting sqref="Y6:Z6">
    <cfRule type="cellIs" priority="18" dxfId="71" operator="equal">
      <formula>FALSE</formula>
    </cfRule>
  </conditionalFormatting>
  <conditionalFormatting sqref="X6">
    <cfRule type="cellIs" priority="17" dxfId="71" operator="equal">
      <formula>FALSE</formula>
    </cfRule>
  </conditionalFormatting>
  <conditionalFormatting sqref="X6:Z6">
    <cfRule type="containsText" priority="16" dxfId="71" operator="containsText" text="fałsz">
      <formula>NOT(ISERROR(SEARCH("fałsz",X6)))</formula>
    </cfRule>
  </conditionalFormatting>
  <conditionalFormatting sqref="AA6">
    <cfRule type="cellIs" priority="15" dxfId="71" operator="equal">
      <formula>FALSE</formula>
    </cfRule>
  </conditionalFormatting>
  <conditionalFormatting sqref="AA6">
    <cfRule type="cellIs" priority="14" dxfId="71" operator="equal">
      <formula>FALSE</formula>
    </cfRule>
  </conditionalFormatting>
  <dataValidations count="2">
    <dataValidation type="list" allowBlank="1" showInputMessage="1" showErrorMessage="1" sqref="G3">
      <formula1>"B,P,R"</formula1>
    </dataValidation>
    <dataValidation type="list" allowBlank="1" showInputMessage="1" showErrorMessage="1" sqref="C3">
      <formula1>"N,K,W"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0" r:id="rId1"/>
  <headerFooter>
    <oddHeader>&amp;LWojewództwo&amp;K000000 opolskie&amp;K01+000 - zadania powiatowe lista rezerwowa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showGridLines="0" view="pageBreakPreview" zoomScale="90" zoomScaleNormal="78" zoomScaleSheetLayoutView="90" workbookViewId="0" topLeftCell="A1">
      <selection activeCell="B3" sqref="B3"/>
    </sheetView>
  </sheetViews>
  <sheetFormatPr defaultColWidth="9.140625" defaultRowHeight="15"/>
  <cols>
    <col min="1" max="1" width="9.28125" style="13" customWidth="1"/>
    <col min="2" max="2" width="16.7109375" style="13" customWidth="1"/>
    <col min="3" max="3" width="8.00390625" style="13" customWidth="1"/>
    <col min="4" max="4" width="21.00390625" style="13" customWidth="1"/>
    <col min="5" max="5" width="10.421875" style="13" bestFit="1" customWidth="1"/>
    <col min="6" max="6" width="13.57421875" style="13" customWidth="1"/>
    <col min="7" max="7" width="37.57421875" style="13" customWidth="1"/>
    <col min="8" max="8" width="10.00390625" style="13" customWidth="1"/>
    <col min="9" max="9" width="9.421875" style="13" customWidth="1"/>
    <col min="10" max="10" width="14.421875" style="155" customWidth="1"/>
    <col min="11" max="11" width="15.7109375" style="37" customWidth="1"/>
    <col min="12" max="13" width="15.7109375" style="13" customWidth="1"/>
    <col min="14" max="14" width="9.140625" style="1" customWidth="1"/>
    <col min="15" max="15" width="7.421875" style="13" customWidth="1"/>
    <col min="16" max="16" width="7.28125" style="13" customWidth="1"/>
    <col min="17" max="17" width="14.421875" style="13" customWidth="1"/>
    <col min="18" max="18" width="13.140625" style="13" customWidth="1"/>
    <col min="19" max="19" width="11.140625" style="13" customWidth="1"/>
    <col min="20" max="20" width="8.28125" style="13" customWidth="1"/>
    <col min="21" max="21" width="8.7109375" style="13" customWidth="1"/>
    <col min="22" max="22" width="8.57421875" style="13" customWidth="1"/>
    <col min="23" max="23" width="6.8515625" style="13" customWidth="1"/>
    <col min="24" max="24" width="9.00390625" style="13" customWidth="1"/>
    <col min="25" max="28" width="15.7109375" style="247" customWidth="1"/>
    <col min="29" max="16384" width="9.140625" style="13" customWidth="1"/>
  </cols>
  <sheetData>
    <row r="1" spans="1:24" ht="19.5" customHeight="1">
      <c r="A1" s="327" t="s">
        <v>4</v>
      </c>
      <c r="B1" s="327" t="s">
        <v>5</v>
      </c>
      <c r="C1" s="333" t="s">
        <v>33</v>
      </c>
      <c r="D1" s="325" t="s">
        <v>6</v>
      </c>
      <c r="E1" s="148"/>
      <c r="F1" s="148"/>
      <c r="G1" s="168"/>
      <c r="H1" s="348" t="s">
        <v>26</v>
      </c>
      <c r="I1" s="347" t="s">
        <v>102</v>
      </c>
      <c r="J1" s="325" t="s">
        <v>105</v>
      </c>
      <c r="K1" s="328" t="s">
        <v>8</v>
      </c>
      <c r="L1" s="327" t="s">
        <v>9</v>
      </c>
      <c r="M1" s="325" t="s">
        <v>12</v>
      </c>
      <c r="N1" s="327" t="s">
        <v>10</v>
      </c>
      <c r="O1" s="329" t="s">
        <v>11</v>
      </c>
      <c r="P1" s="330"/>
      <c r="Q1" s="330"/>
      <c r="R1" s="330"/>
      <c r="S1" s="190"/>
      <c r="T1" s="190"/>
      <c r="U1" s="190"/>
      <c r="V1" s="190"/>
      <c r="W1" s="190"/>
      <c r="X1" s="191"/>
    </row>
    <row r="2" spans="1:28" ht="33" customHeight="1">
      <c r="A2" s="327"/>
      <c r="B2" s="327"/>
      <c r="C2" s="334"/>
      <c r="D2" s="326"/>
      <c r="E2" s="149" t="s">
        <v>32</v>
      </c>
      <c r="F2" s="149" t="s">
        <v>14</v>
      </c>
      <c r="G2" s="149" t="s">
        <v>7</v>
      </c>
      <c r="H2" s="337"/>
      <c r="I2" s="326"/>
      <c r="J2" s="326"/>
      <c r="K2" s="328"/>
      <c r="L2" s="327"/>
      <c r="M2" s="326"/>
      <c r="N2" s="327"/>
      <c r="O2" s="150">
        <v>2019</v>
      </c>
      <c r="P2" s="150">
        <v>2020</v>
      </c>
      <c r="Q2" s="150">
        <v>2021</v>
      </c>
      <c r="R2" s="150">
        <v>2022</v>
      </c>
      <c r="S2" s="150">
        <v>2023</v>
      </c>
      <c r="T2" s="150">
        <v>2024</v>
      </c>
      <c r="U2" s="150">
        <v>2025</v>
      </c>
      <c r="V2" s="150">
        <v>2026</v>
      </c>
      <c r="W2" s="150">
        <v>2027</v>
      </c>
      <c r="X2" s="150">
        <v>2028</v>
      </c>
      <c r="Y2" s="249" t="s">
        <v>28</v>
      </c>
      <c r="Z2" s="249" t="s">
        <v>29</v>
      </c>
      <c r="AA2" s="249" t="s">
        <v>30</v>
      </c>
      <c r="AB2" s="250" t="s">
        <v>31</v>
      </c>
    </row>
    <row r="3" spans="1:28" s="41" customFormat="1" ht="63.75" customHeight="1">
      <c r="A3" s="156">
        <v>1</v>
      </c>
      <c r="B3" s="158" t="s">
        <v>361</v>
      </c>
      <c r="C3" s="159"/>
      <c r="D3" s="158" t="s">
        <v>82</v>
      </c>
      <c r="E3" s="178">
        <v>1602033</v>
      </c>
      <c r="F3" s="178" t="s">
        <v>78</v>
      </c>
      <c r="G3" s="178" t="s">
        <v>231</v>
      </c>
      <c r="H3" s="158" t="s">
        <v>47</v>
      </c>
      <c r="I3" s="178"/>
      <c r="J3" s="226" t="s">
        <v>130</v>
      </c>
      <c r="K3" s="291">
        <v>0</v>
      </c>
      <c r="L3" s="206">
        <v>0</v>
      </c>
      <c r="M3" s="299">
        <v>0</v>
      </c>
      <c r="N3" s="147">
        <v>0.6</v>
      </c>
      <c r="O3" s="169">
        <v>0</v>
      </c>
      <c r="P3" s="169">
        <v>0</v>
      </c>
      <c r="Q3" s="213">
        <v>0</v>
      </c>
      <c r="R3" s="169">
        <f aca="true" t="shared" si="0" ref="R3:R9">L3</f>
        <v>0</v>
      </c>
      <c r="S3" s="169">
        <v>0</v>
      </c>
      <c r="T3" s="169">
        <v>0</v>
      </c>
      <c r="U3" s="169">
        <v>0</v>
      </c>
      <c r="V3" s="169">
        <v>0</v>
      </c>
      <c r="W3" s="171">
        <v>0</v>
      </c>
      <c r="X3" s="171">
        <v>0</v>
      </c>
      <c r="Y3" s="249" t="b">
        <f>L3=SUM(P3:X3)</f>
        <v>1</v>
      </c>
      <c r="Z3" s="43" t="e">
        <f aca="true" t="shared" si="1" ref="Z3:Z9">ROUND(L3/K3,4)</f>
        <v>#DIV/0!</v>
      </c>
      <c r="AA3" s="251" t="e">
        <f aca="true" t="shared" si="2" ref="AA3:AA9">Z3=N3</f>
        <v>#DIV/0!</v>
      </c>
      <c r="AB3" s="251" t="b">
        <f aca="true" t="shared" si="3" ref="AB3:AB9">K3=L3+M3</f>
        <v>1</v>
      </c>
    </row>
    <row r="4" spans="1:28" s="41" customFormat="1" ht="55.5" customHeight="1">
      <c r="A4" s="156">
        <v>2</v>
      </c>
      <c r="B4" s="178" t="s">
        <v>362</v>
      </c>
      <c r="C4" s="159"/>
      <c r="D4" s="158" t="s">
        <v>55</v>
      </c>
      <c r="E4" s="232">
        <v>1609052</v>
      </c>
      <c r="F4" s="178" t="s">
        <v>56</v>
      </c>
      <c r="G4" s="178" t="s">
        <v>233</v>
      </c>
      <c r="H4" s="158" t="s">
        <v>103</v>
      </c>
      <c r="I4" s="178"/>
      <c r="J4" s="226" t="s">
        <v>181</v>
      </c>
      <c r="K4" s="291">
        <v>0</v>
      </c>
      <c r="L4" s="206">
        <v>0</v>
      </c>
      <c r="M4" s="299">
        <v>0</v>
      </c>
      <c r="N4" s="147">
        <v>0.7</v>
      </c>
      <c r="O4" s="169">
        <v>0</v>
      </c>
      <c r="P4" s="169">
        <v>0</v>
      </c>
      <c r="Q4" s="213">
        <v>0</v>
      </c>
      <c r="R4" s="169">
        <f t="shared" si="0"/>
        <v>0</v>
      </c>
      <c r="S4" s="169">
        <v>0</v>
      </c>
      <c r="T4" s="169">
        <v>0</v>
      </c>
      <c r="U4" s="169">
        <v>0</v>
      </c>
      <c r="V4" s="169">
        <v>0</v>
      </c>
      <c r="W4" s="171">
        <v>0</v>
      </c>
      <c r="X4" s="171">
        <v>0</v>
      </c>
      <c r="Y4" s="249" t="b">
        <f>L4=SUM(P4:X4)</f>
        <v>1</v>
      </c>
      <c r="Z4" s="43" t="e">
        <f t="shared" si="1"/>
        <v>#DIV/0!</v>
      </c>
      <c r="AA4" s="251" t="e">
        <f t="shared" si="2"/>
        <v>#DIV/0!</v>
      </c>
      <c r="AB4" s="251" t="b">
        <f t="shared" si="3"/>
        <v>1</v>
      </c>
    </row>
    <row r="5" spans="1:28" s="41" customFormat="1" ht="51" customHeight="1">
      <c r="A5" s="156">
        <v>3</v>
      </c>
      <c r="B5" s="178" t="s">
        <v>363</v>
      </c>
      <c r="C5" s="159"/>
      <c r="D5" s="158" t="s">
        <v>89</v>
      </c>
      <c r="E5" s="178">
        <v>1607073</v>
      </c>
      <c r="F5" s="178" t="s">
        <v>46</v>
      </c>
      <c r="G5" s="178" t="s">
        <v>332</v>
      </c>
      <c r="H5" s="178" t="s">
        <v>47</v>
      </c>
      <c r="I5" s="178"/>
      <c r="J5" s="226" t="s">
        <v>136</v>
      </c>
      <c r="K5" s="291">
        <v>0</v>
      </c>
      <c r="L5" s="206">
        <v>0</v>
      </c>
      <c r="M5" s="299">
        <v>0</v>
      </c>
      <c r="N5" s="147">
        <v>0.8</v>
      </c>
      <c r="O5" s="169">
        <v>0</v>
      </c>
      <c r="P5" s="169">
        <v>0</v>
      </c>
      <c r="Q5" s="213">
        <v>0</v>
      </c>
      <c r="R5" s="169">
        <f t="shared" si="0"/>
        <v>0</v>
      </c>
      <c r="S5" s="169">
        <v>0</v>
      </c>
      <c r="T5" s="169">
        <v>0</v>
      </c>
      <c r="U5" s="169">
        <v>0</v>
      </c>
      <c r="V5" s="169">
        <v>0</v>
      </c>
      <c r="W5" s="171">
        <v>0</v>
      </c>
      <c r="X5" s="171">
        <v>0</v>
      </c>
      <c r="Y5" s="249" t="b">
        <f>L5=SUM(P5:X5)</f>
        <v>1</v>
      </c>
      <c r="Z5" s="43" t="e">
        <f t="shared" si="1"/>
        <v>#DIV/0!</v>
      </c>
      <c r="AA5" s="251" t="e">
        <f t="shared" si="2"/>
        <v>#DIV/0!</v>
      </c>
      <c r="AB5" s="251" t="b">
        <f t="shared" si="3"/>
        <v>1</v>
      </c>
    </row>
    <row r="6" spans="1:28" s="41" customFormat="1" ht="57.75" customHeight="1">
      <c r="A6" s="156">
        <v>4</v>
      </c>
      <c r="B6" s="178" t="s">
        <v>364</v>
      </c>
      <c r="C6" s="159"/>
      <c r="D6" s="158" t="s">
        <v>90</v>
      </c>
      <c r="E6" s="178">
        <v>1610013</v>
      </c>
      <c r="F6" s="178" t="s">
        <v>50</v>
      </c>
      <c r="G6" s="178" t="s">
        <v>230</v>
      </c>
      <c r="H6" s="158" t="s">
        <v>47</v>
      </c>
      <c r="I6" s="178"/>
      <c r="J6" s="226" t="s">
        <v>134</v>
      </c>
      <c r="K6" s="291">
        <v>0</v>
      </c>
      <c r="L6" s="206">
        <v>0</v>
      </c>
      <c r="M6" s="299">
        <v>0</v>
      </c>
      <c r="N6" s="147">
        <v>0.6</v>
      </c>
      <c r="O6" s="169">
        <v>0</v>
      </c>
      <c r="P6" s="169">
        <v>0</v>
      </c>
      <c r="Q6" s="213">
        <v>0</v>
      </c>
      <c r="R6" s="169">
        <f t="shared" si="0"/>
        <v>0</v>
      </c>
      <c r="S6" s="169">
        <v>0</v>
      </c>
      <c r="T6" s="169">
        <v>0</v>
      </c>
      <c r="U6" s="169">
        <v>0</v>
      </c>
      <c r="V6" s="169">
        <v>0</v>
      </c>
      <c r="W6" s="171">
        <v>0</v>
      </c>
      <c r="X6" s="171">
        <v>0</v>
      </c>
      <c r="Y6" s="249" t="b">
        <f>L6=SUM(P6:X6)</f>
        <v>1</v>
      </c>
      <c r="Z6" s="43" t="e">
        <f t="shared" si="1"/>
        <v>#DIV/0!</v>
      </c>
      <c r="AA6" s="251" t="e">
        <f t="shared" si="2"/>
        <v>#DIV/0!</v>
      </c>
      <c r="AB6" s="251" t="b">
        <f t="shared" si="3"/>
        <v>1</v>
      </c>
    </row>
    <row r="7" spans="1:28" ht="33" customHeight="1">
      <c r="A7" s="156">
        <v>5</v>
      </c>
      <c r="B7" s="178" t="s">
        <v>333</v>
      </c>
      <c r="C7" s="159" t="s">
        <v>53</v>
      </c>
      <c r="D7" s="158" t="s">
        <v>83</v>
      </c>
      <c r="E7" s="178">
        <v>1604013</v>
      </c>
      <c r="F7" s="178" t="s">
        <v>79</v>
      </c>
      <c r="G7" s="178" t="s">
        <v>334</v>
      </c>
      <c r="H7" s="178" t="s">
        <v>104</v>
      </c>
      <c r="I7" s="178">
        <v>0.174</v>
      </c>
      <c r="J7" s="226" t="s">
        <v>335</v>
      </c>
      <c r="K7" s="227">
        <v>186481.21</v>
      </c>
      <c r="L7" s="169">
        <f aca="true" t="shared" si="4" ref="L7:L35">ROUND(K7*N7,2)</f>
        <v>111888.73</v>
      </c>
      <c r="M7" s="169">
        <f aca="true" t="shared" si="5" ref="M7:M35">K7-L7</f>
        <v>74592.48</v>
      </c>
      <c r="N7" s="147">
        <v>0.6</v>
      </c>
      <c r="O7" s="169">
        <v>0</v>
      </c>
      <c r="P7" s="169">
        <v>0</v>
      </c>
      <c r="Q7" s="213">
        <v>0</v>
      </c>
      <c r="R7" s="169">
        <f t="shared" si="0"/>
        <v>111888.73</v>
      </c>
      <c r="S7" s="169">
        <v>0</v>
      </c>
      <c r="T7" s="169">
        <v>0</v>
      </c>
      <c r="U7" s="169">
        <v>0</v>
      </c>
      <c r="V7" s="169">
        <v>0</v>
      </c>
      <c r="W7" s="171">
        <v>0</v>
      </c>
      <c r="X7" s="171">
        <v>0</v>
      </c>
      <c r="Y7" s="249" t="b">
        <f>L7=SUM(O7:X7)</f>
        <v>1</v>
      </c>
      <c r="Z7" s="43">
        <f t="shared" si="1"/>
        <v>0.6</v>
      </c>
      <c r="AA7" s="251" t="b">
        <f t="shared" si="2"/>
        <v>1</v>
      </c>
      <c r="AB7" s="251" t="b">
        <f t="shared" si="3"/>
        <v>1</v>
      </c>
    </row>
    <row r="8" spans="1:28" ht="33" customHeight="1">
      <c r="A8" s="156">
        <v>6</v>
      </c>
      <c r="B8" s="178" t="s">
        <v>336</v>
      </c>
      <c r="C8" s="159" t="s">
        <v>53</v>
      </c>
      <c r="D8" s="158" t="s">
        <v>89</v>
      </c>
      <c r="E8" s="178">
        <v>1607073</v>
      </c>
      <c r="F8" s="178" t="s">
        <v>46</v>
      </c>
      <c r="G8" s="178" t="s">
        <v>337</v>
      </c>
      <c r="H8" s="178" t="s">
        <v>47</v>
      </c>
      <c r="I8" s="178">
        <v>0.565</v>
      </c>
      <c r="J8" s="226" t="s">
        <v>338</v>
      </c>
      <c r="K8" s="227">
        <v>307886.04</v>
      </c>
      <c r="L8" s="169">
        <f t="shared" si="4"/>
        <v>246308.83</v>
      </c>
      <c r="M8" s="169">
        <f t="shared" si="5"/>
        <v>61577.20999999999</v>
      </c>
      <c r="N8" s="147">
        <v>0.8</v>
      </c>
      <c r="O8" s="169">
        <v>0</v>
      </c>
      <c r="P8" s="169">
        <v>0</v>
      </c>
      <c r="Q8" s="213">
        <v>0</v>
      </c>
      <c r="R8" s="169">
        <f t="shared" si="0"/>
        <v>246308.83</v>
      </c>
      <c r="S8" s="169">
        <v>0</v>
      </c>
      <c r="T8" s="169">
        <v>0</v>
      </c>
      <c r="U8" s="169">
        <v>0</v>
      </c>
      <c r="V8" s="169">
        <v>0</v>
      </c>
      <c r="W8" s="171">
        <v>0</v>
      </c>
      <c r="X8" s="171"/>
      <c r="Y8" s="249" t="b">
        <f>L8=SUM(O8:X8)</f>
        <v>1</v>
      </c>
      <c r="Z8" s="43">
        <f t="shared" si="1"/>
        <v>0.8</v>
      </c>
      <c r="AA8" s="251" t="b">
        <f t="shared" si="2"/>
        <v>1</v>
      </c>
      <c r="AB8" s="251" t="b">
        <f t="shared" si="3"/>
        <v>1</v>
      </c>
    </row>
    <row r="9" spans="1:28" ht="39.75" customHeight="1">
      <c r="A9" s="156">
        <v>7</v>
      </c>
      <c r="B9" s="178" t="s">
        <v>236</v>
      </c>
      <c r="C9" s="159" t="s">
        <v>53</v>
      </c>
      <c r="D9" s="158" t="s">
        <v>68</v>
      </c>
      <c r="E9" s="232">
        <v>1608013</v>
      </c>
      <c r="F9" s="178" t="s">
        <v>57</v>
      </c>
      <c r="G9" s="178" t="s">
        <v>243</v>
      </c>
      <c r="H9" s="158" t="s">
        <v>47</v>
      </c>
      <c r="I9" s="288">
        <v>0.57</v>
      </c>
      <c r="J9" s="226" t="s">
        <v>136</v>
      </c>
      <c r="K9" s="227">
        <v>562588.62</v>
      </c>
      <c r="L9" s="169">
        <f t="shared" si="4"/>
        <v>337553.17</v>
      </c>
      <c r="M9" s="169">
        <f t="shared" si="5"/>
        <v>225035.45</v>
      </c>
      <c r="N9" s="147">
        <v>0.6</v>
      </c>
      <c r="O9" s="169">
        <v>0</v>
      </c>
      <c r="P9" s="169">
        <v>0</v>
      </c>
      <c r="Q9" s="213">
        <v>0</v>
      </c>
      <c r="R9" s="169">
        <f t="shared" si="0"/>
        <v>337553.17</v>
      </c>
      <c r="S9" s="169">
        <v>0</v>
      </c>
      <c r="T9" s="169">
        <v>0</v>
      </c>
      <c r="U9" s="169">
        <v>0</v>
      </c>
      <c r="V9" s="169">
        <v>0</v>
      </c>
      <c r="W9" s="171">
        <v>0</v>
      </c>
      <c r="X9" s="171">
        <v>0</v>
      </c>
      <c r="Y9" s="249" t="b">
        <f>L9=SUM(O9:X9)</f>
        <v>1</v>
      </c>
      <c r="Z9" s="43">
        <f t="shared" si="1"/>
        <v>0.6</v>
      </c>
      <c r="AA9" s="251" t="b">
        <f t="shared" si="2"/>
        <v>1</v>
      </c>
      <c r="AB9" s="251" t="b">
        <f t="shared" si="3"/>
        <v>1</v>
      </c>
    </row>
    <row r="10" spans="1:28" ht="39.75" customHeight="1">
      <c r="A10" s="223">
        <v>8</v>
      </c>
      <c r="B10" s="145" t="s">
        <v>227</v>
      </c>
      <c r="C10" s="160" t="s">
        <v>80</v>
      </c>
      <c r="D10" s="145" t="s">
        <v>54</v>
      </c>
      <c r="E10" s="231">
        <v>1601011</v>
      </c>
      <c r="F10" s="145" t="s">
        <v>49</v>
      </c>
      <c r="G10" s="145" t="s">
        <v>234</v>
      </c>
      <c r="H10" s="173" t="s">
        <v>104</v>
      </c>
      <c r="I10" s="145">
        <v>0.457</v>
      </c>
      <c r="J10" s="177" t="s">
        <v>235</v>
      </c>
      <c r="K10" s="177">
        <v>1474788.55</v>
      </c>
      <c r="L10" s="170">
        <f t="shared" si="4"/>
        <v>1032351.99</v>
      </c>
      <c r="M10" s="170">
        <f t="shared" si="5"/>
        <v>442436.56000000006</v>
      </c>
      <c r="N10" s="161">
        <v>0.7</v>
      </c>
      <c r="O10" s="170">
        <v>0</v>
      </c>
      <c r="P10" s="170">
        <v>0</v>
      </c>
      <c r="Q10" s="177">
        <v>0</v>
      </c>
      <c r="R10" s="170">
        <f>ROUND(N10*642554.41,2)</f>
        <v>449788.09</v>
      </c>
      <c r="S10" s="170">
        <f>L10-R10</f>
        <v>582563.8999999999</v>
      </c>
      <c r="T10" s="170">
        <v>0</v>
      </c>
      <c r="U10" s="170">
        <v>0</v>
      </c>
      <c r="V10" s="170">
        <v>0</v>
      </c>
      <c r="W10" s="176">
        <v>0</v>
      </c>
      <c r="X10" s="176">
        <v>0</v>
      </c>
      <c r="Y10" s="249" t="b">
        <f aca="true" t="shared" si="6" ref="Y10:Y16">L10=SUM(O10:X10)</f>
        <v>1</v>
      </c>
      <c r="Z10" s="43">
        <f aca="true" t="shared" si="7" ref="Z10:Z16">ROUND(L10/K10,4)</f>
        <v>0.7</v>
      </c>
      <c r="AA10" s="251" t="b">
        <f aca="true" t="shared" si="8" ref="AA10:AA16">Z10=N10</f>
        <v>1</v>
      </c>
      <c r="AB10" s="251" t="b">
        <f aca="true" t="shared" si="9" ref="AB10:AB16">K10=L10+M10</f>
        <v>1</v>
      </c>
    </row>
    <row r="11" spans="1:28" ht="39.75" customHeight="1">
      <c r="A11" s="156">
        <v>9</v>
      </c>
      <c r="B11" s="178" t="s">
        <v>237</v>
      </c>
      <c r="C11" s="159" t="s">
        <v>53</v>
      </c>
      <c r="D11" s="178" t="s">
        <v>70</v>
      </c>
      <c r="E11" s="232">
        <v>1607033</v>
      </c>
      <c r="F11" s="178" t="s">
        <v>46</v>
      </c>
      <c r="G11" s="178" t="s">
        <v>244</v>
      </c>
      <c r="H11" s="158" t="s">
        <v>47</v>
      </c>
      <c r="I11" s="178">
        <v>0.167</v>
      </c>
      <c r="J11" s="226" t="s">
        <v>249</v>
      </c>
      <c r="K11" s="227">
        <v>216505.71</v>
      </c>
      <c r="L11" s="169">
        <f t="shared" si="4"/>
        <v>129903.43</v>
      </c>
      <c r="M11" s="169">
        <f t="shared" si="5"/>
        <v>86602.28</v>
      </c>
      <c r="N11" s="147">
        <v>0.6</v>
      </c>
      <c r="O11" s="169">
        <v>0</v>
      </c>
      <c r="P11" s="169">
        <v>0</v>
      </c>
      <c r="Q11" s="213">
        <v>0</v>
      </c>
      <c r="R11" s="169">
        <f aca="true" t="shared" si="10" ref="R11:R35">L11</f>
        <v>129903.43</v>
      </c>
      <c r="S11" s="169">
        <v>0</v>
      </c>
      <c r="T11" s="169">
        <v>0</v>
      </c>
      <c r="U11" s="169">
        <v>0</v>
      </c>
      <c r="V11" s="169">
        <v>0</v>
      </c>
      <c r="W11" s="171">
        <v>0</v>
      </c>
      <c r="X11" s="171">
        <v>0</v>
      </c>
      <c r="Y11" s="249" t="b">
        <f t="shared" si="6"/>
        <v>1</v>
      </c>
      <c r="Z11" s="43">
        <f t="shared" si="7"/>
        <v>0.6</v>
      </c>
      <c r="AA11" s="251" t="b">
        <f t="shared" si="8"/>
        <v>1</v>
      </c>
      <c r="AB11" s="251" t="b">
        <f t="shared" si="9"/>
        <v>1</v>
      </c>
    </row>
    <row r="12" spans="1:28" ht="39.75" customHeight="1">
      <c r="A12" s="156">
        <v>10</v>
      </c>
      <c r="B12" s="178" t="s">
        <v>238</v>
      </c>
      <c r="C12" s="159" t="s">
        <v>53</v>
      </c>
      <c r="D12" s="158" t="s">
        <v>67</v>
      </c>
      <c r="E12" s="232">
        <v>1603062</v>
      </c>
      <c r="F12" s="178" t="s">
        <v>61</v>
      </c>
      <c r="G12" s="178" t="s">
        <v>245</v>
      </c>
      <c r="H12" s="158" t="s">
        <v>104</v>
      </c>
      <c r="I12" s="178">
        <v>1.018</v>
      </c>
      <c r="J12" s="226" t="s">
        <v>250</v>
      </c>
      <c r="K12" s="227">
        <v>582439.8</v>
      </c>
      <c r="L12" s="169">
        <f t="shared" si="4"/>
        <v>407707.86</v>
      </c>
      <c r="M12" s="169">
        <f t="shared" si="5"/>
        <v>174731.94000000006</v>
      </c>
      <c r="N12" s="147">
        <v>0.7</v>
      </c>
      <c r="O12" s="169">
        <v>0</v>
      </c>
      <c r="P12" s="169">
        <v>0</v>
      </c>
      <c r="Q12" s="213">
        <v>0</v>
      </c>
      <c r="R12" s="169">
        <f t="shared" si="10"/>
        <v>407707.86</v>
      </c>
      <c r="S12" s="169">
        <v>0</v>
      </c>
      <c r="T12" s="169">
        <v>0</v>
      </c>
      <c r="U12" s="169">
        <v>0</v>
      </c>
      <c r="V12" s="169">
        <v>0</v>
      </c>
      <c r="W12" s="171">
        <v>0</v>
      </c>
      <c r="X12" s="171">
        <v>0</v>
      </c>
      <c r="Y12" s="249" t="b">
        <f t="shared" si="6"/>
        <v>1</v>
      </c>
      <c r="Z12" s="43">
        <f t="shared" si="7"/>
        <v>0.7</v>
      </c>
      <c r="AA12" s="251" t="b">
        <f t="shared" si="8"/>
        <v>1</v>
      </c>
      <c r="AB12" s="251" t="b">
        <f t="shared" si="9"/>
        <v>1</v>
      </c>
    </row>
    <row r="13" spans="1:28" ht="39.75" customHeight="1">
      <c r="A13" s="156">
        <v>11</v>
      </c>
      <c r="B13" s="178" t="s">
        <v>239</v>
      </c>
      <c r="C13" s="159" t="s">
        <v>53</v>
      </c>
      <c r="D13" s="158" t="s">
        <v>242</v>
      </c>
      <c r="E13" s="232">
        <v>1605042</v>
      </c>
      <c r="F13" s="178" t="s">
        <v>60</v>
      </c>
      <c r="G13" s="178" t="s">
        <v>246</v>
      </c>
      <c r="H13" s="158" t="s">
        <v>104</v>
      </c>
      <c r="I13" s="178">
        <v>0.215</v>
      </c>
      <c r="J13" s="226" t="s">
        <v>177</v>
      </c>
      <c r="K13" s="227">
        <v>326593.41</v>
      </c>
      <c r="L13" s="169">
        <f t="shared" si="4"/>
        <v>195956.05</v>
      </c>
      <c r="M13" s="169">
        <f t="shared" si="5"/>
        <v>130637.35999999999</v>
      </c>
      <c r="N13" s="147">
        <v>0.6</v>
      </c>
      <c r="O13" s="169">
        <v>0</v>
      </c>
      <c r="P13" s="169">
        <v>0</v>
      </c>
      <c r="Q13" s="213">
        <v>0</v>
      </c>
      <c r="R13" s="169">
        <f t="shared" si="10"/>
        <v>195956.05</v>
      </c>
      <c r="S13" s="169">
        <v>0</v>
      </c>
      <c r="T13" s="169">
        <v>0</v>
      </c>
      <c r="U13" s="169">
        <v>0</v>
      </c>
      <c r="V13" s="169">
        <v>0</v>
      </c>
      <c r="W13" s="171">
        <v>0</v>
      </c>
      <c r="X13" s="171">
        <v>0</v>
      </c>
      <c r="Y13" s="249" t="b">
        <f t="shared" si="6"/>
        <v>1</v>
      </c>
      <c r="Z13" s="43">
        <f t="shared" si="7"/>
        <v>0.6</v>
      </c>
      <c r="AA13" s="251" t="b">
        <f t="shared" si="8"/>
        <v>1</v>
      </c>
      <c r="AB13" s="251" t="b">
        <f t="shared" si="9"/>
        <v>1</v>
      </c>
    </row>
    <row r="14" spans="1:28" ht="39.75" customHeight="1">
      <c r="A14" s="156">
        <v>12</v>
      </c>
      <c r="B14" s="178" t="s">
        <v>241</v>
      </c>
      <c r="C14" s="159" t="s">
        <v>53</v>
      </c>
      <c r="D14" s="158" t="s">
        <v>72</v>
      </c>
      <c r="E14" s="232">
        <v>1605023</v>
      </c>
      <c r="F14" s="178" t="s">
        <v>60</v>
      </c>
      <c r="G14" s="178" t="s">
        <v>248</v>
      </c>
      <c r="H14" s="158" t="s">
        <v>103</v>
      </c>
      <c r="I14" s="178">
        <v>0.389</v>
      </c>
      <c r="J14" s="226" t="s">
        <v>218</v>
      </c>
      <c r="K14" s="227">
        <v>1190749.23</v>
      </c>
      <c r="L14" s="169">
        <f t="shared" si="4"/>
        <v>714449.54</v>
      </c>
      <c r="M14" s="169">
        <f t="shared" si="5"/>
        <v>476299.68999999994</v>
      </c>
      <c r="N14" s="147">
        <v>0.6</v>
      </c>
      <c r="O14" s="169">
        <v>0</v>
      </c>
      <c r="P14" s="169">
        <v>0</v>
      </c>
      <c r="Q14" s="213">
        <v>0</v>
      </c>
      <c r="R14" s="169">
        <f>L14</f>
        <v>714449.54</v>
      </c>
      <c r="S14" s="169">
        <v>0</v>
      </c>
      <c r="T14" s="169">
        <v>0</v>
      </c>
      <c r="U14" s="169">
        <v>0</v>
      </c>
      <c r="V14" s="169">
        <v>0</v>
      </c>
      <c r="W14" s="171">
        <v>0</v>
      </c>
      <c r="X14" s="171">
        <v>0</v>
      </c>
      <c r="Y14" s="249" t="b">
        <f>L14=SUM(O14:X14)</f>
        <v>1</v>
      </c>
      <c r="Z14" s="43">
        <f>ROUND(L14/K14,4)</f>
        <v>0.6</v>
      </c>
      <c r="AA14" s="251" t="b">
        <f>Z14=N14</f>
        <v>1</v>
      </c>
      <c r="AB14" s="251" t="b">
        <f>K14=L14+M14</f>
        <v>1</v>
      </c>
    </row>
    <row r="15" spans="1:28" ht="39.75" customHeight="1">
      <c r="A15" s="156">
        <v>13</v>
      </c>
      <c r="B15" s="178" t="s">
        <v>251</v>
      </c>
      <c r="C15" s="159" t="s">
        <v>53</v>
      </c>
      <c r="D15" s="158" t="s">
        <v>92</v>
      </c>
      <c r="E15" s="232">
        <v>1608052</v>
      </c>
      <c r="F15" s="178" t="s">
        <v>57</v>
      </c>
      <c r="G15" s="178" t="s">
        <v>262</v>
      </c>
      <c r="H15" s="158" t="s">
        <v>47</v>
      </c>
      <c r="I15" s="178">
        <v>2.266</v>
      </c>
      <c r="J15" s="226" t="s">
        <v>273</v>
      </c>
      <c r="K15" s="227">
        <v>4444564.28</v>
      </c>
      <c r="L15" s="169">
        <f t="shared" si="4"/>
        <v>2666738.57</v>
      </c>
      <c r="M15" s="169">
        <f t="shared" si="5"/>
        <v>1777825.7100000004</v>
      </c>
      <c r="N15" s="147">
        <v>0.6</v>
      </c>
      <c r="O15" s="169">
        <v>0</v>
      </c>
      <c r="P15" s="169">
        <v>0</v>
      </c>
      <c r="Q15" s="213">
        <v>0</v>
      </c>
      <c r="R15" s="169">
        <f>L15</f>
        <v>2666738.57</v>
      </c>
      <c r="S15" s="169">
        <v>0</v>
      </c>
      <c r="T15" s="169">
        <v>0</v>
      </c>
      <c r="U15" s="169">
        <v>0</v>
      </c>
      <c r="V15" s="169">
        <v>0</v>
      </c>
      <c r="W15" s="171">
        <v>0</v>
      </c>
      <c r="X15" s="171">
        <v>0</v>
      </c>
      <c r="Y15" s="249" t="b">
        <f>L15=SUM(O15:X15)</f>
        <v>1</v>
      </c>
      <c r="Z15" s="43">
        <f>ROUND(L15/K15,4)</f>
        <v>0.6</v>
      </c>
      <c r="AA15" s="251" t="b">
        <f>Z15=N15</f>
        <v>1</v>
      </c>
      <c r="AB15" s="251" t="b">
        <f>K15=L15+M15</f>
        <v>1</v>
      </c>
    </row>
    <row r="16" spans="1:28" ht="39.75" customHeight="1">
      <c r="A16" s="156">
        <v>14</v>
      </c>
      <c r="B16" s="178" t="s">
        <v>240</v>
      </c>
      <c r="C16" s="159" t="s">
        <v>53</v>
      </c>
      <c r="D16" s="158" t="s">
        <v>69</v>
      </c>
      <c r="E16" s="232">
        <v>1606032</v>
      </c>
      <c r="F16" s="178" t="s">
        <v>59</v>
      </c>
      <c r="G16" s="178" t="s">
        <v>247</v>
      </c>
      <c r="H16" s="158" t="s">
        <v>104</v>
      </c>
      <c r="I16" s="178">
        <v>0.257</v>
      </c>
      <c r="J16" s="226" t="s">
        <v>181</v>
      </c>
      <c r="K16" s="227">
        <v>89362.1</v>
      </c>
      <c r="L16" s="169">
        <f t="shared" si="4"/>
        <v>53617.26</v>
      </c>
      <c r="M16" s="169">
        <f t="shared" si="5"/>
        <v>35744.840000000004</v>
      </c>
      <c r="N16" s="147">
        <v>0.6</v>
      </c>
      <c r="O16" s="169">
        <v>0</v>
      </c>
      <c r="P16" s="169">
        <v>0</v>
      </c>
      <c r="Q16" s="213">
        <v>0</v>
      </c>
      <c r="R16" s="169">
        <f t="shared" si="10"/>
        <v>53617.26</v>
      </c>
      <c r="S16" s="169">
        <v>0</v>
      </c>
      <c r="T16" s="169">
        <v>0</v>
      </c>
      <c r="U16" s="169">
        <v>0</v>
      </c>
      <c r="V16" s="169">
        <v>0</v>
      </c>
      <c r="W16" s="171">
        <v>0</v>
      </c>
      <c r="X16" s="171">
        <v>0</v>
      </c>
      <c r="Y16" s="249" t="b">
        <f t="shared" si="6"/>
        <v>1</v>
      </c>
      <c r="Z16" s="43">
        <f t="shared" si="7"/>
        <v>0.6</v>
      </c>
      <c r="AA16" s="251" t="b">
        <f t="shared" si="8"/>
        <v>1</v>
      </c>
      <c r="AB16" s="251" t="b">
        <f t="shared" si="9"/>
        <v>1</v>
      </c>
    </row>
    <row r="17" spans="1:28" ht="39.75" customHeight="1">
      <c r="A17" s="156">
        <v>15</v>
      </c>
      <c r="B17" s="178" t="s">
        <v>253</v>
      </c>
      <c r="C17" s="159" t="s">
        <v>53</v>
      </c>
      <c r="D17" s="158" t="s">
        <v>95</v>
      </c>
      <c r="E17" s="232">
        <v>1611022</v>
      </c>
      <c r="F17" s="178" t="s">
        <v>58</v>
      </c>
      <c r="G17" s="178" t="s">
        <v>101</v>
      </c>
      <c r="H17" s="158" t="s">
        <v>104</v>
      </c>
      <c r="I17" s="178">
        <v>0.841</v>
      </c>
      <c r="J17" s="226" t="s">
        <v>217</v>
      </c>
      <c r="K17" s="227">
        <v>509809.71</v>
      </c>
      <c r="L17" s="169">
        <f t="shared" si="4"/>
        <v>356866.8</v>
      </c>
      <c r="M17" s="169">
        <f t="shared" si="5"/>
        <v>152942.91000000003</v>
      </c>
      <c r="N17" s="147">
        <v>0.7</v>
      </c>
      <c r="O17" s="169">
        <v>0</v>
      </c>
      <c r="P17" s="169">
        <v>0</v>
      </c>
      <c r="Q17" s="213">
        <v>0</v>
      </c>
      <c r="R17" s="169">
        <f>L17</f>
        <v>356866.8</v>
      </c>
      <c r="S17" s="169">
        <v>0</v>
      </c>
      <c r="T17" s="169">
        <v>0</v>
      </c>
      <c r="U17" s="169">
        <v>0</v>
      </c>
      <c r="V17" s="169">
        <v>0</v>
      </c>
      <c r="W17" s="171">
        <v>0</v>
      </c>
      <c r="X17" s="171">
        <v>0</v>
      </c>
      <c r="Y17" s="249" t="b">
        <f>L17=SUM(O17:X17)</f>
        <v>1</v>
      </c>
      <c r="Z17" s="43">
        <f>ROUND(L17/K17,4)</f>
        <v>0.7</v>
      </c>
      <c r="AA17" s="251" t="b">
        <f>Z17=N17</f>
        <v>1</v>
      </c>
      <c r="AB17" s="251" t="b">
        <f>K17=L17+M17</f>
        <v>1</v>
      </c>
    </row>
    <row r="18" spans="1:28" ht="39.75" customHeight="1">
      <c r="A18" s="223">
        <v>16</v>
      </c>
      <c r="B18" s="145" t="s">
        <v>339</v>
      </c>
      <c r="C18" s="160" t="s">
        <v>80</v>
      </c>
      <c r="D18" s="145" t="s">
        <v>302</v>
      </c>
      <c r="E18" s="145">
        <v>1609062</v>
      </c>
      <c r="F18" s="145" t="s">
        <v>161</v>
      </c>
      <c r="G18" s="145" t="s">
        <v>340</v>
      </c>
      <c r="H18" s="145" t="s">
        <v>47</v>
      </c>
      <c r="I18" s="145">
        <v>0.967</v>
      </c>
      <c r="J18" s="177" t="s">
        <v>318</v>
      </c>
      <c r="K18" s="176">
        <v>1190603.35</v>
      </c>
      <c r="L18" s="170">
        <f t="shared" si="4"/>
        <v>714362.01</v>
      </c>
      <c r="M18" s="170">
        <f t="shared" si="5"/>
        <v>476241.3400000001</v>
      </c>
      <c r="N18" s="161">
        <v>0.6</v>
      </c>
      <c r="O18" s="170">
        <v>0</v>
      </c>
      <c r="P18" s="170">
        <v>0</v>
      </c>
      <c r="Q18" s="177">
        <v>0</v>
      </c>
      <c r="R18" s="170">
        <f>ROUND(N18*850,2)</f>
        <v>510</v>
      </c>
      <c r="S18" s="170">
        <f>L18-R18</f>
        <v>713852.01</v>
      </c>
      <c r="T18" s="170">
        <v>0</v>
      </c>
      <c r="U18" s="170">
        <v>0</v>
      </c>
      <c r="V18" s="170">
        <v>0</v>
      </c>
      <c r="W18" s="176">
        <v>0</v>
      </c>
      <c r="X18" s="176">
        <v>0</v>
      </c>
      <c r="Y18" s="249" t="b">
        <f aca="true" t="shared" si="11" ref="Y18:Y50">L18=SUM(O18:X18)</f>
        <v>1</v>
      </c>
      <c r="Z18" s="43">
        <f aca="true" t="shared" si="12" ref="Z18:Z50">ROUND(L18/K18,4)</f>
        <v>0.6</v>
      </c>
      <c r="AA18" s="251" t="b">
        <f aca="true" t="shared" si="13" ref="AA18:AA50">Z18=N18</f>
        <v>1</v>
      </c>
      <c r="AB18" s="251" t="b">
        <f aca="true" t="shared" si="14" ref="AB18:AB50">K18=L18+M18</f>
        <v>1</v>
      </c>
    </row>
    <row r="19" spans="1:28" ht="39.75" customHeight="1">
      <c r="A19" s="156">
        <v>17</v>
      </c>
      <c r="B19" s="178" t="s">
        <v>252</v>
      </c>
      <c r="C19" s="159" t="s">
        <v>53</v>
      </c>
      <c r="D19" s="158" t="s">
        <v>69</v>
      </c>
      <c r="E19" s="232">
        <v>1606032</v>
      </c>
      <c r="F19" s="178" t="s">
        <v>59</v>
      </c>
      <c r="G19" s="178" t="s">
        <v>263</v>
      </c>
      <c r="H19" s="158" t="s">
        <v>104</v>
      </c>
      <c r="I19" s="178">
        <v>1.136</v>
      </c>
      <c r="J19" s="226" t="s">
        <v>181</v>
      </c>
      <c r="K19" s="227">
        <v>326917.3</v>
      </c>
      <c r="L19" s="169">
        <f t="shared" si="4"/>
        <v>196150.38</v>
      </c>
      <c r="M19" s="169">
        <f t="shared" si="5"/>
        <v>130766.91999999998</v>
      </c>
      <c r="N19" s="147">
        <v>0.6</v>
      </c>
      <c r="O19" s="169">
        <v>0</v>
      </c>
      <c r="P19" s="169">
        <v>0</v>
      </c>
      <c r="Q19" s="213">
        <v>0</v>
      </c>
      <c r="R19" s="169">
        <f t="shared" si="10"/>
        <v>196150.38</v>
      </c>
      <c r="S19" s="169">
        <v>0</v>
      </c>
      <c r="T19" s="169">
        <v>0</v>
      </c>
      <c r="U19" s="169">
        <v>0</v>
      </c>
      <c r="V19" s="169">
        <v>0</v>
      </c>
      <c r="W19" s="171">
        <v>0</v>
      </c>
      <c r="X19" s="171">
        <v>0</v>
      </c>
      <c r="Y19" s="249" t="b">
        <f t="shared" si="11"/>
        <v>1</v>
      </c>
      <c r="Z19" s="43">
        <f t="shared" si="12"/>
        <v>0.6</v>
      </c>
      <c r="AA19" s="251" t="b">
        <f t="shared" si="13"/>
        <v>1</v>
      </c>
      <c r="AB19" s="251" t="b">
        <f t="shared" si="14"/>
        <v>1</v>
      </c>
    </row>
    <row r="20" spans="1:28" ht="39.75" customHeight="1">
      <c r="A20" s="156">
        <v>18</v>
      </c>
      <c r="B20" s="178" t="s">
        <v>255</v>
      </c>
      <c r="C20" s="159" t="s">
        <v>53</v>
      </c>
      <c r="D20" s="158" t="s">
        <v>68</v>
      </c>
      <c r="E20" s="232">
        <v>1608013</v>
      </c>
      <c r="F20" s="178" t="s">
        <v>57</v>
      </c>
      <c r="G20" s="178" t="s">
        <v>266</v>
      </c>
      <c r="H20" s="158" t="s">
        <v>103</v>
      </c>
      <c r="I20" s="178">
        <v>0.299</v>
      </c>
      <c r="J20" s="226" t="s">
        <v>217</v>
      </c>
      <c r="K20" s="227">
        <v>1724830.91</v>
      </c>
      <c r="L20" s="169">
        <f t="shared" si="4"/>
        <v>1034898.55</v>
      </c>
      <c r="M20" s="169">
        <f t="shared" si="5"/>
        <v>689932.3599999999</v>
      </c>
      <c r="N20" s="147">
        <v>0.6</v>
      </c>
      <c r="O20" s="169">
        <v>0</v>
      </c>
      <c r="P20" s="169">
        <v>0</v>
      </c>
      <c r="Q20" s="213">
        <v>0</v>
      </c>
      <c r="R20" s="169">
        <f>L20</f>
        <v>1034898.55</v>
      </c>
      <c r="S20" s="169">
        <v>0</v>
      </c>
      <c r="T20" s="169">
        <v>0</v>
      </c>
      <c r="U20" s="169">
        <v>0</v>
      </c>
      <c r="V20" s="169">
        <v>0</v>
      </c>
      <c r="W20" s="171">
        <v>0</v>
      </c>
      <c r="X20" s="171">
        <v>0</v>
      </c>
      <c r="Y20" s="249" t="b">
        <f t="shared" si="11"/>
        <v>1</v>
      </c>
      <c r="Z20" s="43">
        <f t="shared" si="12"/>
        <v>0.6</v>
      </c>
      <c r="AA20" s="251" t="b">
        <f t="shared" si="13"/>
        <v>1</v>
      </c>
      <c r="AB20" s="251" t="b">
        <f t="shared" si="14"/>
        <v>1</v>
      </c>
    </row>
    <row r="21" spans="1:28" ht="39.75" customHeight="1">
      <c r="A21" s="223">
        <v>19</v>
      </c>
      <c r="B21" s="145" t="s">
        <v>254</v>
      </c>
      <c r="C21" s="160" t="s">
        <v>80</v>
      </c>
      <c r="D21" s="145" t="s">
        <v>264</v>
      </c>
      <c r="E21" s="231">
        <v>1607022</v>
      </c>
      <c r="F21" s="145" t="s">
        <v>46</v>
      </c>
      <c r="G21" s="145" t="s">
        <v>265</v>
      </c>
      <c r="H21" s="158" t="s">
        <v>47</v>
      </c>
      <c r="I21" s="145">
        <v>1.645</v>
      </c>
      <c r="J21" s="177" t="s">
        <v>320</v>
      </c>
      <c r="K21" s="177">
        <v>7322678.91</v>
      </c>
      <c r="L21" s="170">
        <f t="shared" si="4"/>
        <v>4393607.35</v>
      </c>
      <c r="M21" s="170">
        <f t="shared" si="5"/>
        <v>2929071.5600000005</v>
      </c>
      <c r="N21" s="161">
        <v>0.6</v>
      </c>
      <c r="O21" s="170">
        <v>0</v>
      </c>
      <c r="P21" s="170">
        <v>0</v>
      </c>
      <c r="Q21" s="177">
        <v>0</v>
      </c>
      <c r="R21" s="170">
        <f>ROUND(N21*3662339.45,2)</f>
        <v>2197403.67</v>
      </c>
      <c r="S21" s="170">
        <f>L21-R21</f>
        <v>2196203.6799999997</v>
      </c>
      <c r="T21" s="170">
        <v>0</v>
      </c>
      <c r="U21" s="170">
        <v>0</v>
      </c>
      <c r="V21" s="170">
        <v>0</v>
      </c>
      <c r="W21" s="176">
        <v>0</v>
      </c>
      <c r="X21" s="176">
        <v>0</v>
      </c>
      <c r="Y21" s="249" t="b">
        <f t="shared" si="11"/>
        <v>1</v>
      </c>
      <c r="Z21" s="43">
        <f t="shared" si="12"/>
        <v>0.6</v>
      </c>
      <c r="AA21" s="251" t="b">
        <f t="shared" si="13"/>
        <v>1</v>
      </c>
      <c r="AB21" s="251" t="b">
        <f t="shared" si="14"/>
        <v>1</v>
      </c>
    </row>
    <row r="22" spans="1:28" ht="39.75" customHeight="1">
      <c r="A22" s="156">
        <v>20</v>
      </c>
      <c r="B22" s="178" t="s">
        <v>256</v>
      </c>
      <c r="C22" s="159" t="s">
        <v>53</v>
      </c>
      <c r="D22" s="158" t="s">
        <v>73</v>
      </c>
      <c r="E22" s="232">
        <v>1607092</v>
      </c>
      <c r="F22" s="178" t="s">
        <v>46</v>
      </c>
      <c r="G22" s="178" t="s">
        <v>267</v>
      </c>
      <c r="H22" s="158" t="s">
        <v>103</v>
      </c>
      <c r="I22" s="178">
        <v>1.101</v>
      </c>
      <c r="J22" s="226" t="s">
        <v>220</v>
      </c>
      <c r="K22" s="227">
        <v>6379951.64</v>
      </c>
      <c r="L22" s="169">
        <f t="shared" si="4"/>
        <v>3827970.98</v>
      </c>
      <c r="M22" s="169">
        <f t="shared" si="5"/>
        <v>2551980.6599999997</v>
      </c>
      <c r="N22" s="147">
        <v>0.6</v>
      </c>
      <c r="O22" s="169">
        <v>0</v>
      </c>
      <c r="P22" s="169">
        <v>0</v>
      </c>
      <c r="Q22" s="213">
        <v>0</v>
      </c>
      <c r="R22" s="169">
        <f t="shared" si="10"/>
        <v>3827970.98</v>
      </c>
      <c r="S22" s="169">
        <v>0</v>
      </c>
      <c r="T22" s="169">
        <v>0</v>
      </c>
      <c r="U22" s="169">
        <v>0</v>
      </c>
      <c r="V22" s="169">
        <v>0</v>
      </c>
      <c r="W22" s="171">
        <v>0</v>
      </c>
      <c r="X22" s="171">
        <v>0</v>
      </c>
      <c r="Y22" s="249" t="b">
        <f t="shared" si="11"/>
        <v>1</v>
      </c>
      <c r="Z22" s="43">
        <f t="shared" si="12"/>
        <v>0.6</v>
      </c>
      <c r="AA22" s="251" t="b">
        <f t="shared" si="13"/>
        <v>1</v>
      </c>
      <c r="AB22" s="251" t="b">
        <f t="shared" si="14"/>
        <v>1</v>
      </c>
    </row>
    <row r="23" spans="1:28" s="277" customFormat="1" ht="37.5" customHeight="1">
      <c r="A23" s="156">
        <v>21</v>
      </c>
      <c r="B23" s="178" t="s">
        <v>257</v>
      </c>
      <c r="C23" s="159" t="s">
        <v>53</v>
      </c>
      <c r="D23" s="158" t="s">
        <v>76</v>
      </c>
      <c r="E23" s="232">
        <v>1602043</v>
      </c>
      <c r="F23" s="178" t="s">
        <v>78</v>
      </c>
      <c r="G23" s="178" t="s">
        <v>268</v>
      </c>
      <c r="H23" s="158" t="s">
        <v>104</v>
      </c>
      <c r="I23" s="178">
        <v>1.099</v>
      </c>
      <c r="J23" s="226" t="s">
        <v>217</v>
      </c>
      <c r="K23" s="227">
        <v>1539394.08</v>
      </c>
      <c r="L23" s="169">
        <f>ROUNDDOWN(K23*N23,2)</f>
        <v>1231515.26</v>
      </c>
      <c r="M23" s="169">
        <f t="shared" si="5"/>
        <v>307878.82000000007</v>
      </c>
      <c r="N23" s="147">
        <v>0.8</v>
      </c>
      <c r="O23" s="169">
        <v>0</v>
      </c>
      <c r="P23" s="169">
        <v>0</v>
      </c>
      <c r="Q23" s="213">
        <v>0</v>
      </c>
      <c r="R23" s="169">
        <f t="shared" si="10"/>
        <v>1231515.26</v>
      </c>
      <c r="S23" s="169">
        <v>0</v>
      </c>
      <c r="T23" s="169">
        <v>0</v>
      </c>
      <c r="U23" s="169">
        <v>0</v>
      </c>
      <c r="V23" s="169">
        <v>0</v>
      </c>
      <c r="W23" s="171">
        <v>0</v>
      </c>
      <c r="X23" s="171">
        <v>0</v>
      </c>
      <c r="Y23" s="271" t="b">
        <f t="shared" si="11"/>
        <v>1</v>
      </c>
      <c r="Z23" s="272">
        <f t="shared" si="12"/>
        <v>0.8</v>
      </c>
      <c r="AA23" s="273" t="b">
        <f t="shared" si="13"/>
        <v>1</v>
      </c>
      <c r="AB23" s="273" t="b">
        <f t="shared" si="14"/>
        <v>1</v>
      </c>
    </row>
    <row r="24" spans="1:28" ht="39.75" customHeight="1">
      <c r="A24" s="223">
        <v>22</v>
      </c>
      <c r="B24" s="145" t="s">
        <v>279</v>
      </c>
      <c r="C24" s="160" t="s">
        <v>80</v>
      </c>
      <c r="D24" s="145" t="s">
        <v>74</v>
      </c>
      <c r="E24" s="231">
        <v>1606023</v>
      </c>
      <c r="F24" s="145" t="s">
        <v>160</v>
      </c>
      <c r="G24" s="145" t="s">
        <v>299</v>
      </c>
      <c r="H24" s="158" t="s">
        <v>47</v>
      </c>
      <c r="I24" s="145">
        <v>0.778</v>
      </c>
      <c r="J24" s="177" t="s">
        <v>182</v>
      </c>
      <c r="K24" s="176">
        <v>1459857.9</v>
      </c>
      <c r="L24" s="170">
        <f t="shared" si="4"/>
        <v>875914.74</v>
      </c>
      <c r="M24" s="170">
        <f t="shared" si="5"/>
        <v>583943.1599999999</v>
      </c>
      <c r="N24" s="161">
        <v>0.6</v>
      </c>
      <c r="O24" s="170">
        <v>0</v>
      </c>
      <c r="P24" s="170">
        <v>0</v>
      </c>
      <c r="Q24" s="177">
        <v>0</v>
      </c>
      <c r="R24" s="170">
        <f>ROUND(N24*731928.95,2)</f>
        <v>439157.37</v>
      </c>
      <c r="S24" s="170">
        <f>L24-R24</f>
        <v>436757.37</v>
      </c>
      <c r="T24" s="170">
        <v>0</v>
      </c>
      <c r="U24" s="170">
        <v>0</v>
      </c>
      <c r="V24" s="170">
        <v>0</v>
      </c>
      <c r="W24" s="176">
        <v>0</v>
      </c>
      <c r="X24" s="176">
        <v>0</v>
      </c>
      <c r="Y24" s="249" t="b">
        <f t="shared" si="11"/>
        <v>1</v>
      </c>
      <c r="Z24" s="43">
        <f t="shared" si="12"/>
        <v>0.6</v>
      </c>
      <c r="AA24" s="251" t="b">
        <f t="shared" si="13"/>
        <v>1</v>
      </c>
      <c r="AB24" s="251" t="b">
        <f t="shared" si="14"/>
        <v>1</v>
      </c>
    </row>
    <row r="25" spans="1:28" ht="39.75" customHeight="1">
      <c r="A25" s="156">
        <v>23</v>
      </c>
      <c r="B25" s="178" t="s">
        <v>260</v>
      </c>
      <c r="C25" s="159" t="s">
        <v>53</v>
      </c>
      <c r="D25" s="158" t="s">
        <v>62</v>
      </c>
      <c r="E25" s="232">
        <v>1610043</v>
      </c>
      <c r="F25" s="178" t="s">
        <v>50</v>
      </c>
      <c r="G25" s="178" t="s">
        <v>271</v>
      </c>
      <c r="H25" s="158" t="s">
        <v>103</v>
      </c>
      <c r="I25" s="178">
        <v>0.236</v>
      </c>
      <c r="J25" s="226" t="s">
        <v>220</v>
      </c>
      <c r="K25" s="227">
        <v>642373.95</v>
      </c>
      <c r="L25" s="169">
        <f t="shared" si="4"/>
        <v>513899.16</v>
      </c>
      <c r="M25" s="169">
        <f t="shared" si="5"/>
        <v>128474.78999999998</v>
      </c>
      <c r="N25" s="147">
        <v>0.8</v>
      </c>
      <c r="O25" s="169">
        <v>0</v>
      </c>
      <c r="P25" s="169">
        <v>0</v>
      </c>
      <c r="Q25" s="213">
        <v>0</v>
      </c>
      <c r="R25" s="169">
        <f>L25</f>
        <v>513899.16</v>
      </c>
      <c r="S25" s="169">
        <v>0</v>
      </c>
      <c r="T25" s="169">
        <v>0</v>
      </c>
      <c r="U25" s="169">
        <v>0</v>
      </c>
      <c r="V25" s="169">
        <v>0</v>
      </c>
      <c r="W25" s="171">
        <v>0</v>
      </c>
      <c r="X25" s="171">
        <v>0</v>
      </c>
      <c r="Y25" s="249" t="b">
        <f t="shared" si="11"/>
        <v>1</v>
      </c>
      <c r="Z25" s="43">
        <f t="shared" si="12"/>
        <v>0.8</v>
      </c>
      <c r="AA25" s="251" t="b">
        <f t="shared" si="13"/>
        <v>1</v>
      </c>
      <c r="AB25" s="251" t="b">
        <f t="shared" si="14"/>
        <v>1</v>
      </c>
    </row>
    <row r="26" spans="1:28" ht="39.75" customHeight="1">
      <c r="A26" s="156">
        <v>24</v>
      </c>
      <c r="B26" s="178" t="s">
        <v>278</v>
      </c>
      <c r="C26" s="159" t="s">
        <v>53</v>
      </c>
      <c r="D26" s="158" t="s">
        <v>55</v>
      </c>
      <c r="E26" s="178">
        <v>1609052</v>
      </c>
      <c r="F26" s="178" t="s">
        <v>161</v>
      </c>
      <c r="G26" s="178" t="s">
        <v>298</v>
      </c>
      <c r="H26" s="178" t="s">
        <v>47</v>
      </c>
      <c r="I26" s="158">
        <v>0.304</v>
      </c>
      <c r="J26" s="226" t="s">
        <v>181</v>
      </c>
      <c r="K26" s="227">
        <v>815267.75</v>
      </c>
      <c r="L26" s="169">
        <f t="shared" si="4"/>
        <v>570687.43</v>
      </c>
      <c r="M26" s="169">
        <f t="shared" si="5"/>
        <v>244580.31999999995</v>
      </c>
      <c r="N26" s="147">
        <v>0.7</v>
      </c>
      <c r="O26" s="169">
        <v>0</v>
      </c>
      <c r="P26" s="169">
        <v>0</v>
      </c>
      <c r="Q26" s="213">
        <v>0</v>
      </c>
      <c r="R26" s="169">
        <f>L26</f>
        <v>570687.43</v>
      </c>
      <c r="S26" s="169">
        <v>0</v>
      </c>
      <c r="T26" s="169">
        <v>0</v>
      </c>
      <c r="U26" s="169">
        <v>0</v>
      </c>
      <c r="V26" s="169">
        <v>0</v>
      </c>
      <c r="W26" s="171">
        <v>0</v>
      </c>
      <c r="X26" s="171">
        <v>0</v>
      </c>
      <c r="Y26" s="249" t="b">
        <f t="shared" si="11"/>
        <v>1</v>
      </c>
      <c r="Z26" s="43">
        <f t="shared" si="12"/>
        <v>0.7</v>
      </c>
      <c r="AA26" s="251" t="b">
        <f t="shared" si="13"/>
        <v>1</v>
      </c>
      <c r="AB26" s="251" t="b">
        <f t="shared" si="14"/>
        <v>1</v>
      </c>
    </row>
    <row r="27" spans="1:28" ht="39.75" customHeight="1">
      <c r="A27" s="223">
        <v>25</v>
      </c>
      <c r="B27" s="145" t="s">
        <v>261</v>
      </c>
      <c r="C27" s="160" t="s">
        <v>80</v>
      </c>
      <c r="D27" s="145" t="s">
        <v>74</v>
      </c>
      <c r="E27" s="231">
        <v>1606023</v>
      </c>
      <c r="F27" s="145" t="s">
        <v>59</v>
      </c>
      <c r="G27" s="145" t="s">
        <v>272</v>
      </c>
      <c r="H27" s="145" t="s">
        <v>103</v>
      </c>
      <c r="I27" s="145">
        <v>0.888</v>
      </c>
      <c r="J27" s="177" t="s">
        <v>182</v>
      </c>
      <c r="K27" s="176">
        <v>1844088.02</v>
      </c>
      <c r="L27" s="170">
        <f t="shared" si="4"/>
        <v>1106452.81</v>
      </c>
      <c r="M27" s="170">
        <f t="shared" si="5"/>
        <v>737635.21</v>
      </c>
      <c r="N27" s="161">
        <v>0.6</v>
      </c>
      <c r="O27" s="170">
        <v>0</v>
      </c>
      <c r="P27" s="170">
        <v>0</v>
      </c>
      <c r="Q27" s="177">
        <v>0</v>
      </c>
      <c r="R27" s="170">
        <f>ROUND(N27*876282.25,2)</f>
        <v>525769.35</v>
      </c>
      <c r="S27" s="170">
        <f>L27-R27</f>
        <v>580683.4600000001</v>
      </c>
      <c r="T27" s="170">
        <v>0</v>
      </c>
      <c r="U27" s="170">
        <v>0</v>
      </c>
      <c r="V27" s="170">
        <v>0</v>
      </c>
      <c r="W27" s="176">
        <v>0</v>
      </c>
      <c r="X27" s="176">
        <v>0</v>
      </c>
      <c r="Y27" s="249" t="b">
        <f t="shared" si="11"/>
        <v>1</v>
      </c>
      <c r="Z27" s="43">
        <f t="shared" si="12"/>
        <v>0.6</v>
      </c>
      <c r="AA27" s="251" t="b">
        <f t="shared" si="13"/>
        <v>1</v>
      </c>
      <c r="AB27" s="251" t="b">
        <f t="shared" si="14"/>
        <v>1</v>
      </c>
    </row>
    <row r="28" spans="1:28" ht="39.75" customHeight="1">
      <c r="A28" s="156">
        <v>26</v>
      </c>
      <c r="B28" s="178" t="s">
        <v>259</v>
      </c>
      <c r="C28" s="159" t="s">
        <v>53</v>
      </c>
      <c r="D28" s="158" t="s">
        <v>67</v>
      </c>
      <c r="E28" s="232">
        <v>1603062</v>
      </c>
      <c r="F28" s="178" t="s">
        <v>61</v>
      </c>
      <c r="G28" s="178" t="s">
        <v>270</v>
      </c>
      <c r="H28" s="158" t="s">
        <v>104</v>
      </c>
      <c r="I28" s="178">
        <v>0.399</v>
      </c>
      <c r="J28" s="226" t="s">
        <v>250</v>
      </c>
      <c r="K28" s="227">
        <v>150149.49</v>
      </c>
      <c r="L28" s="169">
        <f t="shared" si="4"/>
        <v>105104.64</v>
      </c>
      <c r="M28" s="169">
        <f t="shared" si="5"/>
        <v>45044.84999999999</v>
      </c>
      <c r="N28" s="147">
        <v>0.7</v>
      </c>
      <c r="O28" s="169">
        <v>0</v>
      </c>
      <c r="P28" s="169">
        <v>0</v>
      </c>
      <c r="Q28" s="213">
        <v>0</v>
      </c>
      <c r="R28" s="169">
        <f>L28</f>
        <v>105104.64</v>
      </c>
      <c r="S28" s="169">
        <v>0</v>
      </c>
      <c r="T28" s="169">
        <v>0</v>
      </c>
      <c r="U28" s="169">
        <v>0</v>
      </c>
      <c r="V28" s="169">
        <v>0</v>
      </c>
      <c r="W28" s="171">
        <v>0</v>
      </c>
      <c r="X28" s="171">
        <v>0</v>
      </c>
      <c r="Y28" s="249" t="b">
        <f t="shared" si="11"/>
        <v>1</v>
      </c>
      <c r="Z28" s="43">
        <f t="shared" si="12"/>
        <v>0.7</v>
      </c>
      <c r="AA28" s="251" t="b">
        <f t="shared" si="13"/>
        <v>1</v>
      </c>
      <c r="AB28" s="251" t="b">
        <f t="shared" si="14"/>
        <v>1</v>
      </c>
    </row>
    <row r="29" spans="1:28" ht="39.75" customHeight="1">
      <c r="A29" s="156">
        <v>27</v>
      </c>
      <c r="B29" s="178" t="s">
        <v>258</v>
      </c>
      <c r="C29" s="159" t="s">
        <v>53</v>
      </c>
      <c r="D29" s="158" t="s">
        <v>77</v>
      </c>
      <c r="E29" s="232">
        <v>1604023</v>
      </c>
      <c r="F29" s="178" t="s">
        <v>79</v>
      </c>
      <c r="G29" s="178" t="s">
        <v>269</v>
      </c>
      <c r="H29" s="158" t="s">
        <v>104</v>
      </c>
      <c r="I29" s="178">
        <v>0.339</v>
      </c>
      <c r="J29" s="226" t="s">
        <v>250</v>
      </c>
      <c r="K29" s="227">
        <v>1011953.13</v>
      </c>
      <c r="L29" s="169">
        <f t="shared" si="4"/>
        <v>708367.19</v>
      </c>
      <c r="M29" s="169">
        <f t="shared" si="5"/>
        <v>303585.94000000006</v>
      </c>
      <c r="N29" s="147">
        <v>0.7</v>
      </c>
      <c r="O29" s="169">
        <v>0</v>
      </c>
      <c r="P29" s="169">
        <v>0</v>
      </c>
      <c r="Q29" s="213">
        <v>0</v>
      </c>
      <c r="R29" s="169">
        <f t="shared" si="10"/>
        <v>708367.19</v>
      </c>
      <c r="S29" s="169">
        <v>0</v>
      </c>
      <c r="T29" s="169">
        <v>0</v>
      </c>
      <c r="U29" s="169">
        <v>0</v>
      </c>
      <c r="V29" s="169">
        <v>0</v>
      </c>
      <c r="W29" s="171">
        <v>0</v>
      </c>
      <c r="X29" s="171">
        <v>0</v>
      </c>
      <c r="Y29" s="249" t="b">
        <f t="shared" si="11"/>
        <v>1</v>
      </c>
      <c r="Z29" s="43">
        <f t="shared" si="12"/>
        <v>0.7</v>
      </c>
      <c r="AA29" s="251" t="b">
        <f t="shared" si="13"/>
        <v>1</v>
      </c>
      <c r="AB29" s="251" t="b">
        <f t="shared" si="14"/>
        <v>1</v>
      </c>
    </row>
    <row r="30" spans="1:28" ht="38.25" customHeight="1">
      <c r="A30" s="156">
        <v>28</v>
      </c>
      <c r="B30" s="178" t="s">
        <v>274</v>
      </c>
      <c r="C30" s="159" t="s">
        <v>53</v>
      </c>
      <c r="D30" s="158" t="s">
        <v>95</v>
      </c>
      <c r="E30" s="178">
        <v>1611022</v>
      </c>
      <c r="F30" s="178" t="s">
        <v>58</v>
      </c>
      <c r="G30" s="178" t="s">
        <v>294</v>
      </c>
      <c r="H30" s="158" t="s">
        <v>47</v>
      </c>
      <c r="I30" s="158">
        <v>0.119</v>
      </c>
      <c r="J30" s="172" t="s">
        <v>217</v>
      </c>
      <c r="K30" s="171">
        <v>426841.89</v>
      </c>
      <c r="L30" s="169">
        <f t="shared" si="4"/>
        <v>298789.32</v>
      </c>
      <c r="M30" s="169">
        <f t="shared" si="5"/>
        <v>128052.57</v>
      </c>
      <c r="N30" s="147">
        <v>0.7</v>
      </c>
      <c r="O30" s="169">
        <v>0</v>
      </c>
      <c r="P30" s="169">
        <v>0</v>
      </c>
      <c r="Q30" s="172">
        <v>0</v>
      </c>
      <c r="R30" s="169">
        <f>L30</f>
        <v>298789.32</v>
      </c>
      <c r="S30" s="169">
        <v>0</v>
      </c>
      <c r="T30" s="169">
        <v>0</v>
      </c>
      <c r="U30" s="169">
        <v>0</v>
      </c>
      <c r="V30" s="169">
        <v>0</v>
      </c>
      <c r="W30" s="171">
        <v>0</v>
      </c>
      <c r="X30" s="171">
        <v>0</v>
      </c>
      <c r="Y30" s="249" t="b">
        <f t="shared" si="11"/>
        <v>1</v>
      </c>
      <c r="Z30" s="43">
        <f t="shared" si="12"/>
        <v>0.7</v>
      </c>
      <c r="AA30" s="251" t="b">
        <f t="shared" si="13"/>
        <v>1</v>
      </c>
      <c r="AB30" s="251" t="b">
        <f t="shared" si="14"/>
        <v>1</v>
      </c>
    </row>
    <row r="31" spans="1:28" ht="39.75" customHeight="1">
      <c r="A31" s="156">
        <v>29</v>
      </c>
      <c r="B31" s="178" t="s">
        <v>275</v>
      </c>
      <c r="C31" s="159" t="s">
        <v>53</v>
      </c>
      <c r="D31" s="158" t="s">
        <v>242</v>
      </c>
      <c r="E31" s="178">
        <v>1605042</v>
      </c>
      <c r="F31" s="178" t="s">
        <v>60</v>
      </c>
      <c r="G31" s="178" t="s">
        <v>295</v>
      </c>
      <c r="H31" s="158" t="s">
        <v>104</v>
      </c>
      <c r="I31" s="158">
        <v>0.459</v>
      </c>
      <c r="J31" s="172" t="s">
        <v>177</v>
      </c>
      <c r="K31" s="171">
        <v>279184.74</v>
      </c>
      <c r="L31" s="169">
        <f t="shared" si="4"/>
        <v>167510.84</v>
      </c>
      <c r="M31" s="169">
        <f t="shared" si="5"/>
        <v>111673.9</v>
      </c>
      <c r="N31" s="147">
        <v>0.6</v>
      </c>
      <c r="O31" s="169">
        <v>0</v>
      </c>
      <c r="P31" s="169">
        <v>0</v>
      </c>
      <c r="Q31" s="172">
        <v>0</v>
      </c>
      <c r="R31" s="169">
        <f t="shared" si="10"/>
        <v>167510.84</v>
      </c>
      <c r="S31" s="169">
        <v>0</v>
      </c>
      <c r="T31" s="169">
        <v>0</v>
      </c>
      <c r="U31" s="169">
        <v>0</v>
      </c>
      <c r="V31" s="169">
        <v>0</v>
      </c>
      <c r="W31" s="171">
        <v>0</v>
      </c>
      <c r="X31" s="171">
        <v>0</v>
      </c>
      <c r="Y31" s="249" t="b">
        <f t="shared" si="11"/>
        <v>1</v>
      </c>
      <c r="Z31" s="43">
        <f t="shared" si="12"/>
        <v>0.6</v>
      </c>
      <c r="AA31" s="251" t="b">
        <f t="shared" si="13"/>
        <v>1</v>
      </c>
      <c r="AB31" s="251" t="b">
        <f t="shared" si="14"/>
        <v>1</v>
      </c>
    </row>
    <row r="32" spans="1:28" ht="39.75" customHeight="1">
      <c r="A32" s="156">
        <v>30</v>
      </c>
      <c r="B32" s="178" t="s">
        <v>276</v>
      </c>
      <c r="C32" s="159" t="s">
        <v>53</v>
      </c>
      <c r="D32" s="178" t="s">
        <v>88</v>
      </c>
      <c r="E32" s="178">
        <v>1608033</v>
      </c>
      <c r="F32" s="178" t="s">
        <v>57</v>
      </c>
      <c r="G32" s="178" t="s">
        <v>296</v>
      </c>
      <c r="H32" s="158" t="s">
        <v>47</v>
      </c>
      <c r="I32" s="158">
        <v>0.764</v>
      </c>
      <c r="J32" s="172" t="s">
        <v>315</v>
      </c>
      <c r="K32" s="171">
        <v>781910.1</v>
      </c>
      <c r="L32" s="169">
        <f t="shared" si="4"/>
        <v>469146.06</v>
      </c>
      <c r="M32" s="169">
        <f t="shared" si="5"/>
        <v>312764.04</v>
      </c>
      <c r="N32" s="147">
        <v>0.6</v>
      </c>
      <c r="O32" s="169">
        <v>0</v>
      </c>
      <c r="P32" s="169">
        <v>0</v>
      </c>
      <c r="Q32" s="172">
        <v>0</v>
      </c>
      <c r="R32" s="169">
        <f t="shared" si="10"/>
        <v>469146.06</v>
      </c>
      <c r="S32" s="169">
        <v>0</v>
      </c>
      <c r="T32" s="169">
        <v>0</v>
      </c>
      <c r="U32" s="169">
        <v>0</v>
      </c>
      <c r="V32" s="169">
        <v>0</v>
      </c>
      <c r="W32" s="171">
        <v>0</v>
      </c>
      <c r="X32" s="171">
        <v>0</v>
      </c>
      <c r="Y32" s="249" t="b">
        <f t="shared" si="11"/>
        <v>1</v>
      </c>
      <c r="Z32" s="43">
        <f t="shared" si="12"/>
        <v>0.6</v>
      </c>
      <c r="AA32" s="251" t="b">
        <f t="shared" si="13"/>
        <v>1</v>
      </c>
      <c r="AB32" s="251" t="b">
        <f t="shared" si="14"/>
        <v>1</v>
      </c>
    </row>
    <row r="33" spans="1:28" ht="39.75" customHeight="1">
      <c r="A33" s="156">
        <v>31</v>
      </c>
      <c r="B33" s="178" t="s">
        <v>277</v>
      </c>
      <c r="C33" s="159" t="s">
        <v>53</v>
      </c>
      <c r="D33" s="158" t="s">
        <v>76</v>
      </c>
      <c r="E33" s="178">
        <v>1602043</v>
      </c>
      <c r="F33" s="178" t="s">
        <v>78</v>
      </c>
      <c r="G33" s="178" t="s">
        <v>297</v>
      </c>
      <c r="H33" s="158" t="s">
        <v>47</v>
      </c>
      <c r="I33" s="158">
        <v>0.405</v>
      </c>
      <c r="J33" s="172" t="s">
        <v>316</v>
      </c>
      <c r="K33" s="171">
        <v>1242259.85</v>
      </c>
      <c r="L33" s="169">
        <f t="shared" si="4"/>
        <v>745355.91</v>
      </c>
      <c r="M33" s="169">
        <f t="shared" si="5"/>
        <v>496903.94000000006</v>
      </c>
      <c r="N33" s="147">
        <v>0.6</v>
      </c>
      <c r="O33" s="169">
        <v>0</v>
      </c>
      <c r="P33" s="169">
        <v>0</v>
      </c>
      <c r="Q33" s="172">
        <v>0</v>
      </c>
      <c r="R33" s="169">
        <f t="shared" si="10"/>
        <v>745355.91</v>
      </c>
      <c r="S33" s="169">
        <v>0</v>
      </c>
      <c r="T33" s="169">
        <v>0</v>
      </c>
      <c r="U33" s="169">
        <v>0</v>
      </c>
      <c r="V33" s="169">
        <v>0</v>
      </c>
      <c r="W33" s="171">
        <v>0</v>
      </c>
      <c r="X33" s="171">
        <v>0</v>
      </c>
      <c r="Y33" s="249" t="b">
        <f t="shared" si="11"/>
        <v>1</v>
      </c>
      <c r="Z33" s="43">
        <f t="shared" si="12"/>
        <v>0.6</v>
      </c>
      <c r="AA33" s="251" t="b">
        <f t="shared" si="13"/>
        <v>1</v>
      </c>
      <c r="AB33" s="251" t="b">
        <f t="shared" si="14"/>
        <v>1</v>
      </c>
    </row>
    <row r="34" spans="1:28" ht="39.75" customHeight="1">
      <c r="A34" s="156">
        <v>32</v>
      </c>
      <c r="B34" s="178" t="s">
        <v>341</v>
      </c>
      <c r="C34" s="159" t="s">
        <v>53</v>
      </c>
      <c r="D34" s="158" t="s">
        <v>342</v>
      </c>
      <c r="E34" s="178">
        <v>1607063</v>
      </c>
      <c r="F34" s="178" t="s">
        <v>46</v>
      </c>
      <c r="G34" s="178" t="s">
        <v>343</v>
      </c>
      <c r="H34" s="178" t="s">
        <v>47</v>
      </c>
      <c r="I34" s="289">
        <v>0.59</v>
      </c>
      <c r="J34" s="226" t="s">
        <v>344</v>
      </c>
      <c r="K34" s="227">
        <v>497052.71</v>
      </c>
      <c r="L34" s="169">
        <f t="shared" si="4"/>
        <v>347936.9</v>
      </c>
      <c r="M34" s="169">
        <f t="shared" si="5"/>
        <v>149115.81</v>
      </c>
      <c r="N34" s="147">
        <v>0.7</v>
      </c>
      <c r="O34" s="169">
        <v>0</v>
      </c>
      <c r="P34" s="169">
        <v>0</v>
      </c>
      <c r="Q34" s="172">
        <v>0</v>
      </c>
      <c r="R34" s="169">
        <f t="shared" si="10"/>
        <v>347936.9</v>
      </c>
      <c r="S34" s="169">
        <v>0</v>
      </c>
      <c r="T34" s="169">
        <v>0</v>
      </c>
      <c r="U34" s="169">
        <v>0</v>
      </c>
      <c r="V34" s="169">
        <v>0</v>
      </c>
      <c r="W34" s="171">
        <v>0</v>
      </c>
      <c r="X34" s="171">
        <v>0</v>
      </c>
      <c r="Y34" s="249" t="b">
        <f t="shared" si="11"/>
        <v>1</v>
      </c>
      <c r="Z34" s="43">
        <f t="shared" si="12"/>
        <v>0.7</v>
      </c>
      <c r="AA34" s="251" t="b">
        <f t="shared" si="13"/>
        <v>1</v>
      </c>
      <c r="AB34" s="251" t="b">
        <f t="shared" si="14"/>
        <v>1</v>
      </c>
    </row>
    <row r="35" spans="1:28" ht="39.75" customHeight="1">
      <c r="A35" s="156">
        <v>33</v>
      </c>
      <c r="B35" s="178" t="s">
        <v>345</v>
      </c>
      <c r="C35" s="159" t="s">
        <v>53</v>
      </c>
      <c r="D35" s="158" t="s">
        <v>346</v>
      </c>
      <c r="E35" s="178">
        <v>1611073</v>
      </c>
      <c r="F35" s="178" t="s">
        <v>58</v>
      </c>
      <c r="G35" s="178" t="s">
        <v>347</v>
      </c>
      <c r="H35" s="178" t="s">
        <v>104</v>
      </c>
      <c r="I35" s="178">
        <v>0.455</v>
      </c>
      <c r="J35" s="226" t="s">
        <v>134</v>
      </c>
      <c r="K35" s="227">
        <v>1579827.88</v>
      </c>
      <c r="L35" s="169">
        <f t="shared" si="4"/>
        <v>1105879.52</v>
      </c>
      <c r="M35" s="169">
        <f t="shared" si="5"/>
        <v>473948.35999999987</v>
      </c>
      <c r="N35" s="147">
        <v>0.7</v>
      </c>
      <c r="O35" s="169">
        <v>0</v>
      </c>
      <c r="P35" s="169">
        <v>0</v>
      </c>
      <c r="Q35" s="172">
        <v>0</v>
      </c>
      <c r="R35" s="169">
        <f t="shared" si="10"/>
        <v>1105879.52</v>
      </c>
      <c r="S35" s="169">
        <v>0</v>
      </c>
      <c r="T35" s="169">
        <v>0</v>
      </c>
      <c r="U35" s="169">
        <v>0</v>
      </c>
      <c r="V35" s="169">
        <v>0</v>
      </c>
      <c r="W35" s="171">
        <v>0</v>
      </c>
      <c r="X35" s="171">
        <v>0</v>
      </c>
      <c r="Y35" s="249" t="b">
        <f t="shared" si="11"/>
        <v>1</v>
      </c>
      <c r="Z35" s="43">
        <f t="shared" si="12"/>
        <v>0.7</v>
      </c>
      <c r="AA35" s="251" t="b">
        <f t="shared" si="13"/>
        <v>1</v>
      </c>
      <c r="AB35" s="251" t="b">
        <f t="shared" si="14"/>
        <v>1</v>
      </c>
    </row>
    <row r="36" spans="1:28" ht="39.75" customHeight="1">
      <c r="A36" s="156">
        <v>34</v>
      </c>
      <c r="B36" s="178" t="s">
        <v>280</v>
      </c>
      <c r="C36" s="159" t="s">
        <v>53</v>
      </c>
      <c r="D36" s="158" t="s">
        <v>75</v>
      </c>
      <c r="E36" s="178">
        <v>1603042</v>
      </c>
      <c r="F36" s="178" t="s">
        <v>61</v>
      </c>
      <c r="G36" s="178" t="s">
        <v>300</v>
      </c>
      <c r="H36" s="158" t="s">
        <v>47</v>
      </c>
      <c r="I36" s="288">
        <v>1.2</v>
      </c>
      <c r="J36" s="226" t="s">
        <v>218</v>
      </c>
      <c r="K36" s="227">
        <v>674554.05</v>
      </c>
      <c r="L36" s="169">
        <f aca="true" t="shared" si="15" ref="L36:L50">ROUND(K36*N36,2)</f>
        <v>404732.43</v>
      </c>
      <c r="M36" s="169">
        <f aca="true" t="shared" si="16" ref="M36:M50">K36-L36</f>
        <v>269821.62000000005</v>
      </c>
      <c r="N36" s="147">
        <v>0.6</v>
      </c>
      <c r="O36" s="169">
        <v>0</v>
      </c>
      <c r="P36" s="169">
        <v>0</v>
      </c>
      <c r="Q36" s="172">
        <v>0</v>
      </c>
      <c r="R36" s="169">
        <f>L36</f>
        <v>404732.43</v>
      </c>
      <c r="S36" s="169">
        <v>0</v>
      </c>
      <c r="T36" s="169">
        <v>0</v>
      </c>
      <c r="U36" s="169">
        <v>0</v>
      </c>
      <c r="V36" s="169">
        <v>0</v>
      </c>
      <c r="W36" s="171">
        <v>0</v>
      </c>
      <c r="X36" s="171">
        <v>0</v>
      </c>
      <c r="Y36" s="249" t="b">
        <f t="shared" si="11"/>
        <v>1</v>
      </c>
      <c r="Z36" s="43">
        <f t="shared" si="12"/>
        <v>0.6</v>
      </c>
      <c r="AA36" s="251" t="b">
        <f t="shared" si="13"/>
        <v>1</v>
      </c>
      <c r="AB36" s="251" t="b">
        <f t="shared" si="14"/>
        <v>1</v>
      </c>
    </row>
    <row r="37" spans="1:28" ht="39.75" customHeight="1">
      <c r="A37" s="223">
        <v>35</v>
      </c>
      <c r="B37" s="145" t="s">
        <v>282</v>
      </c>
      <c r="C37" s="160" t="s">
        <v>80</v>
      </c>
      <c r="D37" s="145" t="s">
        <v>302</v>
      </c>
      <c r="E37" s="145">
        <v>1609062</v>
      </c>
      <c r="F37" s="145" t="s">
        <v>56</v>
      </c>
      <c r="G37" s="145" t="s">
        <v>303</v>
      </c>
      <c r="H37" s="145" t="s">
        <v>47</v>
      </c>
      <c r="I37" s="145">
        <v>0.752</v>
      </c>
      <c r="J37" s="177" t="s">
        <v>318</v>
      </c>
      <c r="K37" s="176">
        <v>880937.49</v>
      </c>
      <c r="L37" s="170">
        <f t="shared" si="15"/>
        <v>528562.49</v>
      </c>
      <c r="M37" s="170">
        <f t="shared" si="16"/>
        <v>352375</v>
      </c>
      <c r="N37" s="161">
        <v>0.6</v>
      </c>
      <c r="O37" s="170">
        <v>0</v>
      </c>
      <c r="P37" s="170">
        <v>0</v>
      </c>
      <c r="Q37" s="177">
        <v>0</v>
      </c>
      <c r="R37" s="170">
        <f>ROUND(N37*850,2)</f>
        <v>510</v>
      </c>
      <c r="S37" s="170">
        <f>L37-R37</f>
        <v>528052.49</v>
      </c>
      <c r="T37" s="170">
        <v>0</v>
      </c>
      <c r="U37" s="170">
        <v>0</v>
      </c>
      <c r="V37" s="170">
        <v>0</v>
      </c>
      <c r="W37" s="176">
        <v>0</v>
      </c>
      <c r="X37" s="176">
        <v>0</v>
      </c>
      <c r="Y37" s="249" t="b">
        <f t="shared" si="11"/>
        <v>1</v>
      </c>
      <c r="Z37" s="43">
        <f t="shared" si="12"/>
        <v>0.6</v>
      </c>
      <c r="AA37" s="251" t="b">
        <f t="shared" si="13"/>
        <v>1</v>
      </c>
      <c r="AB37" s="251" t="b">
        <f t="shared" si="14"/>
        <v>1</v>
      </c>
    </row>
    <row r="38" spans="1:28" ht="39.75" customHeight="1">
      <c r="A38" s="223">
        <v>36</v>
      </c>
      <c r="B38" s="145" t="s">
        <v>281</v>
      </c>
      <c r="C38" s="160" t="s">
        <v>80</v>
      </c>
      <c r="D38" s="145" t="s">
        <v>95</v>
      </c>
      <c r="E38" s="145">
        <v>1611022</v>
      </c>
      <c r="F38" s="145" t="s">
        <v>58</v>
      </c>
      <c r="G38" s="145" t="s">
        <v>301</v>
      </c>
      <c r="H38" s="145" t="s">
        <v>47</v>
      </c>
      <c r="I38" s="145">
        <v>0.547</v>
      </c>
      <c r="J38" s="177" t="s">
        <v>317</v>
      </c>
      <c r="K38" s="177">
        <v>1770997.69</v>
      </c>
      <c r="L38" s="170">
        <f t="shared" si="15"/>
        <v>1239698.38</v>
      </c>
      <c r="M38" s="170">
        <f t="shared" si="16"/>
        <v>531299.31</v>
      </c>
      <c r="N38" s="161">
        <v>0.7</v>
      </c>
      <c r="O38" s="170">
        <v>0</v>
      </c>
      <c r="P38" s="170">
        <v>0</v>
      </c>
      <c r="Q38" s="177">
        <v>0</v>
      </c>
      <c r="R38" s="170">
        <f>ROUND(N38*435833.55,2)</f>
        <v>305083.49</v>
      </c>
      <c r="S38" s="170">
        <f>L38-R38</f>
        <v>934614.8899999999</v>
      </c>
      <c r="T38" s="170">
        <v>0</v>
      </c>
      <c r="U38" s="170">
        <v>0</v>
      </c>
      <c r="V38" s="170">
        <v>0</v>
      </c>
      <c r="W38" s="176">
        <v>0</v>
      </c>
      <c r="X38" s="176">
        <v>0</v>
      </c>
      <c r="Y38" s="249" t="b">
        <f t="shared" si="11"/>
        <v>1</v>
      </c>
      <c r="Z38" s="43">
        <f t="shared" si="12"/>
        <v>0.7</v>
      </c>
      <c r="AA38" s="251" t="b">
        <f t="shared" si="13"/>
        <v>1</v>
      </c>
      <c r="AB38" s="251" t="b">
        <f t="shared" si="14"/>
        <v>1</v>
      </c>
    </row>
    <row r="39" spans="1:28" ht="39.75" customHeight="1">
      <c r="A39" s="156">
        <v>37</v>
      </c>
      <c r="B39" s="178" t="s">
        <v>283</v>
      </c>
      <c r="C39" s="159" t="s">
        <v>53</v>
      </c>
      <c r="D39" s="158" t="s">
        <v>73</v>
      </c>
      <c r="E39" s="178">
        <v>1607092</v>
      </c>
      <c r="F39" s="178" t="s">
        <v>46</v>
      </c>
      <c r="G39" s="178" t="s">
        <v>304</v>
      </c>
      <c r="H39" s="158" t="s">
        <v>47</v>
      </c>
      <c r="I39" s="178">
        <v>0.261</v>
      </c>
      <c r="J39" s="226" t="s">
        <v>220</v>
      </c>
      <c r="K39" s="171">
        <v>969193.85</v>
      </c>
      <c r="L39" s="169">
        <f t="shared" si="15"/>
        <v>581516.31</v>
      </c>
      <c r="M39" s="169">
        <f t="shared" si="16"/>
        <v>387677.5399999999</v>
      </c>
      <c r="N39" s="147">
        <v>0.6</v>
      </c>
      <c r="O39" s="169">
        <v>0</v>
      </c>
      <c r="P39" s="169">
        <v>0</v>
      </c>
      <c r="Q39" s="172">
        <v>0</v>
      </c>
      <c r="R39" s="169">
        <f aca="true" t="shared" si="17" ref="R39:R50">L39</f>
        <v>581516.31</v>
      </c>
      <c r="S39" s="169">
        <v>0</v>
      </c>
      <c r="T39" s="169">
        <v>0</v>
      </c>
      <c r="U39" s="169">
        <v>0</v>
      </c>
      <c r="V39" s="169">
        <v>0</v>
      </c>
      <c r="W39" s="171">
        <v>0</v>
      </c>
      <c r="X39" s="171">
        <v>0</v>
      </c>
      <c r="Y39" s="249" t="b">
        <f t="shared" si="11"/>
        <v>1</v>
      </c>
      <c r="Z39" s="43">
        <f t="shared" si="12"/>
        <v>0.6</v>
      </c>
      <c r="AA39" s="251" t="b">
        <f t="shared" si="13"/>
        <v>1</v>
      </c>
      <c r="AB39" s="251" t="b">
        <f t="shared" si="14"/>
        <v>1</v>
      </c>
    </row>
    <row r="40" spans="1:28" ht="39.75" customHeight="1">
      <c r="A40" s="156">
        <v>38</v>
      </c>
      <c r="B40" s="178" t="s">
        <v>284</v>
      </c>
      <c r="C40" s="159" t="s">
        <v>53</v>
      </c>
      <c r="D40" s="158" t="s">
        <v>67</v>
      </c>
      <c r="E40" s="178">
        <v>1603062</v>
      </c>
      <c r="F40" s="178" t="s">
        <v>61</v>
      </c>
      <c r="G40" s="178" t="s">
        <v>305</v>
      </c>
      <c r="H40" s="158" t="s">
        <v>103</v>
      </c>
      <c r="I40" s="178">
        <v>0.406</v>
      </c>
      <c r="J40" s="226" t="s">
        <v>250</v>
      </c>
      <c r="K40" s="171">
        <v>412433.24</v>
      </c>
      <c r="L40" s="169">
        <f t="shared" si="15"/>
        <v>288703.27</v>
      </c>
      <c r="M40" s="169">
        <f t="shared" si="16"/>
        <v>123729.96999999997</v>
      </c>
      <c r="N40" s="147">
        <v>0.7</v>
      </c>
      <c r="O40" s="169">
        <v>0</v>
      </c>
      <c r="P40" s="169">
        <v>0</v>
      </c>
      <c r="Q40" s="172">
        <v>0</v>
      </c>
      <c r="R40" s="169">
        <f t="shared" si="17"/>
        <v>288703.27</v>
      </c>
      <c r="S40" s="169">
        <v>0</v>
      </c>
      <c r="T40" s="169">
        <v>0</v>
      </c>
      <c r="U40" s="169">
        <v>0</v>
      </c>
      <c r="V40" s="169">
        <v>0</v>
      </c>
      <c r="W40" s="171">
        <v>0</v>
      </c>
      <c r="X40" s="171">
        <v>0</v>
      </c>
      <c r="Y40" s="249" t="b">
        <f t="shared" si="11"/>
        <v>1</v>
      </c>
      <c r="Z40" s="43">
        <f t="shared" si="12"/>
        <v>0.7</v>
      </c>
      <c r="AA40" s="251" t="b">
        <f t="shared" si="13"/>
        <v>1</v>
      </c>
      <c r="AB40" s="251" t="b">
        <f t="shared" si="14"/>
        <v>1</v>
      </c>
    </row>
    <row r="41" spans="1:28" ht="22.5">
      <c r="A41" s="156">
        <v>39</v>
      </c>
      <c r="B41" s="178" t="s">
        <v>348</v>
      </c>
      <c r="C41" s="159" t="s">
        <v>53</v>
      </c>
      <c r="D41" s="158" t="s">
        <v>346</v>
      </c>
      <c r="E41" s="178">
        <v>1611073</v>
      </c>
      <c r="F41" s="178" t="s">
        <v>58</v>
      </c>
      <c r="G41" s="178" t="s">
        <v>349</v>
      </c>
      <c r="H41" s="178" t="s">
        <v>47</v>
      </c>
      <c r="I41" s="178">
        <v>0.239</v>
      </c>
      <c r="J41" s="226" t="s">
        <v>134</v>
      </c>
      <c r="K41" s="227">
        <v>804708.84</v>
      </c>
      <c r="L41" s="169">
        <f t="shared" si="15"/>
        <v>563296.19</v>
      </c>
      <c r="M41" s="169">
        <f t="shared" si="16"/>
        <v>241412.65000000002</v>
      </c>
      <c r="N41" s="147">
        <v>0.7</v>
      </c>
      <c r="O41" s="169">
        <v>0</v>
      </c>
      <c r="P41" s="169">
        <v>0</v>
      </c>
      <c r="Q41" s="172">
        <v>0</v>
      </c>
      <c r="R41" s="169">
        <f t="shared" si="17"/>
        <v>563296.19</v>
      </c>
      <c r="S41" s="169">
        <v>0</v>
      </c>
      <c r="T41" s="169">
        <v>0</v>
      </c>
      <c r="U41" s="169">
        <v>0</v>
      </c>
      <c r="V41" s="169">
        <v>0</v>
      </c>
      <c r="W41" s="171">
        <v>0</v>
      </c>
      <c r="X41" s="171">
        <v>0</v>
      </c>
      <c r="Y41" s="249" t="b">
        <f t="shared" si="11"/>
        <v>1</v>
      </c>
      <c r="Z41" s="43">
        <f t="shared" si="12"/>
        <v>0.7</v>
      </c>
      <c r="AA41" s="251" t="b">
        <f t="shared" si="13"/>
        <v>1</v>
      </c>
      <c r="AB41" s="251" t="b">
        <f t="shared" si="14"/>
        <v>1</v>
      </c>
    </row>
    <row r="42" spans="1:28" ht="39.75" customHeight="1">
      <c r="A42" s="156">
        <v>40</v>
      </c>
      <c r="B42" s="178" t="s">
        <v>286</v>
      </c>
      <c r="C42" s="159" t="s">
        <v>53</v>
      </c>
      <c r="D42" s="158" t="s">
        <v>199</v>
      </c>
      <c r="E42" s="178">
        <v>1607013</v>
      </c>
      <c r="F42" s="178" t="s">
        <v>46</v>
      </c>
      <c r="G42" s="178" t="s">
        <v>307</v>
      </c>
      <c r="H42" s="158" t="s">
        <v>104</v>
      </c>
      <c r="I42" s="178">
        <v>0.257</v>
      </c>
      <c r="J42" s="226" t="s">
        <v>219</v>
      </c>
      <c r="K42" s="171">
        <v>108527</v>
      </c>
      <c r="L42" s="169">
        <f t="shared" si="15"/>
        <v>86821.6</v>
      </c>
      <c r="M42" s="169">
        <f t="shared" si="16"/>
        <v>21705.399999999994</v>
      </c>
      <c r="N42" s="147">
        <v>0.8</v>
      </c>
      <c r="O42" s="169">
        <v>0</v>
      </c>
      <c r="P42" s="169">
        <v>0</v>
      </c>
      <c r="Q42" s="172">
        <v>0</v>
      </c>
      <c r="R42" s="169">
        <f t="shared" si="17"/>
        <v>86821.6</v>
      </c>
      <c r="S42" s="169">
        <v>0</v>
      </c>
      <c r="T42" s="169">
        <v>0</v>
      </c>
      <c r="U42" s="169">
        <v>0</v>
      </c>
      <c r="V42" s="169">
        <v>0</v>
      </c>
      <c r="W42" s="171">
        <v>0</v>
      </c>
      <c r="X42" s="171">
        <v>0</v>
      </c>
      <c r="Y42" s="249" t="b">
        <f t="shared" si="11"/>
        <v>1</v>
      </c>
      <c r="Z42" s="43">
        <f t="shared" si="12"/>
        <v>0.8</v>
      </c>
      <c r="AA42" s="251" t="b">
        <f t="shared" si="13"/>
        <v>1</v>
      </c>
      <c r="AB42" s="251" t="b">
        <f t="shared" si="14"/>
        <v>1</v>
      </c>
    </row>
    <row r="43" spans="1:28" ht="39.75" customHeight="1">
      <c r="A43" s="156">
        <v>41</v>
      </c>
      <c r="B43" s="178" t="s">
        <v>285</v>
      </c>
      <c r="C43" s="159" t="s">
        <v>53</v>
      </c>
      <c r="D43" s="158" t="s">
        <v>94</v>
      </c>
      <c r="E43" s="178">
        <v>1605053</v>
      </c>
      <c r="F43" s="178" t="s">
        <v>60</v>
      </c>
      <c r="G43" s="178" t="s">
        <v>306</v>
      </c>
      <c r="H43" s="158" t="s">
        <v>104</v>
      </c>
      <c r="I43" s="178">
        <v>0.974</v>
      </c>
      <c r="J43" s="226" t="s">
        <v>319</v>
      </c>
      <c r="K43" s="171">
        <v>1033031.48</v>
      </c>
      <c r="L43" s="169">
        <f t="shared" si="15"/>
        <v>619818.89</v>
      </c>
      <c r="M43" s="169">
        <f t="shared" si="16"/>
        <v>413212.58999999997</v>
      </c>
      <c r="N43" s="147">
        <v>0.6</v>
      </c>
      <c r="O43" s="169">
        <v>0</v>
      </c>
      <c r="P43" s="169">
        <v>0</v>
      </c>
      <c r="Q43" s="172">
        <v>0</v>
      </c>
      <c r="R43" s="169">
        <f t="shared" si="17"/>
        <v>619818.89</v>
      </c>
      <c r="S43" s="169">
        <v>0</v>
      </c>
      <c r="T43" s="169">
        <v>0</v>
      </c>
      <c r="U43" s="169">
        <v>0</v>
      </c>
      <c r="V43" s="169">
        <v>0</v>
      </c>
      <c r="W43" s="171">
        <v>0</v>
      </c>
      <c r="X43" s="171">
        <v>0</v>
      </c>
      <c r="Y43" s="249" t="b">
        <f t="shared" si="11"/>
        <v>1</v>
      </c>
      <c r="Z43" s="43">
        <f t="shared" si="12"/>
        <v>0.6</v>
      </c>
      <c r="AA43" s="251" t="b">
        <f t="shared" si="13"/>
        <v>1</v>
      </c>
      <c r="AB43" s="251" t="b">
        <f t="shared" si="14"/>
        <v>1</v>
      </c>
    </row>
    <row r="44" spans="1:28" ht="39.75" customHeight="1">
      <c r="A44" s="156">
        <v>42</v>
      </c>
      <c r="B44" s="178" t="s">
        <v>287</v>
      </c>
      <c r="C44" s="159" t="s">
        <v>53</v>
      </c>
      <c r="D44" s="158" t="s">
        <v>199</v>
      </c>
      <c r="E44" s="178">
        <v>1607013</v>
      </c>
      <c r="F44" s="178" t="s">
        <v>46</v>
      </c>
      <c r="G44" s="178" t="s">
        <v>308</v>
      </c>
      <c r="H44" s="158" t="s">
        <v>104</v>
      </c>
      <c r="I44" s="288">
        <v>0.13</v>
      </c>
      <c r="J44" s="226" t="s">
        <v>219</v>
      </c>
      <c r="K44" s="171">
        <v>50970</v>
      </c>
      <c r="L44" s="169">
        <f t="shared" si="15"/>
        <v>40776</v>
      </c>
      <c r="M44" s="169">
        <f t="shared" si="16"/>
        <v>10194</v>
      </c>
      <c r="N44" s="147">
        <v>0.8</v>
      </c>
      <c r="O44" s="169">
        <v>0</v>
      </c>
      <c r="P44" s="169">
        <v>0</v>
      </c>
      <c r="Q44" s="172">
        <v>0</v>
      </c>
      <c r="R44" s="169">
        <f t="shared" si="17"/>
        <v>40776</v>
      </c>
      <c r="S44" s="169">
        <v>0</v>
      </c>
      <c r="T44" s="169">
        <v>0</v>
      </c>
      <c r="U44" s="169">
        <v>0</v>
      </c>
      <c r="V44" s="169">
        <v>0</v>
      </c>
      <c r="W44" s="171">
        <v>0</v>
      </c>
      <c r="X44" s="171">
        <v>0</v>
      </c>
      <c r="Y44" s="249" t="b">
        <f t="shared" si="11"/>
        <v>1</v>
      </c>
      <c r="Z44" s="43">
        <f t="shared" si="12"/>
        <v>0.8</v>
      </c>
      <c r="AA44" s="251" t="b">
        <f t="shared" si="13"/>
        <v>1</v>
      </c>
      <c r="AB44" s="251" t="b">
        <f t="shared" si="14"/>
        <v>1</v>
      </c>
    </row>
    <row r="45" spans="1:28" ht="39.75" customHeight="1">
      <c r="A45" s="156">
        <v>43</v>
      </c>
      <c r="B45" s="178" t="s">
        <v>288</v>
      </c>
      <c r="C45" s="159" t="s">
        <v>53</v>
      </c>
      <c r="D45" s="158" t="s">
        <v>199</v>
      </c>
      <c r="E45" s="178">
        <v>1607013</v>
      </c>
      <c r="F45" s="178" t="s">
        <v>46</v>
      </c>
      <c r="G45" s="178" t="s">
        <v>309</v>
      </c>
      <c r="H45" s="158" t="s">
        <v>104</v>
      </c>
      <c r="I45" s="178">
        <v>0.219</v>
      </c>
      <c r="J45" s="226" t="s">
        <v>219</v>
      </c>
      <c r="K45" s="171">
        <v>117811</v>
      </c>
      <c r="L45" s="169">
        <f t="shared" si="15"/>
        <v>94248.8</v>
      </c>
      <c r="M45" s="169">
        <f t="shared" si="16"/>
        <v>23562.199999999997</v>
      </c>
      <c r="N45" s="147">
        <v>0.8</v>
      </c>
      <c r="O45" s="169">
        <v>0</v>
      </c>
      <c r="P45" s="169">
        <v>0</v>
      </c>
      <c r="Q45" s="172">
        <v>0</v>
      </c>
      <c r="R45" s="169">
        <f t="shared" si="17"/>
        <v>94248.8</v>
      </c>
      <c r="S45" s="169">
        <v>0</v>
      </c>
      <c r="T45" s="169">
        <v>0</v>
      </c>
      <c r="U45" s="169">
        <v>0</v>
      </c>
      <c r="V45" s="169">
        <v>0</v>
      </c>
      <c r="W45" s="171">
        <v>0</v>
      </c>
      <c r="X45" s="171">
        <v>0</v>
      </c>
      <c r="Y45" s="249" t="b">
        <f t="shared" si="11"/>
        <v>1</v>
      </c>
      <c r="Z45" s="43">
        <f t="shared" si="12"/>
        <v>0.8</v>
      </c>
      <c r="AA45" s="251" t="b">
        <f t="shared" si="13"/>
        <v>1</v>
      </c>
      <c r="AB45" s="251" t="b">
        <f t="shared" si="14"/>
        <v>1</v>
      </c>
    </row>
    <row r="46" spans="1:28" ht="39.75" customHeight="1">
      <c r="A46" s="156">
        <v>44</v>
      </c>
      <c r="B46" s="178" t="s">
        <v>289</v>
      </c>
      <c r="C46" s="159" t="s">
        <v>53</v>
      </c>
      <c r="D46" s="158" t="s">
        <v>199</v>
      </c>
      <c r="E46" s="178">
        <v>1607013</v>
      </c>
      <c r="F46" s="178" t="s">
        <v>46</v>
      </c>
      <c r="G46" s="178" t="s">
        <v>310</v>
      </c>
      <c r="H46" s="158" t="s">
        <v>104</v>
      </c>
      <c r="I46" s="178">
        <v>0.476</v>
      </c>
      <c r="J46" s="226" t="s">
        <v>219</v>
      </c>
      <c r="K46" s="171">
        <v>324366</v>
      </c>
      <c r="L46" s="169">
        <f t="shared" si="15"/>
        <v>259492.8</v>
      </c>
      <c r="M46" s="169">
        <f t="shared" si="16"/>
        <v>64873.20000000001</v>
      </c>
      <c r="N46" s="147">
        <v>0.8</v>
      </c>
      <c r="O46" s="169">
        <v>0</v>
      </c>
      <c r="P46" s="169">
        <v>0</v>
      </c>
      <c r="Q46" s="172">
        <v>0</v>
      </c>
      <c r="R46" s="169">
        <f t="shared" si="17"/>
        <v>259492.8</v>
      </c>
      <c r="S46" s="169">
        <v>0</v>
      </c>
      <c r="T46" s="169">
        <v>0</v>
      </c>
      <c r="U46" s="169">
        <v>0</v>
      </c>
      <c r="V46" s="169">
        <v>0</v>
      </c>
      <c r="W46" s="171">
        <v>0</v>
      </c>
      <c r="X46" s="171">
        <v>0</v>
      </c>
      <c r="Y46" s="249" t="b">
        <f t="shared" si="11"/>
        <v>1</v>
      </c>
      <c r="Z46" s="43">
        <f t="shared" si="12"/>
        <v>0.8</v>
      </c>
      <c r="AA46" s="251" t="b">
        <f t="shared" si="13"/>
        <v>1</v>
      </c>
      <c r="AB46" s="251" t="b">
        <f t="shared" si="14"/>
        <v>1</v>
      </c>
    </row>
    <row r="47" spans="1:28" ht="39.75" customHeight="1">
      <c r="A47" s="156">
        <v>45</v>
      </c>
      <c r="B47" s="178" t="s">
        <v>290</v>
      </c>
      <c r="C47" s="159" t="s">
        <v>53</v>
      </c>
      <c r="D47" s="158" t="s">
        <v>199</v>
      </c>
      <c r="E47" s="178">
        <v>1607013</v>
      </c>
      <c r="F47" s="178" t="s">
        <v>46</v>
      </c>
      <c r="G47" s="178" t="s">
        <v>311</v>
      </c>
      <c r="H47" s="158" t="s">
        <v>104</v>
      </c>
      <c r="I47" s="178">
        <v>0.431</v>
      </c>
      <c r="J47" s="226" t="s">
        <v>219</v>
      </c>
      <c r="K47" s="171">
        <v>196835</v>
      </c>
      <c r="L47" s="169">
        <f t="shared" si="15"/>
        <v>157468</v>
      </c>
      <c r="M47" s="169">
        <f t="shared" si="16"/>
        <v>39367</v>
      </c>
      <c r="N47" s="147">
        <v>0.8</v>
      </c>
      <c r="O47" s="169">
        <v>0</v>
      </c>
      <c r="P47" s="169">
        <v>0</v>
      </c>
      <c r="Q47" s="172">
        <v>0</v>
      </c>
      <c r="R47" s="169">
        <f t="shared" si="17"/>
        <v>157468</v>
      </c>
      <c r="S47" s="169">
        <v>0</v>
      </c>
      <c r="T47" s="169">
        <v>0</v>
      </c>
      <c r="U47" s="169">
        <v>0</v>
      </c>
      <c r="V47" s="169">
        <v>0</v>
      </c>
      <c r="W47" s="171">
        <v>0</v>
      </c>
      <c r="X47" s="171">
        <v>0</v>
      </c>
      <c r="Y47" s="249" t="b">
        <f t="shared" si="11"/>
        <v>1</v>
      </c>
      <c r="Z47" s="43">
        <f t="shared" si="12"/>
        <v>0.8</v>
      </c>
      <c r="AA47" s="251" t="b">
        <f t="shared" si="13"/>
        <v>1</v>
      </c>
      <c r="AB47" s="251" t="b">
        <f t="shared" si="14"/>
        <v>1</v>
      </c>
    </row>
    <row r="48" spans="1:28" ht="39.75" customHeight="1">
      <c r="A48" s="156">
        <v>46</v>
      </c>
      <c r="B48" s="178" t="s">
        <v>291</v>
      </c>
      <c r="C48" s="159" t="s">
        <v>53</v>
      </c>
      <c r="D48" s="158" t="s">
        <v>199</v>
      </c>
      <c r="E48" s="178">
        <v>1607013</v>
      </c>
      <c r="F48" s="178" t="s">
        <v>46</v>
      </c>
      <c r="G48" s="178" t="s">
        <v>312</v>
      </c>
      <c r="H48" s="158" t="s">
        <v>104</v>
      </c>
      <c r="I48" s="178">
        <v>0.208</v>
      </c>
      <c r="J48" s="226" t="s">
        <v>219</v>
      </c>
      <c r="K48" s="171">
        <v>111431</v>
      </c>
      <c r="L48" s="169">
        <f t="shared" si="15"/>
        <v>89144.8</v>
      </c>
      <c r="M48" s="169">
        <f t="shared" si="16"/>
        <v>22286.199999999997</v>
      </c>
      <c r="N48" s="147">
        <v>0.8</v>
      </c>
      <c r="O48" s="169">
        <v>0</v>
      </c>
      <c r="P48" s="169">
        <v>0</v>
      </c>
      <c r="Q48" s="172">
        <v>0</v>
      </c>
      <c r="R48" s="169">
        <f t="shared" si="17"/>
        <v>89144.8</v>
      </c>
      <c r="S48" s="169">
        <v>0</v>
      </c>
      <c r="T48" s="169">
        <v>0</v>
      </c>
      <c r="U48" s="169">
        <v>0</v>
      </c>
      <c r="V48" s="169">
        <v>0</v>
      </c>
      <c r="W48" s="171">
        <v>0</v>
      </c>
      <c r="X48" s="171">
        <v>0</v>
      </c>
      <c r="Y48" s="249" t="b">
        <f t="shared" si="11"/>
        <v>1</v>
      </c>
      <c r="Z48" s="43">
        <f t="shared" si="12"/>
        <v>0.8</v>
      </c>
      <c r="AA48" s="251" t="b">
        <f t="shared" si="13"/>
        <v>1</v>
      </c>
      <c r="AB48" s="251" t="b">
        <f t="shared" si="14"/>
        <v>1</v>
      </c>
    </row>
    <row r="49" spans="1:28" ht="39.75" customHeight="1">
      <c r="A49" s="156">
        <v>47</v>
      </c>
      <c r="B49" s="178" t="s">
        <v>292</v>
      </c>
      <c r="C49" s="159" t="s">
        <v>53</v>
      </c>
      <c r="D49" s="158" t="s">
        <v>199</v>
      </c>
      <c r="E49" s="178">
        <v>1607013</v>
      </c>
      <c r="F49" s="178" t="s">
        <v>46</v>
      </c>
      <c r="G49" s="178" t="s">
        <v>313</v>
      </c>
      <c r="H49" s="158" t="s">
        <v>104</v>
      </c>
      <c r="I49" s="178">
        <v>0.265</v>
      </c>
      <c r="J49" s="226" t="s">
        <v>219</v>
      </c>
      <c r="K49" s="171">
        <v>141953</v>
      </c>
      <c r="L49" s="169">
        <f t="shared" si="15"/>
        <v>113562.4</v>
      </c>
      <c r="M49" s="169">
        <f t="shared" si="16"/>
        <v>28390.600000000006</v>
      </c>
      <c r="N49" s="147">
        <v>0.8</v>
      </c>
      <c r="O49" s="169">
        <v>0</v>
      </c>
      <c r="P49" s="169">
        <v>0</v>
      </c>
      <c r="Q49" s="172">
        <v>0</v>
      </c>
      <c r="R49" s="169">
        <f t="shared" si="17"/>
        <v>113562.4</v>
      </c>
      <c r="S49" s="169">
        <v>0</v>
      </c>
      <c r="T49" s="169">
        <v>0</v>
      </c>
      <c r="U49" s="169">
        <v>0</v>
      </c>
      <c r="V49" s="169">
        <v>0</v>
      </c>
      <c r="W49" s="171">
        <v>0</v>
      </c>
      <c r="X49" s="171">
        <v>0</v>
      </c>
      <c r="Y49" s="249" t="b">
        <f t="shared" si="11"/>
        <v>1</v>
      </c>
      <c r="Z49" s="43">
        <f t="shared" si="12"/>
        <v>0.8</v>
      </c>
      <c r="AA49" s="251" t="b">
        <f t="shared" si="13"/>
        <v>1</v>
      </c>
      <c r="AB49" s="251" t="b">
        <f t="shared" si="14"/>
        <v>1</v>
      </c>
    </row>
    <row r="50" spans="1:28" ht="39.75" customHeight="1">
      <c r="A50" s="156">
        <v>48</v>
      </c>
      <c r="B50" s="178" t="s">
        <v>293</v>
      </c>
      <c r="C50" s="159" t="s">
        <v>53</v>
      </c>
      <c r="D50" s="158" t="s">
        <v>199</v>
      </c>
      <c r="E50" s="178">
        <v>1607013</v>
      </c>
      <c r="F50" s="178" t="s">
        <v>46</v>
      </c>
      <c r="G50" s="178" t="s">
        <v>314</v>
      </c>
      <c r="H50" s="158" t="s">
        <v>104</v>
      </c>
      <c r="I50" s="178">
        <v>0.258</v>
      </c>
      <c r="J50" s="226" t="s">
        <v>219</v>
      </c>
      <c r="K50" s="171">
        <v>157511</v>
      </c>
      <c r="L50" s="169">
        <f t="shared" si="15"/>
        <v>126008.8</v>
      </c>
      <c r="M50" s="169">
        <f t="shared" si="16"/>
        <v>31502.199999999997</v>
      </c>
      <c r="N50" s="147">
        <v>0.8</v>
      </c>
      <c r="O50" s="169">
        <v>0</v>
      </c>
      <c r="P50" s="169">
        <v>0</v>
      </c>
      <c r="Q50" s="172">
        <v>0</v>
      </c>
      <c r="R50" s="169">
        <f t="shared" si="17"/>
        <v>126008.8</v>
      </c>
      <c r="S50" s="169">
        <v>0</v>
      </c>
      <c r="T50" s="169">
        <v>0</v>
      </c>
      <c r="U50" s="169">
        <v>0</v>
      </c>
      <c r="V50" s="169">
        <v>0</v>
      </c>
      <c r="W50" s="171">
        <v>0</v>
      </c>
      <c r="X50" s="171">
        <v>0</v>
      </c>
      <c r="Y50" s="249" t="b">
        <f t="shared" si="11"/>
        <v>1</v>
      </c>
      <c r="Z50" s="43">
        <f t="shared" si="12"/>
        <v>0.8</v>
      </c>
      <c r="AA50" s="251" t="b">
        <f t="shared" si="13"/>
        <v>1</v>
      </c>
      <c r="AB50" s="251" t="b">
        <f t="shared" si="14"/>
        <v>1</v>
      </c>
    </row>
    <row r="51" spans="1:26" ht="18.75" customHeight="1">
      <c r="A51" s="334" t="s">
        <v>45</v>
      </c>
      <c r="B51" s="349"/>
      <c r="C51" s="349"/>
      <c r="D51" s="349"/>
      <c r="E51" s="349"/>
      <c r="F51" s="349"/>
      <c r="G51" s="349"/>
      <c r="H51" s="162"/>
      <c r="I51" s="200">
        <f>SUM(I7:I50)</f>
        <v>25.52499999999999</v>
      </c>
      <c r="J51" s="163" t="s">
        <v>13</v>
      </c>
      <c r="K51" s="201">
        <f>SUM(K7:K50)</f>
        <v>46862172.900000006</v>
      </c>
      <c r="L51" s="201">
        <f>SUM(L7:L50)</f>
        <v>29860742.439999998</v>
      </c>
      <c r="M51" s="201">
        <f>SUM(M7:M50)</f>
        <v>17001430.459999997</v>
      </c>
      <c r="N51" s="201" t="s">
        <v>13</v>
      </c>
      <c r="O51" s="201">
        <f aca="true" t="shared" si="18" ref="O51:X51">SUM(O7:O50)</f>
        <v>0</v>
      </c>
      <c r="P51" s="201">
        <f t="shared" si="18"/>
        <v>0</v>
      </c>
      <c r="Q51" s="201">
        <f t="shared" si="18"/>
        <v>0</v>
      </c>
      <c r="R51" s="201">
        <f t="shared" si="18"/>
        <v>23888014.639999997</v>
      </c>
      <c r="S51" s="208">
        <f t="shared" si="18"/>
        <v>5972727.8</v>
      </c>
      <c r="T51" s="208">
        <f t="shared" si="18"/>
        <v>0</v>
      </c>
      <c r="U51" s="208">
        <f t="shared" si="18"/>
        <v>0</v>
      </c>
      <c r="V51" s="208">
        <f t="shared" si="18"/>
        <v>0</v>
      </c>
      <c r="W51" s="208">
        <f t="shared" si="18"/>
        <v>0</v>
      </c>
      <c r="X51" s="208">
        <f t="shared" si="18"/>
        <v>0</v>
      </c>
      <c r="Y51" s="249" t="b">
        <f>L51=SUM(O51:X51)</f>
        <v>1</v>
      </c>
      <c r="Z51" s="43">
        <f>ROUND(L51/K51,4)</f>
        <v>0.6372</v>
      </c>
    </row>
    <row r="52" spans="1:28" ht="19.5" customHeight="1">
      <c r="A52" s="350" t="s">
        <v>38</v>
      </c>
      <c r="B52" s="351"/>
      <c r="C52" s="351"/>
      <c r="D52" s="351"/>
      <c r="E52" s="351"/>
      <c r="F52" s="351"/>
      <c r="G52" s="351"/>
      <c r="H52" s="153"/>
      <c r="I52" s="195">
        <f>SUMIF($C$7:$C$50,"K",I7:I50)</f>
        <v>0</v>
      </c>
      <c r="J52" s="163" t="s">
        <v>13</v>
      </c>
      <c r="K52" s="165">
        <f>SUMIF($C$7:$C$50,"K",K7:K50)</f>
        <v>0</v>
      </c>
      <c r="L52" s="165">
        <f>SUMIF($C$7:$C$50,"K",L7:L50)</f>
        <v>0</v>
      </c>
      <c r="M52" s="165">
        <f>SUMIF($C$7:$C$50,"K",M7:M50)</f>
        <v>0</v>
      </c>
      <c r="N52" s="165" t="s">
        <v>13</v>
      </c>
      <c r="O52" s="165">
        <f aca="true" t="shared" si="19" ref="O52:X52">SUMIF($C$7:$C$50,"K",O7:O50)</f>
        <v>0</v>
      </c>
      <c r="P52" s="165">
        <f t="shared" si="19"/>
        <v>0</v>
      </c>
      <c r="Q52" s="165">
        <f t="shared" si="19"/>
        <v>0</v>
      </c>
      <c r="R52" s="165">
        <f t="shared" si="19"/>
        <v>0</v>
      </c>
      <c r="S52" s="167">
        <f t="shared" si="19"/>
        <v>0</v>
      </c>
      <c r="T52" s="167">
        <f t="shared" si="19"/>
        <v>0</v>
      </c>
      <c r="U52" s="167">
        <f t="shared" si="19"/>
        <v>0</v>
      </c>
      <c r="V52" s="167">
        <f t="shared" si="19"/>
        <v>0</v>
      </c>
      <c r="W52" s="167">
        <f t="shared" si="19"/>
        <v>0</v>
      </c>
      <c r="X52" s="167">
        <f t="shared" si="19"/>
        <v>0</v>
      </c>
      <c r="Y52" s="249" t="b">
        <f>L52=SUM(O52:X52)</f>
        <v>1</v>
      </c>
      <c r="Z52" s="43" t="e">
        <f>ROUND(L52/K52,4)</f>
        <v>#DIV/0!</v>
      </c>
      <c r="AA52" s="251" t="s">
        <v>13</v>
      </c>
      <c r="AB52" s="251" t="b">
        <f>K52=L52+M52</f>
        <v>1</v>
      </c>
    </row>
    <row r="53" spans="1:28" ht="19.5" customHeight="1">
      <c r="A53" s="350" t="s">
        <v>39</v>
      </c>
      <c r="B53" s="351"/>
      <c r="C53" s="351"/>
      <c r="D53" s="351"/>
      <c r="E53" s="351"/>
      <c r="F53" s="351"/>
      <c r="G53" s="351"/>
      <c r="H53" s="152"/>
      <c r="I53" s="195">
        <f>SUMIF($C$7:$C$50,"N",I7:I50)</f>
        <v>19.491</v>
      </c>
      <c r="J53" s="163" t="s">
        <v>13</v>
      </c>
      <c r="K53" s="164">
        <f>SUMIF($C$7:$C$50,"N",K7:K50)</f>
        <v>30918220.99</v>
      </c>
      <c r="L53" s="164">
        <f>SUMIF($C$7:$C$50,"N",L7:L50)</f>
        <v>19969792.67</v>
      </c>
      <c r="M53" s="164">
        <f>SUMIF($C$7:$C$50,"N",M7:M50)</f>
        <v>10948428.319999998</v>
      </c>
      <c r="N53" s="164" t="s">
        <v>13</v>
      </c>
      <c r="O53" s="164">
        <f aca="true" t="shared" si="20" ref="O53:X53">SUMIF($C$7:$C$50,"N",O7:O50)</f>
        <v>0</v>
      </c>
      <c r="P53" s="164">
        <f t="shared" si="20"/>
        <v>0</v>
      </c>
      <c r="Q53" s="164">
        <f t="shared" si="20"/>
        <v>0</v>
      </c>
      <c r="R53" s="164">
        <f t="shared" si="20"/>
        <v>19969792.67</v>
      </c>
      <c r="S53" s="167">
        <f t="shared" si="20"/>
        <v>0</v>
      </c>
      <c r="T53" s="167">
        <f t="shared" si="20"/>
        <v>0</v>
      </c>
      <c r="U53" s="167">
        <f t="shared" si="20"/>
        <v>0</v>
      </c>
      <c r="V53" s="167">
        <f t="shared" si="20"/>
        <v>0</v>
      </c>
      <c r="W53" s="167">
        <f t="shared" si="20"/>
        <v>0</v>
      </c>
      <c r="X53" s="167">
        <f t="shared" si="20"/>
        <v>0</v>
      </c>
      <c r="Y53" s="249" t="b">
        <f>L53=SUM(O53:X53)</f>
        <v>1</v>
      </c>
      <c r="Z53" s="43">
        <f>ROUND(L53/K53,4)</f>
        <v>0.6459</v>
      </c>
      <c r="AA53" s="251" t="s">
        <v>13</v>
      </c>
      <c r="AB53" s="251" t="b">
        <f>K53=L53+M53</f>
        <v>1</v>
      </c>
    </row>
    <row r="54" spans="1:28" ht="19.5" customHeight="1">
      <c r="A54" s="345" t="s">
        <v>40</v>
      </c>
      <c r="B54" s="346"/>
      <c r="C54" s="346"/>
      <c r="D54" s="346"/>
      <c r="E54" s="346"/>
      <c r="F54" s="346"/>
      <c r="G54" s="346"/>
      <c r="H54" s="151"/>
      <c r="I54" s="196">
        <f>SUMIF($C$7:$C$50,"W",I7:I50)</f>
        <v>6.034</v>
      </c>
      <c r="J54" s="211" t="s">
        <v>13</v>
      </c>
      <c r="K54" s="180">
        <f>SUMIF($C$7:$C$50,"W",K7:K50)</f>
        <v>15943951.91</v>
      </c>
      <c r="L54" s="180">
        <f>SUMIF($C$7:$C$50,"W",L7:L50)</f>
        <v>9890949.77</v>
      </c>
      <c r="M54" s="180">
        <f>SUMIF($C$7:$C$50,"W",M7:M50)</f>
        <v>6053002.140000001</v>
      </c>
      <c r="N54" s="180" t="s">
        <v>13</v>
      </c>
      <c r="O54" s="180">
        <f aca="true" t="shared" si="21" ref="O54:X54">SUMIF($C$7:$C$50,"W",O7:O50)</f>
        <v>0</v>
      </c>
      <c r="P54" s="180">
        <f t="shared" si="21"/>
        <v>0</v>
      </c>
      <c r="Q54" s="180">
        <f t="shared" si="21"/>
        <v>0</v>
      </c>
      <c r="R54" s="180">
        <f t="shared" si="21"/>
        <v>3918221.9699999997</v>
      </c>
      <c r="S54" s="215">
        <f t="shared" si="21"/>
        <v>5972727.8</v>
      </c>
      <c r="T54" s="215">
        <f t="shared" si="21"/>
        <v>0</v>
      </c>
      <c r="U54" s="215">
        <f t="shared" si="21"/>
        <v>0</v>
      </c>
      <c r="V54" s="215">
        <f t="shared" si="21"/>
        <v>0</v>
      </c>
      <c r="W54" s="215">
        <f t="shared" si="21"/>
        <v>0</v>
      </c>
      <c r="X54" s="215">
        <f t="shared" si="21"/>
        <v>0</v>
      </c>
      <c r="Y54" s="249" t="b">
        <f>L54=SUM(O54:X54)</f>
        <v>1</v>
      </c>
      <c r="Z54" s="43">
        <f>ROUND(L54/K54,4)</f>
        <v>0.6204</v>
      </c>
      <c r="AA54" s="251" t="s">
        <v>13</v>
      </c>
      <c r="AB54" s="251" t="b">
        <f>K54=L54+M54</f>
        <v>1</v>
      </c>
    </row>
    <row r="55" spans="1:28" ht="15">
      <c r="A55" s="38"/>
      <c r="Q55" s="35"/>
      <c r="AB55" s="252"/>
    </row>
    <row r="56" spans="1:17" ht="15">
      <c r="A56" s="31" t="s">
        <v>24</v>
      </c>
      <c r="Q56" s="35"/>
    </row>
    <row r="57" spans="1:17" ht="15">
      <c r="A57" s="32" t="s">
        <v>25</v>
      </c>
      <c r="Q57" s="35"/>
    </row>
    <row r="58" ht="15">
      <c r="A58" s="31" t="s">
        <v>36</v>
      </c>
    </row>
    <row r="59" spans="1:17" ht="15">
      <c r="A59" s="39"/>
      <c r="Q59" s="35"/>
    </row>
    <row r="60" spans="16:17" ht="15">
      <c r="P60" s="35"/>
      <c r="Q60" s="35"/>
    </row>
    <row r="63" ht="15">
      <c r="P63" s="35"/>
    </row>
  </sheetData>
  <sheetProtection/>
  <autoFilter ref="A2:AB54"/>
  <mergeCells count="16">
    <mergeCell ref="H1:H2"/>
    <mergeCell ref="J1:J2"/>
    <mergeCell ref="A51:G51"/>
    <mergeCell ref="A52:G52"/>
    <mergeCell ref="A53:G53"/>
    <mergeCell ref="D1:D2"/>
    <mergeCell ref="O1:R1"/>
    <mergeCell ref="A54:G54"/>
    <mergeCell ref="A1:A2"/>
    <mergeCell ref="B1:B2"/>
    <mergeCell ref="C1:C2"/>
    <mergeCell ref="M1:M2"/>
    <mergeCell ref="N1:N2"/>
    <mergeCell ref="K1:K2"/>
    <mergeCell ref="L1:L2"/>
    <mergeCell ref="I1:I2"/>
  </mergeCells>
  <conditionalFormatting sqref="AB55 Y52:AB52 Y51:Z51 Y7:AB50">
    <cfRule type="cellIs" priority="28" dxfId="71" operator="equal">
      <formula>FALSE</formula>
    </cfRule>
  </conditionalFormatting>
  <conditionalFormatting sqref="Y52:AA52 Y51:Z51 Y7:AA50">
    <cfRule type="containsText" priority="21" dxfId="71" operator="containsText" text="fałsz">
      <formula>NOT(ISERROR(SEARCH("fałsz",Y7)))</formula>
    </cfRule>
  </conditionalFormatting>
  <conditionalFormatting sqref="Z54:AA54">
    <cfRule type="cellIs" priority="18" dxfId="71" operator="equal">
      <formula>FALSE</formula>
    </cfRule>
  </conditionalFormatting>
  <conditionalFormatting sqref="Y54">
    <cfRule type="cellIs" priority="17" dxfId="71" operator="equal">
      <formula>FALSE</formula>
    </cfRule>
  </conditionalFormatting>
  <conditionalFormatting sqref="Y54:AA54">
    <cfRule type="containsText" priority="16" dxfId="71" operator="containsText" text="fałsz">
      <formula>NOT(ISERROR(SEARCH("fałsz",Y54)))</formula>
    </cfRule>
  </conditionalFormatting>
  <conditionalFormatting sqref="AB54">
    <cfRule type="cellIs" priority="15" dxfId="71" operator="equal">
      <formula>FALSE</formula>
    </cfRule>
  </conditionalFormatting>
  <conditionalFormatting sqref="AB54">
    <cfRule type="cellIs" priority="14" dxfId="71" operator="equal">
      <formula>FALSE</formula>
    </cfRule>
  </conditionalFormatting>
  <conditionalFormatting sqref="Y53:AA53">
    <cfRule type="containsText" priority="11" dxfId="71" operator="containsText" text="fałsz">
      <formula>NOT(ISERROR(SEARCH("fałsz",Y53)))</formula>
    </cfRule>
  </conditionalFormatting>
  <conditionalFormatting sqref="Z53:AA53">
    <cfRule type="cellIs" priority="13" dxfId="71" operator="equal">
      <formula>FALSE</formula>
    </cfRule>
  </conditionalFormatting>
  <conditionalFormatting sqref="Y53">
    <cfRule type="cellIs" priority="12" dxfId="71" operator="equal">
      <formula>FALSE</formula>
    </cfRule>
  </conditionalFormatting>
  <conditionalFormatting sqref="AB53">
    <cfRule type="cellIs" priority="10" dxfId="71" operator="equal">
      <formula>FALSE</formula>
    </cfRule>
  </conditionalFormatting>
  <conditionalFormatting sqref="AB53">
    <cfRule type="cellIs" priority="9" dxfId="71" operator="equal">
      <formula>FALSE</formula>
    </cfRule>
  </conditionalFormatting>
  <conditionalFormatting sqref="Y14:AB15">
    <cfRule type="cellIs" priority="6" dxfId="71" operator="equal">
      <formula>FALSE</formula>
    </cfRule>
  </conditionalFormatting>
  <conditionalFormatting sqref="Y14:AA15">
    <cfRule type="containsText" priority="5" dxfId="71" operator="containsText" text="fałsz">
      <formula>NOT(ISERROR(SEARCH("fałsz",Y14)))</formula>
    </cfRule>
  </conditionalFormatting>
  <conditionalFormatting sqref="Y3:AB6">
    <cfRule type="cellIs" priority="2" dxfId="71" operator="equal">
      <formula>FALSE</formula>
    </cfRule>
  </conditionalFormatting>
  <dataValidations count="3">
    <dataValidation type="list" allowBlank="1" showInputMessage="1" showErrorMessage="1" sqref="D10 C15 C17:C50 D3 D6">
      <formula1>"N,W"</formula1>
    </dataValidation>
    <dataValidation type="list" allowBlank="1" showInputMessage="1" showErrorMessage="1" sqref="H9:H40 H42:H50 H3:H6">
      <formula1>"B,P,R"</formula1>
    </dataValidation>
    <dataValidation type="list" allowBlank="1" showInputMessage="1" showErrorMessage="1" sqref="C3:C16">
      <formula1>"N,K,W"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7" r:id="rId1"/>
  <headerFooter>
    <oddHeader>&amp;LWojewództwo&amp;K000000 opolskie&amp;K01+000 - zadania gminne lista rezerwowa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Przykaza Daniel</dc:creator>
  <cp:keywords/>
  <dc:description/>
  <cp:lastModifiedBy>Justyna Sperczyńska</cp:lastModifiedBy>
  <cp:lastPrinted>2022-05-10T12:10:11Z</cp:lastPrinted>
  <dcterms:created xsi:type="dcterms:W3CDTF">2019-02-25T10:53:14Z</dcterms:created>
  <dcterms:modified xsi:type="dcterms:W3CDTF">2022-05-10T12:10:43Z</dcterms:modified>
  <cp:category/>
  <cp:version/>
  <cp:contentType/>
  <cp:contentStatus/>
</cp:coreProperties>
</file>