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120" windowWidth="14220" windowHeight="8835" activeTab="0"/>
  </bookViews>
  <sheets>
    <sheet name="doch_wyd" sheetId="1" r:id="rId1"/>
  </sheets>
  <definedNames>
    <definedName name="_xlnm.Print_Area" localSheetId="0">'doch_wyd'!$B$1:$L$102</definedName>
  </definedNames>
  <calcPr fullCalcOnLoad="1"/>
</workbook>
</file>

<file path=xl/comments1.xml><?xml version="1.0" encoding="utf-8"?>
<comments xmlns="http://schemas.openxmlformats.org/spreadsheetml/2006/main">
  <authors>
    <author>Michał Chmielewski</author>
  </authors>
  <commentList>
    <comment ref="J44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5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6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8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49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0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1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2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  <comment ref="J53" authorId="0">
      <text>
        <r>
          <rPr>
            <sz val="8"/>
            <rFont val="Tahoma"/>
            <family val="0"/>
          </rPr>
          <t>Odwołanie do obiektu nie zostało ustawione na wystąpienie obiektu.</t>
        </r>
      </text>
    </comment>
  </commentList>
</comments>
</file>

<file path=xl/sharedStrings.xml><?xml version="1.0" encoding="utf-8"?>
<sst xmlns="http://schemas.openxmlformats.org/spreadsheetml/2006/main" count="121" uniqueCount="98">
  <si>
    <t xml:space="preserve">Wyszczególnienie </t>
  </si>
  <si>
    <t xml:space="preserve">Wykonanie </t>
  </si>
  <si>
    <t xml:space="preserve">Struktura </t>
  </si>
  <si>
    <t>Struktura dochodów  własnych</t>
  </si>
  <si>
    <t>w %%</t>
  </si>
  <si>
    <t>DOCHODY OGÓŁEM</t>
  </si>
  <si>
    <t>w tym:   inwestycyjne</t>
  </si>
  <si>
    <t xml:space="preserve">na zadania własne </t>
  </si>
  <si>
    <t>otrzymane z funduszy celowych</t>
  </si>
  <si>
    <t>na zadania z zakresu adm. rządowej</t>
  </si>
  <si>
    <t xml:space="preserve">na zadania realizowane na podstawie porozumień  z org. adm. rządowej </t>
  </si>
  <si>
    <t>na zadania realizowane na podstawie porozumień między jst</t>
  </si>
  <si>
    <t>Zobowiązania wg stanu na koniec 
okresu sprawozdawczego</t>
  </si>
  <si>
    <t>w tym:   wydatki na inwestycje</t>
  </si>
  <si>
    <t xml:space="preserve">wydatki majątkowe      </t>
  </si>
  <si>
    <t xml:space="preserve">WYNIK  </t>
  </si>
  <si>
    <t>Wyszczególnienie</t>
  </si>
  <si>
    <t>Plan (po zmianach)</t>
  </si>
  <si>
    <t>Wskaźnik 
(3:2)</t>
  </si>
  <si>
    <t xml:space="preserve">podatek dochodowy od osób fizycznych </t>
  </si>
  <si>
    <t>dochody z majątku</t>
  </si>
  <si>
    <t xml:space="preserve">pozostałe dochody </t>
  </si>
  <si>
    <t>Struktura</t>
  </si>
  <si>
    <t>Wskaźnik</t>
  </si>
  <si>
    <t>inne cele</t>
  </si>
  <si>
    <t>w tym wymagalne:</t>
  </si>
  <si>
    <t xml:space="preserve">podatek dochodowy od osób prawnych </t>
  </si>
  <si>
    <t>Wskaźnik 
(4:2)</t>
  </si>
  <si>
    <r>
      <t xml:space="preserve">Plan 
(po zmianach)
</t>
    </r>
    <r>
      <rPr>
        <b/>
        <sz val="10"/>
        <color indexed="8"/>
        <rFont val="Arial"/>
        <family val="2"/>
      </rPr>
      <t>R1</t>
    </r>
  </si>
  <si>
    <r>
      <t xml:space="preserve">Dochody 
wykonane
(wpływy minus zwroty) 
</t>
    </r>
    <r>
      <rPr>
        <b/>
        <sz val="10"/>
        <color indexed="8"/>
        <rFont val="Arial"/>
        <family val="2"/>
      </rPr>
      <t>R4</t>
    </r>
  </si>
  <si>
    <r>
      <t xml:space="preserve">Dochody 
otrzymane
</t>
    </r>
    <r>
      <rPr>
        <b/>
        <sz val="10"/>
        <color indexed="8"/>
        <rFont val="Arial"/>
        <family val="2"/>
      </rPr>
      <t>R9</t>
    </r>
  </si>
  <si>
    <t>uzupełnienie subwencji ogólnej</t>
  </si>
  <si>
    <t>część równoważąca</t>
  </si>
  <si>
    <t>część oświatowa</t>
  </si>
  <si>
    <t>część wyrównawcza</t>
  </si>
  <si>
    <t>w tym:   wynagrodzenia osobowe</t>
  </si>
  <si>
    <t>pozostałe wydatki</t>
  </si>
  <si>
    <t>wydatki na obsługę długu</t>
  </si>
  <si>
    <t>dotacje</t>
  </si>
  <si>
    <t>pochodne od wynagrodzeń</t>
  </si>
  <si>
    <t xml:space="preserve">wydatki na wynagrodzenia </t>
  </si>
  <si>
    <r>
      <t xml:space="preserve">powstałe w latach ubiegłych
</t>
    </r>
    <r>
      <rPr>
        <b/>
        <sz val="10"/>
        <rFont val="Arial"/>
        <family val="2"/>
      </rPr>
      <t>R12U</t>
    </r>
  </si>
  <si>
    <r>
      <t xml:space="preserve">powstałe w roku bieżącym
</t>
    </r>
    <r>
      <rPr>
        <b/>
        <sz val="10"/>
        <rFont val="Arial"/>
        <family val="2"/>
      </rPr>
      <t>R12B</t>
    </r>
  </si>
  <si>
    <r>
      <t xml:space="preserve">Plan 
(po zmianach)
</t>
    </r>
    <r>
      <rPr>
        <b/>
        <sz val="10"/>
        <rFont val="Arial"/>
        <family val="2"/>
      </rPr>
      <t>R1</t>
    </r>
  </si>
  <si>
    <r>
      <t xml:space="preserve">Zaangażowanie
</t>
    </r>
    <r>
      <rPr>
        <b/>
        <sz val="10"/>
        <rFont val="Arial"/>
        <family val="2"/>
      </rPr>
      <t>R10</t>
    </r>
  </si>
  <si>
    <r>
      <t xml:space="preserve">Wydatki
 wykonane
</t>
    </r>
    <r>
      <rPr>
        <b/>
        <sz val="10"/>
        <rFont val="Arial"/>
        <family val="2"/>
      </rPr>
      <t>R4</t>
    </r>
  </si>
  <si>
    <r>
      <t xml:space="preserve">ogółem
</t>
    </r>
    <r>
      <rPr>
        <b/>
        <sz val="10"/>
        <rFont val="Arial"/>
        <family val="2"/>
      </rPr>
      <t>R11</t>
    </r>
  </si>
  <si>
    <t>Razem dochody własne 
z tego:</t>
  </si>
  <si>
    <t>Dotacje celowe 
z tego:</t>
  </si>
  <si>
    <t>Subwencja ogólna 
z tego:</t>
  </si>
  <si>
    <t>WYDATKI OGÓŁEM 
z tego:</t>
  </si>
  <si>
    <t>wydatki bieżące 
z tego:</t>
  </si>
  <si>
    <t>Przychody ogółem 
z tego:</t>
  </si>
  <si>
    <t>Rozchody ogółem 
z tego:</t>
  </si>
  <si>
    <t>wydatki z tytułu udzielania poręczeń i gwarancji</t>
  </si>
  <si>
    <t>Dotacje ogółem                        z tego:</t>
  </si>
  <si>
    <t>świadczenia na rzecz osób fizycznych</t>
  </si>
  <si>
    <t>w tym: inwestycyjne § 620</t>
  </si>
  <si>
    <t>majątkowe</t>
  </si>
  <si>
    <t>bieżące</t>
  </si>
  <si>
    <t>UE</t>
  </si>
  <si>
    <t>wydatki majątkowe</t>
  </si>
  <si>
    <t>wydatki bieżące</t>
  </si>
  <si>
    <t>w złotych</t>
  </si>
  <si>
    <t>z tytułu pomocy finansowej udzielanej między jst na dofinansowanie własnych zadań</t>
  </si>
  <si>
    <t>wolne środki, o których mowa w art. 217 ust. 2 pkt 6 ustawy o finansach publicznych  w tym:</t>
  </si>
  <si>
    <t>inne źródła</t>
  </si>
  <si>
    <t>FINANSOWANIE DEFICYTU (E1+E2+E3+E4+E5)  z tego:</t>
  </si>
  <si>
    <t>sprzedaż papierów wartościowych wyemitowanych przez jednostkę samorządu terytorialnego</t>
  </si>
  <si>
    <t>kredyty i pożyczki</t>
  </si>
  <si>
    <t>prywatyzacja majątku jednostki samorządu terytorialnego</t>
  </si>
  <si>
    <t>nadwyżka budżetu jednostki samorządu terytorialnego z lat ubiegłych</t>
  </si>
  <si>
    <t>wolne środki jako nadwyżka środków pieniężnych na rachunku  bieżącym budżetu jednostki samorządu terytorialnego, wynikających  z rozliczeń wyemitowanych papierów wartościowych, kredytów i  pożyczek z lat ubiegłych</t>
  </si>
  <si>
    <t>Łączna kwota wyłączeń z relacji, o której mowa w art. 243 ust. 1 ustawy o finansach publicznych w okresie sprawozdawczym   w tym:</t>
  </si>
  <si>
    <t>kwota wyłączeń, o których mowa w art. 243 ust. 3 ustawy o finansach publicznych</t>
  </si>
  <si>
    <t>kwota wyłączeń, o których mowa w art. 243 ust. 3a ustawy o finansach publicznych</t>
  </si>
  <si>
    <t>wykup papierów wartościowych, spłata kredytów i pożyczek zaciągniętych na spłatę przejętych zobowiązań samodzielnego publicznego zakładu opieki zdrowotnej</t>
  </si>
  <si>
    <t>wykup obligacji nominowanych w walutach obcych wyemitowanych na zagraniczne rynki przed 1 stycznia 2010 r.</t>
  </si>
  <si>
    <t>Zobowiązania związku współtworzonego przez jednostkę samorządu terytorialnego przypadające do spłaty w roku budżetowym</t>
  </si>
  <si>
    <t>Kwota związana z realizacją wydatków bieżących, o których mowa w art. 242 ustawy o finansach publicznych</t>
  </si>
  <si>
    <t>w tym: inwestycyjne § 625</t>
  </si>
  <si>
    <r>
      <t xml:space="preserve">Wydatki, które nie wygasły 
z upływem roku budżetowego) 
(art.263 ust. 2 ustawy 
o finansach publicznych) 
</t>
    </r>
    <r>
      <rPr>
        <b/>
        <sz val="10"/>
        <rFont val="Arial"/>
        <family val="2"/>
      </rPr>
      <t>R9</t>
    </r>
  </si>
  <si>
    <t>Dotacje §§ 200 i 620</t>
  </si>
  <si>
    <t>Dotacje §§ 205 i 625</t>
  </si>
  <si>
    <t>Dochody bieżące                minus                                       wydatki bieżące</t>
  </si>
  <si>
    <t>Wydatki ogółem UE                      z tego:</t>
  </si>
  <si>
    <t>kredyty, pożyczki, emisja papierów wartościowych w tym:</t>
  </si>
  <si>
    <t>ze sprzedaży papierów wartościowych</t>
  </si>
  <si>
    <t>spłata  udzielonych pożyczek</t>
  </si>
  <si>
    <t>nadwyżka z lat ubiegłych</t>
  </si>
  <si>
    <t>prywatyzacja majątku JST</t>
  </si>
  <si>
    <t>wykup papierów wartościowych</t>
  </si>
  <si>
    <t xml:space="preserve"> udzielone pożyczki</t>
  </si>
  <si>
    <t>spłaty kredytów i  pożyczek, wykup papierów wartościowych w tym:</t>
  </si>
  <si>
    <t>Kwota planowanych wydatków bieżących ponoszonych na spłatę przejętych zobowiązań samodzielnego publicznego zakładu opieki zdrowotnej przekształconego na zasadach określonych w ustawie o działalności leczniczej</t>
  </si>
  <si>
    <t>Kwota wykonanych wydatków bieżących ponoszonych na spłatę przejętych zobowiązań samodzielnego publicznego zakładu opieki zdrowotnej przekształconego na zasadach określonych w ustawie o działalności leczniczej</t>
  </si>
  <si>
    <t>Stan na koniec okresu sprawozdawczego</t>
  </si>
  <si>
    <t xml:space="preserve">Informacja z wykonania budżetów powiatów za III Kwartały 2018 rok     </t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</si>
</sst>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#,##0.0"/>
    <numFmt numFmtId="165" formatCode="0.0"/>
    <numFmt numFmtId="166" formatCode="dd/mm/yy\ h:mm;@"/>
    <numFmt numFmtId="167" formatCode="&quot;Tak&quot;;&quot;Tak&quot;;&quot;Nie&quot;"/>
    <numFmt numFmtId="168" formatCode="&quot;Prawda&quot;;&quot;Prawda&quot;;&quot;Fałsz&quot;"/>
    <numFmt numFmtId="169" formatCode="&quot;Włączone&quot;;&quot;Włączone&quot;;&quot;Wyłączone&quot;"/>
    <numFmt numFmtId="170" formatCode="[$€-2]\ #,##0.00_);[Red]\([$€-2]\ #,##0.00\)"/>
  </numFmts>
  <fonts count="62">
    <font>
      <sz val="10"/>
      <name val="Arial CE"/>
      <family val="0"/>
    </font>
    <font>
      <u val="single"/>
      <sz val="10"/>
      <color indexed="12"/>
      <name val="Arial CE"/>
      <family val="0"/>
    </font>
    <font>
      <u val="single"/>
      <sz val="10"/>
      <color indexed="36"/>
      <name val="Arial CE"/>
      <family val="0"/>
    </font>
    <font>
      <sz val="10"/>
      <name val="Arial"/>
      <family val="2"/>
    </font>
    <font>
      <sz val="10"/>
      <color indexed="8"/>
      <name val="Arial"/>
      <family val="2"/>
    </font>
    <font>
      <sz val="8"/>
      <color indexed="8"/>
      <name val="Arial"/>
      <family val="2"/>
    </font>
    <font>
      <sz val="9"/>
      <color indexed="8"/>
      <name val="Arial"/>
      <family val="2"/>
    </font>
    <font>
      <sz val="8"/>
      <name val="Arial"/>
      <family val="2"/>
    </font>
    <font>
      <b/>
      <sz val="10"/>
      <color indexed="8"/>
      <name val="Arial"/>
      <family val="2"/>
    </font>
    <font>
      <sz val="9"/>
      <name val="Arial"/>
      <family val="2"/>
    </font>
    <font>
      <sz val="9.5"/>
      <name val="Arial"/>
      <family val="2"/>
    </font>
    <font>
      <b/>
      <sz val="10"/>
      <name val="Arial"/>
      <family val="2"/>
    </font>
    <font>
      <b/>
      <sz val="8"/>
      <name val="Arial"/>
      <family val="2"/>
    </font>
    <font>
      <b/>
      <sz val="8"/>
      <color indexed="8"/>
      <name val="Arial"/>
      <family val="2"/>
    </font>
    <font>
      <sz val="8"/>
      <name val="Tahoma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62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4"/>
      <name val="Arial"/>
      <family val="2"/>
    </font>
    <font>
      <b/>
      <sz val="7"/>
      <color indexed="8"/>
      <name val="Arial"/>
      <family val="2"/>
    </font>
    <font>
      <sz val="7"/>
      <color indexed="8"/>
      <name val="Arial"/>
      <family val="2"/>
    </font>
    <font>
      <sz val="7"/>
      <name val="Arial"/>
      <family val="2"/>
    </font>
    <font>
      <b/>
      <sz val="7"/>
      <name val="Arial"/>
      <family val="2"/>
    </font>
    <font>
      <sz val="7"/>
      <name val="Arial CE"/>
      <family val="0"/>
    </font>
    <font>
      <vertAlign val="subscript"/>
      <sz val="1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8"/>
      <color indexed="54"/>
      <name val="Calibri Light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9C0006"/>
      <name val="Calibri"/>
      <family val="2"/>
    </font>
    <font>
      <sz val="8"/>
      <color theme="1"/>
      <name val="Arial"/>
      <family val="2"/>
    </font>
    <font>
      <b/>
      <sz val="8"/>
      <name val="Arial CE"/>
      <family val="2"/>
    </font>
  </fonts>
  <fills count="53">
    <fill>
      <patternFill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4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14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indexed="9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indexed="49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49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 style="thin">
        <color indexed="49"/>
      </top>
      <bottom style="double">
        <color indexed="49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medium"/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10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15" fillId="2" borderId="0" applyNumberFormat="0" applyBorder="0" applyAlignment="0" applyProtection="0"/>
    <xf numFmtId="0" fontId="15" fillId="3" borderId="0" applyNumberFormat="0" applyBorder="0" applyAlignment="0" applyProtection="0"/>
    <xf numFmtId="0" fontId="15" fillId="4" borderId="0" applyNumberFormat="0" applyBorder="0" applyAlignment="0" applyProtection="0"/>
    <xf numFmtId="0" fontId="15" fillId="2" borderId="0" applyNumberFormat="0" applyBorder="0" applyAlignment="0" applyProtection="0"/>
    <xf numFmtId="0" fontId="15" fillId="5" borderId="0" applyNumberFormat="0" applyBorder="0" applyAlignment="0" applyProtection="0"/>
    <xf numFmtId="0" fontId="15" fillId="6" borderId="0" applyNumberFormat="0" applyBorder="0" applyAlignment="0" applyProtection="0"/>
    <xf numFmtId="0" fontId="43" fillId="7" borderId="0" applyNumberFormat="0" applyBorder="0" applyAlignment="0" applyProtection="0"/>
    <xf numFmtId="0" fontId="43" fillId="8" borderId="0" applyNumberFormat="0" applyBorder="0" applyAlignment="0" applyProtection="0"/>
    <xf numFmtId="0" fontId="43" fillId="9" borderId="0" applyNumberFormat="0" applyBorder="0" applyAlignment="0" applyProtection="0"/>
    <xf numFmtId="0" fontId="43" fillId="10" borderId="0" applyNumberFormat="0" applyBorder="0" applyAlignment="0" applyProtection="0"/>
    <xf numFmtId="0" fontId="43" fillId="11" borderId="0" applyNumberFormat="0" applyBorder="0" applyAlignment="0" applyProtection="0"/>
    <xf numFmtId="0" fontId="43" fillId="12" borderId="0" applyNumberFormat="0" applyBorder="0" applyAlignment="0" applyProtection="0"/>
    <xf numFmtId="0" fontId="15" fillId="13" borderId="0" applyNumberFormat="0" applyBorder="0" applyAlignment="0" applyProtection="0"/>
    <xf numFmtId="0" fontId="15" fillId="3" borderId="0" applyNumberFormat="0" applyBorder="0" applyAlignment="0" applyProtection="0"/>
    <xf numFmtId="0" fontId="15" fillId="14" borderId="0" applyNumberFormat="0" applyBorder="0" applyAlignment="0" applyProtection="0"/>
    <xf numFmtId="0" fontId="15" fillId="13" borderId="0" applyNumberFormat="0" applyBorder="0" applyAlignment="0" applyProtection="0"/>
    <xf numFmtId="0" fontId="15" fillId="15" borderId="0" applyNumberFormat="0" applyBorder="0" applyAlignment="0" applyProtection="0"/>
    <xf numFmtId="0" fontId="15" fillId="6" borderId="0" applyNumberFormat="0" applyBorder="0" applyAlignment="0" applyProtection="0"/>
    <xf numFmtId="0" fontId="43" fillId="16" borderId="0" applyNumberFormat="0" applyBorder="0" applyAlignment="0" applyProtection="0"/>
    <xf numFmtId="0" fontId="43" fillId="17" borderId="0" applyNumberFormat="0" applyBorder="0" applyAlignment="0" applyProtection="0"/>
    <xf numFmtId="0" fontId="43" fillId="18" borderId="0" applyNumberFormat="0" applyBorder="0" applyAlignment="0" applyProtection="0"/>
    <xf numFmtId="0" fontId="43" fillId="19" borderId="0" applyNumberFormat="0" applyBorder="0" applyAlignment="0" applyProtection="0"/>
    <xf numFmtId="0" fontId="43" fillId="20" borderId="0" applyNumberFormat="0" applyBorder="0" applyAlignment="0" applyProtection="0"/>
    <xf numFmtId="0" fontId="43" fillId="21" borderId="0" applyNumberFormat="0" applyBorder="0" applyAlignment="0" applyProtection="0"/>
    <xf numFmtId="0" fontId="16" fillId="22" borderId="0" applyNumberFormat="0" applyBorder="0" applyAlignment="0" applyProtection="0"/>
    <xf numFmtId="0" fontId="16" fillId="3" borderId="0" applyNumberFormat="0" applyBorder="0" applyAlignment="0" applyProtection="0"/>
    <xf numFmtId="0" fontId="16" fillId="14" borderId="0" applyNumberFormat="0" applyBorder="0" applyAlignment="0" applyProtection="0"/>
    <xf numFmtId="0" fontId="16" fillId="13" borderId="0" applyNumberFormat="0" applyBorder="0" applyAlignment="0" applyProtection="0"/>
    <xf numFmtId="0" fontId="16" fillId="22" borderId="0" applyNumberFormat="0" applyBorder="0" applyAlignment="0" applyProtection="0"/>
    <xf numFmtId="0" fontId="16" fillId="6" borderId="0" applyNumberFormat="0" applyBorder="0" applyAlignment="0" applyProtection="0"/>
    <xf numFmtId="0" fontId="44" fillId="23" borderId="0" applyNumberFormat="0" applyBorder="0" applyAlignment="0" applyProtection="0"/>
    <xf numFmtId="0" fontId="44" fillId="24" borderId="0" applyNumberFormat="0" applyBorder="0" applyAlignment="0" applyProtection="0"/>
    <xf numFmtId="0" fontId="44" fillId="25" borderId="0" applyNumberFormat="0" applyBorder="0" applyAlignment="0" applyProtection="0"/>
    <xf numFmtId="0" fontId="44" fillId="26" borderId="0" applyNumberFormat="0" applyBorder="0" applyAlignment="0" applyProtection="0"/>
    <xf numFmtId="0" fontId="44" fillId="27" borderId="0" applyNumberFormat="0" applyBorder="0" applyAlignment="0" applyProtection="0"/>
    <xf numFmtId="0" fontId="44" fillId="28" borderId="0" applyNumberFormat="0" applyBorder="0" applyAlignment="0" applyProtection="0"/>
    <xf numFmtId="0" fontId="16" fillId="22" borderId="0" applyNumberFormat="0" applyBorder="0" applyAlignment="0" applyProtection="0"/>
    <xf numFmtId="0" fontId="16" fillId="29" borderId="0" applyNumberFormat="0" applyBorder="0" applyAlignment="0" applyProtection="0"/>
    <xf numFmtId="0" fontId="16" fillId="30" borderId="0" applyNumberFormat="0" applyBorder="0" applyAlignment="0" applyProtection="0"/>
    <xf numFmtId="0" fontId="16" fillId="31" borderId="0" applyNumberFormat="0" applyBorder="0" applyAlignment="0" applyProtection="0"/>
    <xf numFmtId="0" fontId="16" fillId="22" borderId="0" applyNumberFormat="0" applyBorder="0" applyAlignment="0" applyProtection="0"/>
    <xf numFmtId="0" fontId="16" fillId="32" borderId="0" applyNumberFormat="0" applyBorder="0" applyAlignment="0" applyProtection="0"/>
    <xf numFmtId="0" fontId="44" fillId="33" borderId="0" applyNumberFormat="0" applyBorder="0" applyAlignment="0" applyProtection="0"/>
    <xf numFmtId="0" fontId="44" fillId="34" borderId="0" applyNumberFormat="0" applyBorder="0" applyAlignment="0" applyProtection="0"/>
    <xf numFmtId="0" fontId="44" fillId="35" borderId="0" applyNumberFormat="0" applyBorder="0" applyAlignment="0" applyProtection="0"/>
    <xf numFmtId="0" fontId="44" fillId="36" borderId="0" applyNumberFormat="0" applyBorder="0" applyAlignment="0" applyProtection="0"/>
    <xf numFmtId="0" fontId="44" fillId="37" borderId="0" applyNumberFormat="0" applyBorder="0" applyAlignment="0" applyProtection="0"/>
    <xf numFmtId="0" fontId="44" fillId="38" borderId="0" applyNumberFormat="0" applyBorder="0" applyAlignment="0" applyProtection="0"/>
    <xf numFmtId="0" fontId="17" fillId="39" borderId="0" applyNumberFormat="0" applyBorder="0" applyAlignment="0" applyProtection="0"/>
    <xf numFmtId="0" fontId="18" fillId="40" borderId="1" applyNumberFormat="0" applyAlignment="0" applyProtection="0"/>
    <xf numFmtId="0" fontId="19" fillId="41" borderId="2" applyNumberFormat="0" applyAlignment="0" applyProtection="0"/>
    <xf numFmtId="0" fontId="45" fillId="42" borderId="3" applyNumberFormat="0" applyAlignment="0" applyProtection="0"/>
    <xf numFmtId="0" fontId="46" fillId="43" borderId="4" applyNumberFormat="0" applyAlignment="0" applyProtection="0"/>
    <xf numFmtId="0" fontId="47" fillId="44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0" fontId="21" fillId="45" borderId="0" applyNumberFormat="0" applyBorder="0" applyAlignment="0" applyProtection="0"/>
    <xf numFmtId="0" fontId="22" fillId="0" borderId="5" applyNumberFormat="0" applyFill="0" applyAlignment="0" applyProtection="0"/>
    <xf numFmtId="0" fontId="23" fillId="0" borderId="6" applyNumberFormat="0" applyFill="0" applyAlignment="0" applyProtection="0"/>
    <xf numFmtId="0" fontId="24" fillId="0" borderId="7" applyNumberFormat="0" applyFill="0" applyAlignment="0" applyProtection="0"/>
    <xf numFmtId="0" fontId="24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5" fillId="6" borderId="1" applyNumberFormat="0" applyAlignment="0" applyProtection="0"/>
    <xf numFmtId="0" fontId="48" fillId="0" borderId="8" applyNumberFormat="0" applyFill="0" applyAlignment="0" applyProtection="0"/>
    <xf numFmtId="0" fontId="49" fillId="46" borderId="9" applyNumberFormat="0" applyAlignment="0" applyProtection="0"/>
    <xf numFmtId="0" fontId="26" fillId="0" borderId="10" applyNumberFormat="0" applyFill="0" applyAlignment="0" applyProtection="0"/>
    <xf numFmtId="0" fontId="50" fillId="0" borderId="11" applyNumberFormat="0" applyFill="0" applyAlignment="0" applyProtection="0"/>
    <xf numFmtId="0" fontId="51" fillId="0" borderId="12" applyNumberFormat="0" applyFill="0" applyAlignment="0" applyProtection="0"/>
    <xf numFmtId="0" fontId="52" fillId="0" borderId="13" applyNumberFormat="0" applyFill="0" applyAlignment="0" applyProtection="0"/>
    <xf numFmtId="0" fontId="52" fillId="0" borderId="0" applyNumberFormat="0" applyFill="0" applyBorder="0" applyAlignment="0" applyProtection="0"/>
    <xf numFmtId="0" fontId="27" fillId="14" borderId="0" applyNumberFormat="0" applyBorder="0" applyAlignment="0" applyProtection="0"/>
    <xf numFmtId="0" fontId="53" fillId="47" borderId="0" applyNumberFormat="0" applyBorder="0" applyAlignment="0" applyProtection="0"/>
    <xf numFmtId="0" fontId="43" fillId="0" borderId="0">
      <alignment/>
      <protection/>
    </xf>
    <xf numFmtId="0" fontId="0" fillId="4" borderId="14" applyNumberFormat="0" applyFont="0" applyAlignment="0" applyProtection="0"/>
    <xf numFmtId="0" fontId="54" fillId="43" borderId="3" applyNumberFormat="0" applyAlignment="0" applyProtection="0"/>
    <xf numFmtId="0" fontId="2" fillId="0" borderId="0" applyNumberFormat="0" applyFill="0" applyBorder="0" applyAlignment="0" applyProtection="0"/>
    <xf numFmtId="0" fontId="28" fillId="40" borderId="15" applyNumberFormat="0" applyAlignment="0" applyProtection="0"/>
    <xf numFmtId="9" fontId="0" fillId="0" borderId="0" applyFont="0" applyFill="0" applyBorder="0" applyAlignment="0" applyProtection="0"/>
    <xf numFmtId="0" fontId="55" fillId="0" borderId="16" applyNumberFormat="0" applyFill="0" applyAlignment="0" applyProtection="0"/>
    <xf numFmtId="0" fontId="56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7" applyNumberFormat="0" applyFill="0" applyAlignment="0" applyProtection="0"/>
    <xf numFmtId="0" fontId="58" fillId="0" borderId="0" applyNumberFormat="0" applyFill="0" applyBorder="0" applyAlignment="0" applyProtection="0"/>
    <xf numFmtId="0" fontId="0" fillId="48" borderId="18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59" fillId="49" borderId="0" applyNumberFormat="0" applyBorder="0" applyAlignment="0" applyProtection="0"/>
  </cellStyleXfs>
  <cellXfs count="132">
    <xf numFmtId="0" fontId="0" fillId="0" borderId="0" xfId="0" applyAlignment="1">
      <alignment/>
    </xf>
    <xf numFmtId="0" fontId="3" fillId="0" borderId="0" xfId="0" applyFont="1" applyAlignment="1">
      <alignment/>
    </xf>
    <xf numFmtId="0" fontId="7" fillId="0" borderId="0" xfId="0" applyFont="1" applyFill="1" applyAlignment="1">
      <alignment horizontal="left" vertical="center"/>
    </xf>
    <xf numFmtId="164" fontId="3" fillId="0" borderId="0" xfId="0" applyNumberFormat="1" applyFont="1" applyFill="1" applyAlignment="1">
      <alignment/>
    </xf>
    <xf numFmtId="0" fontId="9" fillId="0" borderId="0" xfId="0" applyFont="1" applyFill="1" applyAlignment="1">
      <alignment vertical="center"/>
    </xf>
    <xf numFmtId="0" fontId="3" fillId="0" borderId="0" xfId="0" applyFont="1" applyFill="1" applyAlignment="1">
      <alignment/>
    </xf>
    <xf numFmtId="0" fontId="6" fillId="0" borderId="0" xfId="0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left" vertical="center"/>
    </xf>
    <xf numFmtId="3" fontId="6" fillId="0" borderId="0" xfId="0" applyNumberFormat="1" applyFont="1" applyFill="1" applyBorder="1" applyAlignment="1">
      <alignment horizontal="right" vertical="center"/>
    </xf>
    <xf numFmtId="164" fontId="6" fillId="0" borderId="0" xfId="0" applyNumberFormat="1" applyFont="1" applyFill="1" applyBorder="1" applyAlignment="1">
      <alignment horizontal="center" vertical="center"/>
    </xf>
    <xf numFmtId="0" fontId="3" fillId="0" borderId="0" xfId="0" applyFont="1" applyBorder="1" applyAlignment="1">
      <alignment/>
    </xf>
    <xf numFmtId="0" fontId="4" fillId="0" borderId="0" xfId="0" applyFont="1" applyBorder="1" applyAlignment="1">
      <alignment horizontal="center" vertical="center" wrapText="1"/>
    </xf>
    <xf numFmtId="0" fontId="10" fillId="0" borderId="0" xfId="0" applyFont="1" applyBorder="1" applyAlignment="1">
      <alignment horizontal="center" vertical="center" wrapText="1"/>
    </xf>
    <xf numFmtId="0" fontId="3" fillId="0" borderId="0" xfId="0" applyFont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9" fillId="0" borderId="0" xfId="0" applyFont="1" applyFill="1" applyBorder="1" applyAlignment="1">
      <alignment vertical="center"/>
    </xf>
    <xf numFmtId="0" fontId="5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5" fillId="0" borderId="19" xfId="0" applyFont="1" applyBorder="1" applyAlignment="1">
      <alignment horizontal="left" vertical="center" wrapText="1" indent="1"/>
    </xf>
    <xf numFmtId="164" fontId="7" fillId="0" borderId="0" xfId="0" applyNumberFormat="1" applyFont="1" applyAlignment="1">
      <alignment horizontal="right" vertical="center"/>
    </xf>
    <xf numFmtId="164" fontId="7" fillId="0" borderId="0" xfId="0" applyNumberFormat="1" applyFont="1" applyFill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1"/>
    </xf>
    <xf numFmtId="0" fontId="7" fillId="0" borderId="0" xfId="0" applyFont="1" applyAlignment="1">
      <alignment/>
    </xf>
    <xf numFmtId="0" fontId="7" fillId="2" borderId="19" xfId="0" applyNumberFormat="1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/>
    </xf>
    <xf numFmtId="0" fontId="11" fillId="2" borderId="19" xfId="0" applyFont="1" applyFill="1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/>
    </xf>
    <xf numFmtId="0" fontId="7" fillId="2" borderId="21" xfId="0" applyFont="1" applyFill="1" applyBorder="1" applyAlignment="1">
      <alignment horizontal="center"/>
    </xf>
    <xf numFmtId="0" fontId="13" fillId="40" borderId="19" xfId="0" applyFont="1" applyFill="1" applyBorder="1" applyAlignment="1">
      <alignment horizontal="left" vertical="center" wrapText="1"/>
    </xf>
    <xf numFmtId="4" fontId="33" fillId="40" borderId="19" xfId="0" applyNumberFormat="1" applyFont="1" applyFill="1" applyBorder="1" applyAlignment="1">
      <alignment horizontal="right" vertical="center"/>
    </xf>
    <xf numFmtId="164" fontId="33" fillId="40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Fill="1" applyBorder="1" applyAlignment="1">
      <alignment horizontal="right" vertical="center"/>
    </xf>
    <xf numFmtId="164" fontId="34" fillId="0" borderId="19" xfId="0" applyNumberFormat="1" applyFont="1" applyFill="1" applyBorder="1" applyAlignment="1">
      <alignment horizontal="right" vertical="center"/>
    </xf>
    <xf numFmtId="164" fontId="34" fillId="40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Border="1" applyAlignment="1">
      <alignment horizontal="right" vertical="center"/>
    </xf>
    <xf numFmtId="164" fontId="35" fillId="0" borderId="0" xfId="0" applyNumberFormat="1" applyFont="1" applyAlignment="1">
      <alignment horizontal="right" vertical="center"/>
    </xf>
    <xf numFmtId="0" fontId="13" fillId="0" borderId="0" xfId="0" applyFont="1" applyBorder="1" applyAlignment="1">
      <alignment horizontal="left" vertical="center"/>
    </xf>
    <xf numFmtId="0" fontId="13" fillId="0" borderId="22" xfId="0" applyFont="1" applyBorder="1" applyAlignment="1">
      <alignment horizontal="center" vertical="center"/>
    </xf>
    <xf numFmtId="4" fontId="33" fillId="40" borderId="19" xfId="0" applyNumberFormat="1" applyFont="1" applyFill="1" applyBorder="1" applyAlignment="1">
      <alignment horizontal="right" vertical="center" wrapText="1"/>
    </xf>
    <xf numFmtId="164" fontId="36" fillId="40" borderId="19" xfId="0" applyNumberFormat="1" applyFont="1" applyFill="1" applyBorder="1" applyAlignment="1">
      <alignment horizontal="right" vertical="center"/>
    </xf>
    <xf numFmtId="164" fontId="35" fillId="0" borderId="19" xfId="0" applyNumberFormat="1" applyFont="1" applyBorder="1" applyAlignment="1">
      <alignment horizontal="right" vertical="center"/>
    </xf>
    <xf numFmtId="0" fontId="35" fillId="0" borderId="0" xfId="0" applyFont="1" applyAlignment="1">
      <alignment/>
    </xf>
    <xf numFmtId="0" fontId="35" fillId="0" borderId="0" xfId="0" applyFont="1" applyBorder="1" applyAlignment="1">
      <alignment/>
    </xf>
    <xf numFmtId="3" fontId="33" fillId="0" borderId="0" xfId="0" applyNumberFormat="1" applyFont="1" applyBorder="1" applyAlignment="1">
      <alignment horizontal="right" vertical="center"/>
    </xf>
    <xf numFmtId="164" fontId="35" fillId="0" borderId="0" xfId="0" applyNumberFormat="1" applyFont="1" applyAlignment="1">
      <alignment/>
    </xf>
    <xf numFmtId="4" fontId="36" fillId="40" borderId="20" xfId="0" applyNumberFormat="1" applyFont="1" applyFill="1" applyBorder="1" applyAlignment="1">
      <alignment horizontal="right" vertical="center"/>
    </xf>
    <xf numFmtId="4" fontId="36" fillId="40" borderId="21" xfId="0" applyNumberFormat="1" applyFont="1" applyFill="1" applyBorder="1" applyAlignment="1">
      <alignment horizontal="right" vertical="center"/>
    </xf>
    <xf numFmtId="164" fontId="36" fillId="40" borderId="19" xfId="71" applyNumberFormat="1" applyFont="1" applyFill="1" applyBorder="1" applyAlignment="1">
      <alignment horizontal="right" vertical="center"/>
    </xf>
    <xf numFmtId="4" fontId="35" fillId="0" borderId="20" xfId="0" applyNumberFormat="1" applyFont="1" applyBorder="1" applyAlignment="1">
      <alignment horizontal="right" vertical="center"/>
    </xf>
    <xf numFmtId="4" fontId="35" fillId="0" borderId="21" xfId="0" applyNumberFormat="1" applyFont="1" applyBorder="1" applyAlignment="1">
      <alignment horizontal="right" vertical="center"/>
    </xf>
    <xf numFmtId="164" fontId="36" fillId="50" borderId="19" xfId="71" applyNumberFormat="1" applyFont="1" applyFill="1" applyBorder="1" applyAlignment="1">
      <alignment horizontal="right" vertical="center"/>
    </xf>
    <xf numFmtId="164" fontId="36" fillId="50" borderId="19" xfId="0" applyNumberFormat="1" applyFont="1" applyFill="1" applyBorder="1" applyAlignment="1">
      <alignment horizontal="right" vertical="center"/>
    </xf>
    <xf numFmtId="4" fontId="35" fillId="51" borderId="20" xfId="0" applyNumberFormat="1" applyFont="1" applyFill="1" applyBorder="1" applyAlignment="1">
      <alignment horizontal="right" vertical="center"/>
    </xf>
    <xf numFmtId="4" fontId="35" fillId="51" borderId="21" xfId="0" applyNumberFormat="1" applyFont="1" applyFill="1" applyBorder="1" applyAlignment="1">
      <alignment horizontal="right" vertical="center"/>
    </xf>
    <xf numFmtId="164" fontId="36" fillId="51" borderId="19" xfId="0" applyNumberFormat="1" applyFont="1" applyFill="1" applyBorder="1" applyAlignment="1">
      <alignment horizontal="right" vertical="center"/>
    </xf>
    <xf numFmtId="4" fontId="35" fillId="50" borderId="20" xfId="0" applyNumberFormat="1" applyFont="1" applyFill="1" applyBorder="1" applyAlignment="1">
      <alignment horizontal="right" vertical="center"/>
    </xf>
    <xf numFmtId="4" fontId="35" fillId="50" borderId="21" xfId="0" applyNumberFormat="1" applyFont="1" applyFill="1" applyBorder="1" applyAlignment="1">
      <alignment horizontal="right" vertical="center"/>
    </xf>
    <xf numFmtId="4" fontId="36" fillId="51" borderId="20" xfId="0" applyNumberFormat="1" applyFont="1" applyFill="1" applyBorder="1" applyAlignment="1">
      <alignment horizontal="right" vertical="center"/>
    </xf>
    <xf numFmtId="4" fontId="36" fillId="51" borderId="21" xfId="0" applyNumberFormat="1" applyFont="1" applyFill="1" applyBorder="1" applyAlignment="1">
      <alignment horizontal="right" vertical="center"/>
    </xf>
    <xf numFmtId="0" fontId="12" fillId="2" borderId="19" xfId="0" applyFont="1" applyFill="1" applyBorder="1" applyAlignment="1">
      <alignment horizontal="center" vertical="center" wrapText="1"/>
    </xf>
    <xf numFmtId="0" fontId="13" fillId="40" borderId="19" xfId="0" applyFont="1" applyFill="1" applyBorder="1" applyAlignment="1">
      <alignment horizontal="left" vertical="top" wrapText="1"/>
    </xf>
    <xf numFmtId="0" fontId="5" fillId="0" borderId="19" xfId="0" applyFont="1" applyFill="1" applyBorder="1" applyAlignment="1">
      <alignment horizontal="left" vertical="top" wrapText="1" indent="1"/>
    </xf>
    <xf numFmtId="0" fontId="5" fillId="0" borderId="19" xfId="0" applyFont="1" applyBorder="1" applyAlignment="1">
      <alignment horizontal="left" vertical="top" wrapText="1" indent="2"/>
    </xf>
    <xf numFmtId="0" fontId="60" fillId="0" borderId="19" xfId="89" applyFont="1" applyBorder="1" applyAlignment="1">
      <alignment horizontal="left" vertical="top" wrapText="1"/>
      <protection/>
    </xf>
    <xf numFmtId="0" fontId="60" fillId="51" borderId="19" xfId="89" applyFont="1" applyFill="1" applyBorder="1" applyAlignment="1">
      <alignment horizontal="left" vertical="top" wrapText="1"/>
      <protection/>
    </xf>
    <xf numFmtId="0" fontId="12" fillId="40" borderId="19" xfId="0" applyFont="1" applyFill="1" applyBorder="1" applyAlignment="1">
      <alignment horizontal="left" vertical="top" wrapText="1"/>
    </xf>
    <xf numFmtId="0" fontId="7" fillId="0" borderId="19" xfId="0" applyFont="1" applyBorder="1" applyAlignment="1">
      <alignment horizontal="left" vertical="top" wrapText="1"/>
    </xf>
    <xf numFmtId="0" fontId="7" fillId="52" borderId="19" xfId="0" applyFont="1" applyFill="1" applyBorder="1" applyAlignment="1">
      <alignment horizontal="left" vertical="top" wrapText="1"/>
    </xf>
    <xf numFmtId="0" fontId="13" fillId="51" borderId="19" xfId="0" applyFont="1" applyFill="1" applyBorder="1" applyAlignment="1">
      <alignment horizontal="left" vertical="top" wrapText="1"/>
    </xf>
    <xf numFmtId="4" fontId="33" fillId="51" borderId="19" xfId="0" applyNumberFormat="1" applyFont="1" applyFill="1" applyBorder="1" applyAlignment="1">
      <alignment horizontal="right" vertical="center"/>
    </xf>
    <xf numFmtId="164" fontId="33" fillId="51" borderId="19" xfId="0" applyNumberFormat="1" applyFont="1" applyFill="1" applyBorder="1" applyAlignment="1">
      <alignment horizontal="right" vertical="center"/>
    </xf>
    <xf numFmtId="4" fontId="35" fillId="0" borderId="19" xfId="0" applyNumberFormat="1" applyFont="1" applyFill="1" applyBorder="1" applyAlignment="1">
      <alignment horizontal="right" vertical="center"/>
    </xf>
    <xf numFmtId="164" fontId="34" fillId="0" borderId="0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top" wrapText="1" indent="2"/>
    </xf>
    <xf numFmtId="4" fontId="34" fillId="51" borderId="19" xfId="0" applyNumberFormat="1" applyFont="1" applyFill="1" applyBorder="1" applyAlignment="1">
      <alignment horizontal="right" vertical="center"/>
    </xf>
    <xf numFmtId="164" fontId="34" fillId="51" borderId="19" xfId="0" applyNumberFormat="1" applyFont="1" applyFill="1" applyBorder="1" applyAlignment="1">
      <alignment horizontal="right" vertical="center"/>
    </xf>
    <xf numFmtId="0" fontId="13" fillId="51" borderId="19" xfId="0" applyFont="1" applyFill="1" applyBorder="1" applyAlignment="1">
      <alignment horizontal="left" vertical="top" wrapText="1" indent="1"/>
    </xf>
    <xf numFmtId="0" fontId="13" fillId="51" borderId="19" xfId="0" applyFont="1" applyFill="1" applyBorder="1" applyAlignment="1">
      <alignment horizontal="left" vertical="center" wrapText="1"/>
    </xf>
    <xf numFmtId="4" fontId="36" fillId="51" borderId="19" xfId="0" applyNumberFormat="1" applyFont="1" applyFill="1" applyBorder="1" applyAlignment="1">
      <alignment horizontal="right" vertical="center"/>
    </xf>
    <xf numFmtId="0" fontId="5" fillId="0" borderId="19" xfId="0" applyFont="1" applyFill="1" applyBorder="1" applyAlignment="1">
      <alignment horizontal="left" vertical="center" wrapText="1" indent="2"/>
    </xf>
    <xf numFmtId="4" fontId="34" fillId="0" borderId="19" xfId="0" applyNumberFormat="1" applyFont="1" applyFill="1" applyBorder="1" applyAlignment="1">
      <alignment horizontal="right" vertical="center" wrapText="1"/>
    </xf>
    <xf numFmtId="164" fontId="35" fillId="0" borderId="19" xfId="0" applyNumberFormat="1" applyFont="1" applyFill="1" applyBorder="1" applyAlignment="1">
      <alignment horizontal="right" vertical="center"/>
    </xf>
    <xf numFmtId="4" fontId="34" fillId="51" borderId="19" xfId="0" applyNumberFormat="1" applyFont="1" applyFill="1" applyBorder="1" applyAlignment="1">
      <alignment horizontal="right" vertical="center" wrapText="1"/>
    </xf>
    <xf numFmtId="164" fontId="35" fillId="51" borderId="19" xfId="0" applyNumberFormat="1" applyFont="1" applyFill="1" applyBorder="1" applyAlignment="1">
      <alignment horizontal="right" vertical="center"/>
    </xf>
    <xf numFmtId="0" fontId="7" fillId="0" borderId="23" xfId="0" applyFont="1" applyFill="1" applyBorder="1" applyAlignment="1">
      <alignment horizontal="right"/>
    </xf>
    <xf numFmtId="0" fontId="13" fillId="51" borderId="23" xfId="0" applyFont="1" applyFill="1" applyBorder="1" applyAlignment="1">
      <alignment horizontal="left" vertical="top" wrapText="1"/>
    </xf>
    <xf numFmtId="4" fontId="33" fillId="51" borderId="19" xfId="0" applyNumberFormat="1" applyFont="1" applyFill="1" applyBorder="1" applyAlignment="1">
      <alignment horizontal="right" vertical="center" wrapText="1"/>
    </xf>
    <xf numFmtId="0" fontId="12" fillId="51" borderId="24" xfId="0" applyFont="1" applyFill="1" applyBorder="1" applyAlignment="1">
      <alignment horizontal="center" vertical="top" wrapText="1"/>
    </xf>
    <xf numFmtId="4" fontId="33" fillId="40" borderId="24" xfId="0" applyNumberFormat="1" applyFont="1" applyFill="1" applyBorder="1" applyAlignment="1">
      <alignment horizontal="right" vertical="center" wrapText="1"/>
    </xf>
    <xf numFmtId="0" fontId="33" fillId="0" borderId="24" xfId="0" applyFont="1" applyBorder="1" applyAlignment="1">
      <alignment horizontal="left" vertical="center"/>
    </xf>
    <xf numFmtId="4" fontId="35" fillId="51" borderId="25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top" wrapText="1" indent="1"/>
    </xf>
    <xf numFmtId="4" fontId="35" fillId="0" borderId="20" xfId="0" applyNumberFormat="1" applyFont="1" applyFill="1" applyBorder="1" applyAlignment="1">
      <alignment horizontal="right" vertical="center"/>
    </xf>
    <xf numFmtId="4" fontId="35" fillId="0" borderId="21" xfId="0" applyNumberFormat="1" applyFont="1" applyFill="1" applyBorder="1" applyAlignment="1">
      <alignment horizontal="right" vertical="center"/>
    </xf>
    <xf numFmtId="164" fontId="36" fillId="0" borderId="19" xfId="71" applyNumberFormat="1" applyFont="1" applyFill="1" applyBorder="1" applyAlignment="1">
      <alignment horizontal="right" vertical="center"/>
    </xf>
    <xf numFmtId="164" fontId="36" fillId="0" borderId="19" xfId="0" applyNumberFormat="1" applyFont="1" applyFill="1" applyBorder="1" applyAlignment="1">
      <alignment horizontal="right" vertical="center"/>
    </xf>
    <xf numFmtId="0" fontId="7" fillId="0" borderId="19" xfId="0" applyFont="1" applyFill="1" applyBorder="1" applyAlignment="1">
      <alignment horizontal="left" vertical="top" wrapText="1"/>
    </xf>
    <xf numFmtId="0" fontId="7" fillId="0" borderId="19" xfId="89" applyFont="1" applyFill="1" applyBorder="1" applyAlignment="1">
      <alignment horizontal="left" vertical="top" wrapText="1"/>
      <protection/>
    </xf>
    <xf numFmtId="0" fontId="60" fillId="0" borderId="19" xfId="89" applyFont="1" applyFill="1" applyBorder="1" applyAlignment="1">
      <alignment horizontal="left" vertical="top" wrapText="1"/>
      <protection/>
    </xf>
    <xf numFmtId="4" fontId="38" fillId="51" borderId="20" xfId="0" applyNumberFormat="1" applyFont="1" applyFill="1" applyBorder="1" applyAlignment="1">
      <alignment horizontal="center" vertical="center"/>
    </xf>
    <xf numFmtId="0" fontId="38" fillId="0" borderId="25" xfId="0" applyFont="1" applyBorder="1" applyAlignment="1">
      <alignment horizontal="center" vertical="center"/>
    </xf>
    <xf numFmtId="0" fontId="38" fillId="0" borderId="21" xfId="0" applyFont="1" applyBorder="1" applyAlignment="1">
      <alignment horizontal="center" vertical="center"/>
    </xf>
    <xf numFmtId="0" fontId="7" fillId="2" borderId="20" xfId="0" applyFont="1" applyFill="1" applyBorder="1" applyAlignment="1">
      <alignment horizontal="center"/>
    </xf>
    <xf numFmtId="0" fontId="0" fillId="0" borderId="25" xfId="0" applyBorder="1" applyAlignment="1">
      <alignment horizontal="center"/>
    </xf>
    <xf numFmtId="0" fontId="0" fillId="0" borderId="21" xfId="0" applyBorder="1" applyAlignment="1">
      <alignment horizontal="center"/>
    </xf>
    <xf numFmtId="4" fontId="34" fillId="0" borderId="19" xfId="0" applyNumberFormat="1" applyFont="1" applyFill="1" applyBorder="1" applyAlignment="1">
      <alignment horizontal="right" vertical="center"/>
    </xf>
    <xf numFmtId="4" fontId="34" fillId="0" borderId="19" xfId="0" applyNumberFormat="1" applyFont="1" applyFill="1" applyBorder="1" applyAlignment="1">
      <alignment horizontal="right" vertical="center" wrapText="1"/>
    </xf>
    <xf numFmtId="4" fontId="34" fillId="0" borderId="20" xfId="0" applyNumberFormat="1" applyFont="1" applyBorder="1" applyAlignment="1">
      <alignment horizontal="right" vertical="center" wrapText="1"/>
    </xf>
    <xf numFmtId="0" fontId="37" fillId="0" borderId="21" xfId="0" applyFont="1" applyBorder="1" applyAlignment="1">
      <alignment horizontal="right" vertical="center" wrapText="1"/>
    </xf>
    <xf numFmtId="4" fontId="33" fillId="51" borderId="19" xfId="0" applyNumberFormat="1" applyFont="1" applyFill="1" applyBorder="1" applyAlignment="1">
      <alignment horizontal="right" vertical="center" wrapText="1"/>
    </xf>
    <xf numFmtId="4" fontId="34" fillId="0" borderId="20" xfId="0" applyNumberFormat="1" applyFont="1" applyFill="1" applyBorder="1" applyAlignment="1">
      <alignment horizontal="right" vertical="center" wrapText="1"/>
    </xf>
    <xf numFmtId="0" fontId="37" fillId="0" borderId="21" xfId="0" applyFont="1" applyFill="1" applyBorder="1" applyAlignment="1">
      <alignment horizontal="right" vertical="center" wrapText="1"/>
    </xf>
    <xf numFmtId="0" fontId="7" fillId="2" borderId="20" xfId="0" applyFont="1" applyFill="1" applyBorder="1" applyAlignment="1">
      <alignment horizontal="center" vertical="center" wrapText="1"/>
    </xf>
    <xf numFmtId="0" fontId="7" fillId="2" borderId="19" xfId="0" applyFont="1" applyFill="1" applyBorder="1" applyAlignment="1">
      <alignment horizontal="center" vertical="center"/>
    </xf>
    <xf numFmtId="0" fontId="7" fillId="2" borderId="19" xfId="0" applyFont="1" applyFill="1" applyBorder="1" applyAlignment="1">
      <alignment horizontal="center" vertical="center" wrapText="1"/>
    </xf>
    <xf numFmtId="0" fontId="7" fillId="2" borderId="21" xfId="0" applyFont="1" applyFill="1" applyBorder="1" applyAlignment="1">
      <alignment horizontal="center" vertical="center"/>
    </xf>
    <xf numFmtId="4" fontId="34" fillId="0" borderId="19" xfId="0" applyNumberFormat="1" applyFont="1" applyBorder="1" applyAlignment="1">
      <alignment horizontal="right" vertical="center"/>
    </xf>
    <xf numFmtId="4" fontId="34" fillId="29" borderId="19" xfId="0" applyNumberFormat="1" applyFont="1" applyFill="1" applyBorder="1" applyAlignment="1">
      <alignment horizontal="right" vertical="center"/>
    </xf>
    <xf numFmtId="4" fontId="36" fillId="51" borderId="19" xfId="0" applyNumberFormat="1" applyFont="1" applyFill="1" applyBorder="1" applyAlignment="1">
      <alignment horizontal="right" vertical="center"/>
    </xf>
    <xf numFmtId="4" fontId="33" fillId="29" borderId="19" xfId="0" applyNumberFormat="1" applyFont="1" applyFill="1" applyBorder="1" applyAlignment="1">
      <alignment horizontal="right" vertical="center" wrapText="1"/>
    </xf>
    <xf numFmtId="0" fontId="7" fillId="2" borderId="20" xfId="0" applyFont="1" applyFill="1" applyBorder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5" xfId="0" applyBorder="1" applyAlignment="1">
      <alignment horizontal="center" vertical="center" wrapText="1"/>
    </xf>
    <xf numFmtId="0" fontId="0" fillId="0" borderId="21" xfId="0" applyBorder="1" applyAlignment="1">
      <alignment horizontal="center" vertical="center" wrapText="1"/>
    </xf>
    <xf numFmtId="0" fontId="7" fillId="2" borderId="20" xfId="0" applyFont="1" applyFill="1" applyBorder="1" applyAlignment="1">
      <alignment horizontal="center" vertical="top" wrapText="1"/>
    </xf>
    <xf numFmtId="0" fontId="0" fillId="0" borderId="21" xfId="0" applyBorder="1" applyAlignment="1">
      <alignment horizontal="center" vertical="top" wrapText="1"/>
    </xf>
    <xf numFmtId="0" fontId="32" fillId="0" borderId="0" xfId="0" applyFont="1" applyAlignment="1">
      <alignment horizontal="center" vertical="center"/>
    </xf>
    <xf numFmtId="0" fontId="5" fillId="2" borderId="19" xfId="0" applyFont="1" applyFill="1" applyBorder="1" applyAlignment="1">
      <alignment horizontal="center" vertical="center" wrapText="1"/>
    </xf>
    <xf numFmtId="0" fontId="8" fillId="2" borderId="19" xfId="0" applyFont="1" applyFill="1" applyBorder="1" applyAlignment="1">
      <alignment horizontal="center" vertical="center"/>
    </xf>
    <xf numFmtId="0" fontId="5" fillId="2" borderId="19" xfId="0" applyFont="1" applyFill="1" applyBorder="1" applyAlignment="1">
      <alignment horizontal="center" vertical="center"/>
    </xf>
    <xf numFmtId="0" fontId="0" fillId="0" borderId="25" xfId="0" applyBorder="1" applyAlignment="1">
      <alignment horizontal="center" vertical="center"/>
    </xf>
  </cellXfs>
  <cellStyles count="9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20% — akcent 1" xfId="21"/>
    <cellStyle name="20% — akcent 2" xfId="22"/>
    <cellStyle name="20% — akcent 3" xfId="23"/>
    <cellStyle name="20% — akcent 4" xfId="24"/>
    <cellStyle name="20% — akcent 5" xfId="25"/>
    <cellStyle name="20% — akcent 6" xfId="26"/>
    <cellStyle name="40% - Accent1" xfId="27"/>
    <cellStyle name="40% - Accent2" xfId="28"/>
    <cellStyle name="40% - Accent3" xfId="29"/>
    <cellStyle name="40% - Accent4" xfId="30"/>
    <cellStyle name="40% - Accent5" xfId="31"/>
    <cellStyle name="40% - Accent6" xfId="32"/>
    <cellStyle name="40% — akcent 1" xfId="33"/>
    <cellStyle name="40% — akcent 2" xfId="34"/>
    <cellStyle name="40% — akcent 3" xfId="35"/>
    <cellStyle name="40% — akcent 4" xfId="36"/>
    <cellStyle name="40% — akcent 5" xfId="37"/>
    <cellStyle name="40% — akcent 6" xfId="38"/>
    <cellStyle name="60% - Accent1" xfId="39"/>
    <cellStyle name="60% - Accent2" xfId="40"/>
    <cellStyle name="60% - Accent3" xfId="41"/>
    <cellStyle name="60% - Accent4" xfId="42"/>
    <cellStyle name="60% - Accent5" xfId="43"/>
    <cellStyle name="60% - Accent6" xfId="44"/>
    <cellStyle name="60% — akcent 1" xfId="45"/>
    <cellStyle name="60% — akcent 2" xfId="46"/>
    <cellStyle name="60% — akcent 3" xfId="47"/>
    <cellStyle name="60% — akcent 4" xfId="48"/>
    <cellStyle name="60% — akcent 5" xfId="49"/>
    <cellStyle name="60% — akcent 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Akcent 1" xfId="57"/>
    <cellStyle name="Akcent 2" xfId="58"/>
    <cellStyle name="Akcent 3" xfId="59"/>
    <cellStyle name="Akcent 4" xfId="60"/>
    <cellStyle name="Akcent 5" xfId="61"/>
    <cellStyle name="Akcent 6" xfId="62"/>
    <cellStyle name="Bad" xfId="63"/>
    <cellStyle name="Calculation" xfId="64"/>
    <cellStyle name="Check Cell" xfId="65"/>
    <cellStyle name="Dane wejściowe" xfId="66"/>
    <cellStyle name="Dane wyjściowe" xfId="67"/>
    <cellStyle name="Dobry" xfId="68"/>
    <cellStyle name="Comma" xfId="69"/>
    <cellStyle name="Comma [0]" xfId="70"/>
    <cellStyle name="Dziesiętny 2" xfId="71"/>
    <cellStyle name="Explanatory Text" xfId="72"/>
    <cellStyle name="Good" xfId="73"/>
    <cellStyle name="Heading 1" xfId="74"/>
    <cellStyle name="Heading 2" xfId="75"/>
    <cellStyle name="Heading 3" xfId="76"/>
    <cellStyle name="Heading 4" xfId="77"/>
    <cellStyle name="Hyperlink" xfId="78"/>
    <cellStyle name="Input" xfId="79"/>
    <cellStyle name="Komórka połączona" xfId="80"/>
    <cellStyle name="Komórka zaznaczona" xfId="81"/>
    <cellStyle name="Linked Cell" xfId="82"/>
    <cellStyle name="Nagłówek 1" xfId="83"/>
    <cellStyle name="Nagłówek 2" xfId="84"/>
    <cellStyle name="Nagłówek 3" xfId="85"/>
    <cellStyle name="Nagłówek 4" xfId="86"/>
    <cellStyle name="Neutral" xfId="87"/>
    <cellStyle name="Neutralny" xfId="88"/>
    <cellStyle name="Normalny 2" xfId="89"/>
    <cellStyle name="Note" xfId="90"/>
    <cellStyle name="Obliczenia" xfId="91"/>
    <cellStyle name="Followed Hyperlink" xfId="92"/>
    <cellStyle name="Output" xfId="93"/>
    <cellStyle name="Percent" xfId="94"/>
    <cellStyle name="Suma" xfId="95"/>
    <cellStyle name="Tekst objaśnienia" xfId="96"/>
    <cellStyle name="Tekst ostrzeżenia" xfId="97"/>
    <cellStyle name="Title" xfId="98"/>
    <cellStyle name="Total" xfId="99"/>
    <cellStyle name="Tytuł" xfId="100"/>
    <cellStyle name="Uwaga" xfId="101"/>
    <cellStyle name="Currency" xfId="102"/>
    <cellStyle name="Currency [0]" xfId="103"/>
    <cellStyle name="Warning Text" xfId="104"/>
    <cellStyle name="Zły" xfId="10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5F5F5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DCDCD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Pakiet 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Arkusz1"/>
  <dimension ref="A1:AA101"/>
  <sheetViews>
    <sheetView tabSelected="1" workbookViewId="0" topLeftCell="B1">
      <selection activeCell="B5" sqref="B5"/>
    </sheetView>
  </sheetViews>
  <sheetFormatPr defaultColWidth="9.00390625" defaultRowHeight="12.75"/>
  <cols>
    <col min="1" max="1" width="5.75390625" style="1" hidden="1" customWidth="1"/>
    <col min="2" max="2" width="24.25390625" style="1" customWidth="1"/>
    <col min="3" max="5" width="14.625" style="1" customWidth="1"/>
    <col min="6" max="6" width="13.875" style="1" customWidth="1"/>
    <col min="7" max="10" width="13.00390625" style="1" customWidth="1"/>
    <col min="11" max="11" width="7.375" style="1" customWidth="1"/>
    <col min="12" max="12" width="6.625" style="1" customWidth="1"/>
    <col min="13" max="13" width="8.125" style="1" hidden="1" customWidth="1"/>
    <col min="14" max="16384" width="9.125" style="1" customWidth="1"/>
  </cols>
  <sheetData>
    <row r="1" spans="2:13" ht="21" customHeight="1">
      <c r="B1" s="127" t="s">
        <v>97</v>
      </c>
      <c r="C1" s="127"/>
      <c r="D1" s="127"/>
      <c r="E1" s="127"/>
      <c r="F1" s="127"/>
      <c r="G1" s="127"/>
      <c r="H1" s="127"/>
      <c r="I1" s="127"/>
      <c r="J1" s="127"/>
      <c r="K1" s="127"/>
      <c r="L1" s="127"/>
      <c r="M1" s="127"/>
    </row>
    <row r="2" spans="2:8" ht="57.75" customHeight="1">
      <c r="B2" s="129" t="s">
        <v>0</v>
      </c>
      <c r="C2" s="14" t="s">
        <v>28</v>
      </c>
      <c r="D2" s="14" t="s">
        <v>29</v>
      </c>
      <c r="E2" s="14" t="s">
        <v>30</v>
      </c>
      <c r="F2" s="16" t="s">
        <v>2</v>
      </c>
      <c r="G2" s="14" t="s">
        <v>18</v>
      </c>
      <c r="H2" s="14" t="s">
        <v>3</v>
      </c>
    </row>
    <row r="3" spans="2:8" ht="12.75">
      <c r="B3" s="129"/>
      <c r="C3" s="130" t="s">
        <v>63</v>
      </c>
      <c r="D3" s="130"/>
      <c r="E3" s="130"/>
      <c r="F3" s="130" t="s">
        <v>4</v>
      </c>
      <c r="G3" s="130"/>
      <c r="H3" s="130"/>
    </row>
    <row r="4" spans="2:8" ht="9" customHeight="1">
      <c r="B4" s="16">
        <v>1</v>
      </c>
      <c r="C4" s="18">
        <v>2</v>
      </c>
      <c r="D4" s="18">
        <v>3</v>
      </c>
      <c r="E4" s="18">
        <v>4</v>
      </c>
      <c r="F4" s="18">
        <v>5</v>
      </c>
      <c r="G4" s="18">
        <v>6</v>
      </c>
      <c r="H4" s="18">
        <v>7</v>
      </c>
    </row>
    <row r="5" spans="2:8" ht="12.75">
      <c r="B5" s="69" t="s">
        <v>5</v>
      </c>
      <c r="C5" s="70">
        <f>28661009220.32</f>
        <v>28661009220.32</v>
      </c>
      <c r="D5" s="70">
        <f>20524088764.38</f>
        <v>20524088764.38</v>
      </c>
      <c r="E5" s="70">
        <f>19545918994.36</f>
        <v>19545918994.36</v>
      </c>
      <c r="F5" s="71">
        <f aca="true" t="shared" si="0" ref="F5:F33">IF($D$5=0,"",100*$D5/$D$5)</f>
        <v>100</v>
      </c>
      <c r="G5" s="71">
        <f aca="true" t="shared" si="1" ref="G5:G36">IF(C5=0,"",100*D5/C5)</f>
        <v>71.60979087166578</v>
      </c>
      <c r="H5" s="71"/>
    </row>
    <row r="6" spans="2:8" ht="25.5" customHeight="1">
      <c r="B6" s="61" t="s">
        <v>47</v>
      </c>
      <c r="C6" s="30">
        <f>C5-C11-C29</f>
        <v>9723632519.5</v>
      </c>
      <c r="D6" s="30">
        <f>D5-D11-D29</f>
        <v>7301215409.800001</v>
      </c>
      <c r="E6" s="30">
        <f>E5-E11-E29</f>
        <v>6904909888.140001</v>
      </c>
      <c r="F6" s="31">
        <f t="shared" si="0"/>
        <v>35.57388341874363</v>
      </c>
      <c r="G6" s="31">
        <f t="shared" si="1"/>
        <v>75.08732354043588</v>
      </c>
      <c r="H6" s="31">
        <f>IF($D$6=0,"",100*$D6/$D$6)</f>
        <v>100</v>
      </c>
    </row>
    <row r="7" spans="2:8" ht="22.5" customHeight="1">
      <c r="B7" s="62" t="s">
        <v>19</v>
      </c>
      <c r="C7" s="32">
        <f>5295267048.5</f>
        <v>5295267048.5</v>
      </c>
      <c r="D7" s="32">
        <f>3975289492</f>
        <v>3975289492</v>
      </c>
      <c r="E7" s="32">
        <f>3585213526.33</f>
        <v>3585213526.33</v>
      </c>
      <c r="F7" s="33">
        <f t="shared" si="0"/>
        <v>19.368896410637245</v>
      </c>
      <c r="G7" s="33">
        <f t="shared" si="1"/>
        <v>75.07250258749627</v>
      </c>
      <c r="H7" s="33">
        <f>IF($D$6=0,"",100*$D7/$D$6)</f>
        <v>54.446955320126534</v>
      </c>
    </row>
    <row r="8" spans="2:8" ht="22.5" customHeight="1">
      <c r="B8" s="62" t="s">
        <v>26</v>
      </c>
      <c r="C8" s="32">
        <f>180093634.43</f>
        <v>180093634.43</v>
      </c>
      <c r="D8" s="32">
        <f>148282268.33</f>
        <v>148282268.33</v>
      </c>
      <c r="E8" s="32">
        <f>151265789.36</f>
        <v>151265789.36</v>
      </c>
      <c r="F8" s="33">
        <f t="shared" si="0"/>
        <v>0.7224791805975186</v>
      </c>
      <c r="G8" s="33">
        <f t="shared" si="1"/>
        <v>82.33620738418456</v>
      </c>
      <c r="H8" s="33">
        <f>IF($D$6=0,"",100*$D8/$D$6)</f>
        <v>2.0309258117623714</v>
      </c>
    </row>
    <row r="9" spans="2:8" ht="13.5" customHeight="1">
      <c r="B9" s="62" t="s">
        <v>20</v>
      </c>
      <c r="C9" s="32">
        <f>501656075.48</f>
        <v>501656075.48</v>
      </c>
      <c r="D9" s="72">
        <f>265064979.19</f>
        <v>265064979.19</v>
      </c>
      <c r="E9" s="32">
        <f>264931750.6</f>
        <v>264931750.6</v>
      </c>
      <c r="F9" s="33">
        <f t="shared" si="0"/>
        <v>1.291482327098614</v>
      </c>
      <c r="G9" s="33">
        <f t="shared" si="1"/>
        <v>52.83798844385123</v>
      </c>
      <c r="H9" s="33">
        <f>IF($D$6=0,"",100*$D9/$D$6)</f>
        <v>3.630422666809947</v>
      </c>
    </row>
    <row r="10" spans="2:8" ht="13.5" customHeight="1">
      <c r="B10" s="62" t="s">
        <v>21</v>
      </c>
      <c r="C10" s="32">
        <f>C6-C8-C7-C9</f>
        <v>3746615761.0899997</v>
      </c>
      <c r="D10" s="32">
        <f>D6-D8-D7-D9</f>
        <v>2912578670.280001</v>
      </c>
      <c r="E10" s="32">
        <f>E6-E8-E7-E9</f>
        <v>2903498821.850002</v>
      </c>
      <c r="F10" s="33">
        <f t="shared" si="0"/>
        <v>14.191025500410252</v>
      </c>
      <c r="G10" s="33">
        <f t="shared" si="1"/>
        <v>77.73892109589181</v>
      </c>
      <c r="H10" s="33">
        <f>IF($D$6=0,"",100*$D10/$D$6)</f>
        <v>39.89169620130115</v>
      </c>
    </row>
    <row r="11" spans="2:8" ht="26.25" customHeight="1">
      <c r="B11" s="69" t="s">
        <v>55</v>
      </c>
      <c r="C11" s="70">
        <f>C12+C25+C27</f>
        <v>8481807029.820001</v>
      </c>
      <c r="D11" s="70">
        <f>D12+D25+D27</f>
        <v>4601066361.58</v>
      </c>
      <c r="E11" s="70">
        <f>E12+E25+E27</f>
        <v>4571662883.219999</v>
      </c>
      <c r="F11" s="71">
        <f t="shared" si="0"/>
        <v>22.417883757963715</v>
      </c>
      <c r="G11" s="71">
        <f t="shared" si="1"/>
        <v>54.24629852346031</v>
      </c>
      <c r="H11" s="73"/>
    </row>
    <row r="12" spans="2:8" ht="25.5" customHeight="1">
      <c r="B12" s="69" t="s">
        <v>48</v>
      </c>
      <c r="C12" s="70">
        <f>C13+C15+C17+C19+C21+C23</f>
        <v>5860151964.700001</v>
      </c>
      <c r="D12" s="70">
        <f>D13+D15+D17+D19+D21+D23</f>
        <v>3497198402.1599994</v>
      </c>
      <c r="E12" s="70">
        <f>E13+E15+E17+E19+E21+E23</f>
        <v>3486075762.1899996</v>
      </c>
      <c r="F12" s="71">
        <f t="shared" si="0"/>
        <v>17.03948195853383</v>
      </c>
      <c r="G12" s="71">
        <f t="shared" si="1"/>
        <v>59.67760602841349</v>
      </c>
      <c r="H12" s="36"/>
    </row>
    <row r="13" spans="2:8" ht="22.5" customHeight="1">
      <c r="B13" s="62" t="s">
        <v>9</v>
      </c>
      <c r="C13" s="32">
        <f>2728778825.94</f>
        <v>2728778825.94</v>
      </c>
      <c r="D13" s="32">
        <f>2089237197.76</f>
        <v>2089237197.76</v>
      </c>
      <c r="E13" s="32">
        <f>2078354297.37</f>
        <v>2078354297.37</v>
      </c>
      <c r="F13" s="33">
        <f t="shared" si="0"/>
        <v>10.179439495437752</v>
      </c>
      <c r="G13" s="33">
        <f t="shared" si="1"/>
        <v>76.56308301352738</v>
      </c>
      <c r="H13" s="36"/>
    </row>
    <row r="14" spans="2:8" ht="12.75">
      <c r="B14" s="74" t="s">
        <v>6</v>
      </c>
      <c r="C14" s="32">
        <f>57508023</f>
        <v>57508023</v>
      </c>
      <c r="D14" s="32">
        <f>12637679.28</f>
        <v>12637679.28</v>
      </c>
      <c r="E14" s="32">
        <f>12637679.28</f>
        <v>12637679.28</v>
      </c>
      <c r="F14" s="33">
        <f t="shared" si="0"/>
        <v>0.061574861739698596</v>
      </c>
      <c r="G14" s="33">
        <f t="shared" si="1"/>
        <v>21.975506408905762</v>
      </c>
      <c r="H14" s="36"/>
    </row>
    <row r="15" spans="2:8" ht="13.5" customHeight="1">
      <c r="B15" s="62" t="s">
        <v>7</v>
      </c>
      <c r="C15" s="32">
        <f>1660434250.73</f>
        <v>1660434250.73</v>
      </c>
      <c r="D15" s="32">
        <f>675510161.02</f>
        <v>675510161.02</v>
      </c>
      <c r="E15" s="32">
        <f>675542332.62</f>
        <v>675542332.62</v>
      </c>
      <c r="F15" s="33">
        <f t="shared" si="0"/>
        <v>3.291304031935208</v>
      </c>
      <c r="G15" s="33">
        <f t="shared" si="1"/>
        <v>40.68274071815948</v>
      </c>
      <c r="H15" s="36"/>
    </row>
    <row r="16" spans="2:8" ht="12.75">
      <c r="B16" s="74" t="s">
        <v>6</v>
      </c>
      <c r="C16" s="32">
        <f>819183525.95</f>
        <v>819183525.95</v>
      </c>
      <c r="D16" s="32">
        <f>111907086.74</f>
        <v>111907086.74</v>
      </c>
      <c r="E16" s="32">
        <f>111901966.74</f>
        <v>111901966.74</v>
      </c>
      <c r="F16" s="33">
        <f t="shared" si="0"/>
        <v>0.5452475285247117</v>
      </c>
      <c r="G16" s="33">
        <f t="shared" si="1"/>
        <v>13.660807767126704</v>
      </c>
      <c r="H16" s="36"/>
    </row>
    <row r="17" spans="2:8" ht="33" customHeight="1">
      <c r="B17" s="62" t="s">
        <v>10</v>
      </c>
      <c r="C17" s="32">
        <f>30781732.17</f>
        <v>30781732.17</v>
      </c>
      <c r="D17" s="32">
        <f>28117663.62</f>
        <v>28117663.62</v>
      </c>
      <c r="E17" s="32">
        <f>28082408.17</f>
        <v>28082408.17</v>
      </c>
      <c r="F17" s="33">
        <f t="shared" si="0"/>
        <v>0.13699835321701986</v>
      </c>
      <c r="G17" s="33">
        <f t="shared" si="1"/>
        <v>91.34529358098823</v>
      </c>
      <c r="H17" s="36"/>
    </row>
    <row r="18" spans="2:8" ht="12.75">
      <c r="B18" s="74" t="s">
        <v>6</v>
      </c>
      <c r="C18" s="32">
        <f>1736465</f>
        <v>1736465</v>
      </c>
      <c r="D18" s="32">
        <f>87000</f>
        <v>87000</v>
      </c>
      <c r="E18" s="32">
        <f>87000</f>
        <v>87000</v>
      </c>
      <c r="F18" s="33">
        <f t="shared" si="0"/>
        <v>0.0004238921444882385</v>
      </c>
      <c r="G18" s="33">
        <f t="shared" si="1"/>
        <v>5.010178725168662</v>
      </c>
      <c r="H18" s="36"/>
    </row>
    <row r="19" spans="2:8" ht="25.5" customHeight="1">
      <c r="B19" s="62" t="s">
        <v>11</v>
      </c>
      <c r="C19" s="32">
        <f>416629567.59</f>
        <v>416629567.59</v>
      </c>
      <c r="D19" s="32">
        <f>289169579.81</f>
        <v>289169579.81</v>
      </c>
      <c r="E19" s="32">
        <f>288923924.08</f>
        <v>288923924.08</v>
      </c>
      <c r="F19" s="33">
        <f t="shared" si="0"/>
        <v>1.4089277391542958</v>
      </c>
      <c r="G19" s="33">
        <f t="shared" si="1"/>
        <v>69.40687898909955</v>
      </c>
      <c r="H19" s="36"/>
    </row>
    <row r="20" spans="2:8" ht="12.75">
      <c r="B20" s="74" t="s">
        <v>6</v>
      </c>
      <c r="C20" s="32">
        <f>98009520.56</f>
        <v>98009520.56</v>
      </c>
      <c r="D20" s="32">
        <f>50149098.32</f>
        <v>50149098.32</v>
      </c>
      <c r="E20" s="32">
        <f>50149098.32</f>
        <v>50149098.32</v>
      </c>
      <c r="F20" s="33">
        <f t="shared" si="0"/>
        <v>0.24434263024156688</v>
      </c>
      <c r="G20" s="33">
        <f t="shared" si="1"/>
        <v>51.16757844897267</v>
      </c>
      <c r="H20" s="36"/>
    </row>
    <row r="21" spans="2:8" ht="33.75">
      <c r="B21" s="62" t="s">
        <v>64</v>
      </c>
      <c r="C21" s="32">
        <f>936935691.47</f>
        <v>936935691.47</v>
      </c>
      <c r="D21" s="32">
        <f>382511424.23</f>
        <v>382511424.23</v>
      </c>
      <c r="E21" s="32">
        <f>382520424.23</f>
        <v>382520424.23</v>
      </c>
      <c r="F21" s="33">
        <f t="shared" si="0"/>
        <v>1.8637194012425868</v>
      </c>
      <c r="G21" s="33">
        <f t="shared" si="1"/>
        <v>40.82579281720614</v>
      </c>
      <c r="H21" s="36"/>
    </row>
    <row r="22" spans="2:8" ht="12.75">
      <c r="B22" s="74" t="s">
        <v>6</v>
      </c>
      <c r="C22" s="32">
        <f>839772139.56</f>
        <v>839772139.56</v>
      </c>
      <c r="D22" s="32">
        <f>325698258.13</f>
        <v>325698258.13</v>
      </c>
      <c r="E22" s="32">
        <f>325707258.13</f>
        <v>325707258.13</v>
      </c>
      <c r="F22" s="33">
        <f t="shared" si="0"/>
        <v>1.586907276951834</v>
      </c>
      <c r="G22" s="33">
        <f t="shared" si="1"/>
        <v>38.78412283368321</v>
      </c>
      <c r="H22" s="36"/>
    </row>
    <row r="23" spans="2:8" ht="15" customHeight="1">
      <c r="B23" s="62" t="s">
        <v>8</v>
      </c>
      <c r="C23" s="32">
        <f>86591896.8</f>
        <v>86591896.8</v>
      </c>
      <c r="D23" s="32">
        <f>32652375.72</f>
        <v>32652375.72</v>
      </c>
      <c r="E23" s="32">
        <f>32652375.72</f>
        <v>32652375.72</v>
      </c>
      <c r="F23" s="33">
        <f t="shared" si="0"/>
        <v>0.15909293754697115</v>
      </c>
      <c r="G23" s="33">
        <f t="shared" si="1"/>
        <v>37.70835023445289</v>
      </c>
      <c r="H23" s="36"/>
    </row>
    <row r="24" spans="2:8" ht="12.75">
      <c r="B24" s="74" t="s">
        <v>6</v>
      </c>
      <c r="C24" s="32">
        <f>76046229.54</f>
        <v>76046229.54</v>
      </c>
      <c r="D24" s="32">
        <f>25882094.85</f>
        <v>25882094.85</v>
      </c>
      <c r="E24" s="32">
        <f>25882094.85</f>
        <v>25882094.85</v>
      </c>
      <c r="F24" s="33">
        <f t="shared" si="0"/>
        <v>0.12610593896338498</v>
      </c>
      <c r="G24" s="33">
        <f t="shared" si="1"/>
        <v>34.034685225762736</v>
      </c>
      <c r="H24" s="36"/>
    </row>
    <row r="25" spans="2:8" ht="13.5" customHeight="1">
      <c r="B25" s="69" t="s">
        <v>82</v>
      </c>
      <c r="C25" s="30">
        <f>302815105.21</f>
        <v>302815105.21</v>
      </c>
      <c r="D25" s="30">
        <f>133347630.28</f>
        <v>133347630.28</v>
      </c>
      <c r="E25" s="30">
        <f>133427830.16</f>
        <v>133427830.16</v>
      </c>
      <c r="F25" s="34">
        <f t="shared" si="0"/>
        <v>0.6497127926645284</v>
      </c>
      <c r="G25" s="34">
        <f t="shared" si="1"/>
        <v>44.03599027450247</v>
      </c>
      <c r="H25" s="20"/>
    </row>
    <row r="26" spans="2:8" ht="13.5" customHeight="1">
      <c r="B26" s="63" t="s">
        <v>57</v>
      </c>
      <c r="C26" s="35">
        <f>213138703.63</f>
        <v>213138703.63</v>
      </c>
      <c r="D26" s="35">
        <f>73100312.17</f>
        <v>73100312.17</v>
      </c>
      <c r="E26" s="35">
        <f>73100312.17</f>
        <v>73100312.17</v>
      </c>
      <c r="F26" s="33">
        <f t="shared" si="0"/>
        <v>0.3561683688333446</v>
      </c>
      <c r="G26" s="33">
        <f t="shared" si="1"/>
        <v>34.297061455764094</v>
      </c>
      <c r="H26" s="20"/>
    </row>
    <row r="27" spans="2:8" ht="13.5" customHeight="1">
      <c r="B27" s="69" t="s">
        <v>83</v>
      </c>
      <c r="C27" s="75">
        <f>2318839959.91</f>
        <v>2318839959.91</v>
      </c>
      <c r="D27" s="75">
        <f>970520329.14</f>
        <v>970520329.14</v>
      </c>
      <c r="E27" s="75">
        <f>952159290.87</f>
        <v>952159290.87</v>
      </c>
      <c r="F27" s="76">
        <f t="shared" si="0"/>
        <v>4.728689006765353</v>
      </c>
      <c r="G27" s="76">
        <f t="shared" si="1"/>
        <v>41.853700381188375</v>
      </c>
      <c r="H27" s="20"/>
    </row>
    <row r="28" spans="2:8" ht="10.5" customHeight="1">
      <c r="B28" s="63" t="s">
        <v>80</v>
      </c>
      <c r="C28" s="35">
        <f>1594436038.34</f>
        <v>1594436038.34</v>
      </c>
      <c r="D28" s="35">
        <f>544633776.36</f>
        <v>544633776.36</v>
      </c>
      <c r="E28" s="35">
        <f>540249141.8</f>
        <v>540249141.8</v>
      </c>
      <c r="F28" s="33">
        <f t="shared" si="0"/>
        <v>2.6536319473789436</v>
      </c>
      <c r="G28" s="33">
        <f t="shared" si="1"/>
        <v>34.15839602616041</v>
      </c>
      <c r="H28" s="20"/>
    </row>
    <row r="29" spans="2:8" s="5" customFormat="1" ht="23.25" customHeight="1">
      <c r="B29" s="61" t="s">
        <v>49</v>
      </c>
      <c r="C29" s="30">
        <f>C30+C31+C32+C33</f>
        <v>10455569671</v>
      </c>
      <c r="D29" s="30">
        <f>D30+D31+D32+D33</f>
        <v>8621806993</v>
      </c>
      <c r="E29" s="30">
        <f>E30+E31+E32+E33</f>
        <v>8069346223</v>
      </c>
      <c r="F29" s="31">
        <f t="shared" si="0"/>
        <v>42.00823282329266</v>
      </c>
      <c r="G29" s="31">
        <f t="shared" si="1"/>
        <v>82.46137957373858</v>
      </c>
      <c r="H29" s="21"/>
    </row>
    <row r="30" spans="2:8" ht="11.25" customHeight="1">
      <c r="B30" s="62" t="s">
        <v>33</v>
      </c>
      <c r="C30" s="32">
        <f>7631245622</f>
        <v>7631245622</v>
      </c>
      <c r="D30" s="32">
        <f>6455867566</f>
        <v>6455867566</v>
      </c>
      <c r="E30" s="32">
        <f>5903406796</f>
        <v>5903406796</v>
      </c>
      <c r="F30" s="33">
        <f t="shared" si="0"/>
        <v>31.455075253836835</v>
      </c>
      <c r="G30" s="33">
        <f t="shared" si="1"/>
        <v>84.597821715874</v>
      </c>
      <c r="H30" s="20"/>
    </row>
    <row r="31" spans="2:8" ht="10.5" customHeight="1">
      <c r="B31" s="62" t="s">
        <v>32</v>
      </c>
      <c r="C31" s="32">
        <f>629527783</f>
        <v>629527783</v>
      </c>
      <c r="D31" s="32">
        <f>472146003</f>
        <v>472146003</v>
      </c>
      <c r="E31" s="32">
        <f>472146003</f>
        <v>472146003</v>
      </c>
      <c r="F31" s="33">
        <f t="shared" si="0"/>
        <v>2.3004480657841415</v>
      </c>
      <c r="G31" s="33">
        <f t="shared" si="1"/>
        <v>75.00002632925893</v>
      </c>
      <c r="H31" s="20"/>
    </row>
    <row r="32" spans="2:8" ht="11.25" customHeight="1">
      <c r="B32" s="62" t="s">
        <v>34</v>
      </c>
      <c r="C32" s="32">
        <f>2005673066</f>
        <v>2005673066</v>
      </c>
      <c r="D32" s="32">
        <f>1504254924</f>
        <v>1504254924</v>
      </c>
      <c r="E32" s="32">
        <f>1504254924</f>
        <v>1504254924</v>
      </c>
      <c r="F32" s="33">
        <f t="shared" si="0"/>
        <v>7.3292166159925545</v>
      </c>
      <c r="G32" s="33">
        <f t="shared" si="1"/>
        <v>75.00000620739253</v>
      </c>
      <c r="H32" s="20"/>
    </row>
    <row r="33" spans="2:8" s="5" customFormat="1" ht="12" customHeight="1">
      <c r="B33" s="62" t="s">
        <v>31</v>
      </c>
      <c r="C33" s="32">
        <f>189123200</f>
        <v>189123200</v>
      </c>
      <c r="D33" s="32">
        <f>189538500</f>
        <v>189538500</v>
      </c>
      <c r="E33" s="32">
        <f>189538500</f>
        <v>189538500</v>
      </c>
      <c r="F33" s="33">
        <f t="shared" si="0"/>
        <v>0.9234928876791264</v>
      </c>
      <c r="G33" s="33">
        <f t="shared" si="1"/>
        <v>100.21959230808277</v>
      </c>
      <c r="H33" s="21"/>
    </row>
    <row r="34" spans="2:7" s="5" customFormat="1" ht="12.75">
      <c r="B34" s="77" t="s">
        <v>5</v>
      </c>
      <c r="C34" s="75">
        <f>+C5</f>
        <v>28661009220.32</v>
      </c>
      <c r="D34" s="75">
        <f>+D5</f>
        <v>20524088764.38</v>
      </c>
      <c r="E34" s="75">
        <f>+E5</f>
        <v>19545918994.36</v>
      </c>
      <c r="F34" s="76">
        <f>IF($D$5=0,"",100*$D34/$D$34)</f>
        <v>100</v>
      </c>
      <c r="G34" s="76">
        <f t="shared" si="1"/>
        <v>71.60979087166578</v>
      </c>
    </row>
    <row r="35" spans="2:7" s="5" customFormat="1" ht="13.5" customHeight="1">
      <c r="B35" s="62" t="s">
        <v>58</v>
      </c>
      <c r="C35" s="32">
        <f>4419261577.09</f>
        <v>4419261577.09</v>
      </c>
      <c r="D35" s="32">
        <f>1574623982.06</f>
        <v>1574623982.06</v>
      </c>
      <c r="E35" s="32">
        <f>1570632032.1</f>
        <v>1570632032.1</v>
      </c>
      <c r="F35" s="33">
        <f>IF($D$5=0,"",100*$D35/$D$34)</f>
        <v>7.672077431241644</v>
      </c>
      <c r="G35" s="33">
        <f t="shared" si="1"/>
        <v>35.630929615550386</v>
      </c>
    </row>
    <row r="36" spans="1:13" s="5" customFormat="1" ht="14.25" customHeight="1">
      <c r="A36" s="2"/>
      <c r="B36" s="62" t="s">
        <v>59</v>
      </c>
      <c r="C36" s="32">
        <f>C34-C35</f>
        <v>24241747643.23</v>
      </c>
      <c r="D36" s="32">
        <f>D34-D35</f>
        <v>18949464782.32</v>
      </c>
      <c r="E36" s="32">
        <f>E34-E35</f>
        <v>17975286962.260002</v>
      </c>
      <c r="F36" s="33">
        <f>IF($D$5=0,"",100*$D36/$D$34)</f>
        <v>92.32792256875835</v>
      </c>
      <c r="G36" s="33">
        <f t="shared" si="1"/>
        <v>78.16872389401357</v>
      </c>
      <c r="I36" s="15"/>
      <c r="J36" s="15"/>
      <c r="K36" s="9"/>
      <c r="L36" s="9"/>
      <c r="M36" s="3"/>
    </row>
    <row r="37" spans="2:13" ht="32.25" customHeight="1">
      <c r="B37" s="127" t="s">
        <v>97</v>
      </c>
      <c r="C37" s="127"/>
      <c r="D37" s="127"/>
      <c r="E37" s="127"/>
      <c r="F37" s="127"/>
      <c r="G37" s="127"/>
      <c r="H37" s="127"/>
      <c r="I37" s="127"/>
      <c r="J37" s="127"/>
      <c r="K37" s="127"/>
      <c r="L37" s="127"/>
      <c r="M37" s="127"/>
    </row>
    <row r="38" spans="2:13" s="5" customFormat="1" ht="9" customHeight="1">
      <c r="B38" s="6"/>
      <c r="C38" s="7"/>
      <c r="D38" s="8"/>
      <c r="E38" s="8"/>
      <c r="F38" s="4"/>
      <c r="G38" s="4"/>
      <c r="H38" s="4"/>
      <c r="I38" s="4"/>
      <c r="J38" s="4"/>
      <c r="K38" s="9"/>
      <c r="L38" s="9"/>
      <c r="M38" s="3"/>
    </row>
    <row r="39" spans="2:27" ht="29.25" customHeight="1">
      <c r="B39" s="129" t="s">
        <v>0</v>
      </c>
      <c r="C39" s="115" t="s">
        <v>43</v>
      </c>
      <c r="D39" s="115" t="s">
        <v>44</v>
      </c>
      <c r="E39" s="115" t="s">
        <v>45</v>
      </c>
      <c r="F39" s="115" t="s">
        <v>12</v>
      </c>
      <c r="G39" s="115"/>
      <c r="H39" s="115"/>
      <c r="I39" s="115" t="s">
        <v>81</v>
      </c>
      <c r="J39" s="115"/>
      <c r="K39" s="115" t="s">
        <v>2</v>
      </c>
      <c r="L39" s="128" t="s">
        <v>27</v>
      </c>
      <c r="N39" s="10"/>
      <c r="O39" s="10"/>
      <c r="P39" s="10"/>
      <c r="Q39" s="10"/>
      <c r="R39" s="10"/>
      <c r="S39" s="10"/>
      <c r="T39" s="10"/>
      <c r="U39" s="10"/>
      <c r="V39" s="10"/>
      <c r="W39" s="10"/>
      <c r="X39" s="10"/>
      <c r="Y39" s="10"/>
      <c r="Z39" s="10"/>
      <c r="AA39" s="10"/>
    </row>
    <row r="40" spans="2:27" ht="18" customHeight="1">
      <c r="B40" s="129"/>
      <c r="C40" s="115"/>
      <c r="D40" s="114"/>
      <c r="E40" s="115"/>
      <c r="F40" s="113" t="s">
        <v>46</v>
      </c>
      <c r="G40" s="116" t="s">
        <v>25</v>
      </c>
      <c r="H40" s="114"/>
      <c r="I40" s="115"/>
      <c r="J40" s="115"/>
      <c r="K40" s="115"/>
      <c r="L40" s="128"/>
      <c r="M40" s="11"/>
      <c r="N40" s="12"/>
      <c r="O40" s="10"/>
      <c r="P40" s="10"/>
      <c r="Q40" s="10"/>
      <c r="R40" s="10"/>
      <c r="S40" s="10"/>
      <c r="T40" s="10"/>
      <c r="U40" s="10"/>
      <c r="V40" s="10"/>
      <c r="W40" s="10"/>
      <c r="X40" s="10"/>
      <c r="Y40" s="10"/>
      <c r="Z40" s="10"/>
      <c r="AA40" s="10"/>
    </row>
    <row r="41" spans="2:27" ht="36" customHeight="1">
      <c r="B41" s="129"/>
      <c r="C41" s="115"/>
      <c r="D41" s="114"/>
      <c r="E41" s="115"/>
      <c r="F41" s="114"/>
      <c r="G41" s="17" t="s">
        <v>41</v>
      </c>
      <c r="H41" s="17" t="s">
        <v>42</v>
      </c>
      <c r="I41" s="115"/>
      <c r="J41" s="115"/>
      <c r="K41" s="115"/>
      <c r="L41" s="128"/>
      <c r="M41" s="11"/>
      <c r="N41" s="10"/>
      <c r="O41" s="10"/>
      <c r="P41" s="10"/>
      <c r="Q41" s="10"/>
      <c r="R41" s="10"/>
      <c r="S41" s="10"/>
      <c r="T41" s="10"/>
      <c r="U41" s="10"/>
      <c r="V41" s="10"/>
      <c r="W41" s="10"/>
      <c r="X41" s="10"/>
      <c r="Y41" s="10"/>
      <c r="Z41" s="10"/>
      <c r="AA41" s="10"/>
    </row>
    <row r="42" spans="2:27" ht="13.5" customHeight="1">
      <c r="B42" s="129"/>
      <c r="C42" s="130" t="s">
        <v>63</v>
      </c>
      <c r="D42" s="130"/>
      <c r="E42" s="130"/>
      <c r="F42" s="130"/>
      <c r="G42" s="130"/>
      <c r="H42" s="130"/>
      <c r="I42" s="130"/>
      <c r="J42" s="130"/>
      <c r="K42" s="130" t="s">
        <v>4</v>
      </c>
      <c r="L42" s="130"/>
      <c r="O42" s="10"/>
      <c r="P42" s="10"/>
      <c r="Q42" s="10"/>
      <c r="R42" s="10"/>
      <c r="S42" s="10"/>
      <c r="T42" s="10"/>
      <c r="U42" s="10"/>
      <c r="V42" s="10"/>
      <c r="W42" s="10"/>
      <c r="X42" s="10"/>
      <c r="Y42" s="10"/>
      <c r="Z42" s="10"/>
      <c r="AA42" s="10"/>
    </row>
    <row r="43" spans="2:27" ht="11.25" customHeight="1">
      <c r="B43" s="16">
        <v>1</v>
      </c>
      <c r="C43" s="18">
        <v>2</v>
      </c>
      <c r="D43" s="18">
        <v>3</v>
      </c>
      <c r="E43" s="18">
        <v>4</v>
      </c>
      <c r="F43" s="16">
        <v>5</v>
      </c>
      <c r="G43" s="16">
        <v>6</v>
      </c>
      <c r="H43" s="18">
        <v>7</v>
      </c>
      <c r="I43" s="114">
        <v>8</v>
      </c>
      <c r="J43" s="114"/>
      <c r="K43" s="16">
        <v>9</v>
      </c>
      <c r="L43" s="18">
        <v>10</v>
      </c>
      <c r="N43" s="10"/>
      <c r="O43" s="10"/>
      <c r="P43" s="10"/>
      <c r="Q43" s="10"/>
      <c r="R43" s="10"/>
      <c r="S43" s="10"/>
      <c r="T43" s="10"/>
      <c r="U43" s="10"/>
      <c r="V43" s="10"/>
      <c r="W43" s="10"/>
      <c r="X43" s="10"/>
      <c r="Y43" s="10"/>
      <c r="Z43" s="10"/>
      <c r="AA43" s="10"/>
    </row>
    <row r="44" spans="2:12" ht="25.5" customHeight="1">
      <c r="B44" s="78" t="s">
        <v>50</v>
      </c>
      <c r="C44" s="79">
        <f>31161720315.83</f>
        <v>31161720315.83</v>
      </c>
      <c r="D44" s="79">
        <f>25392500940.85</f>
        <v>25392500940.85</v>
      </c>
      <c r="E44" s="79">
        <f>18603878370.59</f>
        <v>18603878370.59</v>
      </c>
      <c r="F44" s="79">
        <f>946889682.47</f>
        <v>946889682.47</v>
      </c>
      <c r="G44" s="79">
        <f>4319201.68</f>
        <v>4319201.68</v>
      </c>
      <c r="H44" s="79">
        <f>1314544.28</f>
        <v>1314544.28</v>
      </c>
      <c r="I44" s="119">
        <f>0</f>
        <v>0</v>
      </c>
      <c r="J44" s="119"/>
      <c r="K44" s="55">
        <f aca="true" t="shared" si="2" ref="K44:K55">IF($E$44=0,"",100*$E44/$E$44)</f>
        <v>100</v>
      </c>
      <c r="L44" s="55">
        <f aca="true" t="shared" si="3" ref="L44:L55">IF(C44=0,"",100*E44/C44)</f>
        <v>59.701063298290755</v>
      </c>
    </row>
    <row r="45" spans="2:12" ht="12.75">
      <c r="B45" s="29" t="s">
        <v>14</v>
      </c>
      <c r="C45" s="39">
        <f>7752583066.29</f>
        <v>7752583066.29</v>
      </c>
      <c r="D45" s="39">
        <f>5312358657.06</f>
        <v>5312358657.06</v>
      </c>
      <c r="E45" s="39">
        <f>2438989375.29</f>
        <v>2438989375.29</v>
      </c>
      <c r="F45" s="39">
        <f>396204686.89</f>
        <v>396204686.89</v>
      </c>
      <c r="G45" s="39">
        <f>0</f>
        <v>0</v>
      </c>
      <c r="H45" s="39">
        <f>281825.83</f>
        <v>281825.83</v>
      </c>
      <c r="I45" s="110">
        <f>0</f>
        <v>0</v>
      </c>
      <c r="J45" s="120"/>
      <c r="K45" s="40">
        <f t="shared" si="2"/>
        <v>13.110112454538964</v>
      </c>
      <c r="L45" s="40">
        <f t="shared" si="3"/>
        <v>31.46034495128833</v>
      </c>
    </row>
    <row r="46" spans="2:12" ht="22.5" customHeight="1">
      <c r="B46" s="19" t="s">
        <v>13</v>
      </c>
      <c r="C46" s="35">
        <f>7698478436.73</f>
        <v>7698478436.73</v>
      </c>
      <c r="D46" s="35">
        <f>5275946272</f>
        <v>5275946272</v>
      </c>
      <c r="E46" s="35">
        <f>2407125209.62</f>
        <v>2407125209.62</v>
      </c>
      <c r="F46" s="35">
        <f>392952186.89</f>
        <v>392952186.89</v>
      </c>
      <c r="G46" s="35">
        <f>0</f>
        <v>0</v>
      </c>
      <c r="H46" s="35">
        <f>281825.83</f>
        <v>281825.83</v>
      </c>
      <c r="I46" s="117">
        <f>0</f>
        <v>0</v>
      </c>
      <c r="J46" s="118"/>
      <c r="K46" s="41">
        <f t="shared" si="2"/>
        <v>12.938835449630284</v>
      </c>
      <c r="L46" s="41">
        <f t="shared" si="3"/>
        <v>31.267545001300917</v>
      </c>
    </row>
    <row r="47" spans="2:12" ht="25.5" customHeight="1">
      <c r="B47" s="29" t="s">
        <v>51</v>
      </c>
      <c r="C47" s="39">
        <f aca="true" t="shared" si="4" ref="C47:I47">C44-C45</f>
        <v>23409137249.54</v>
      </c>
      <c r="D47" s="39">
        <f t="shared" si="4"/>
        <v>20080142283.789997</v>
      </c>
      <c r="E47" s="39">
        <f t="shared" si="4"/>
        <v>16164888995.3</v>
      </c>
      <c r="F47" s="39">
        <f t="shared" si="4"/>
        <v>550684995.58</v>
      </c>
      <c r="G47" s="39">
        <f t="shared" si="4"/>
        <v>4319201.68</v>
      </c>
      <c r="H47" s="39">
        <f t="shared" si="4"/>
        <v>1032718.45</v>
      </c>
      <c r="I47" s="110">
        <f t="shared" si="4"/>
        <v>0</v>
      </c>
      <c r="J47" s="110"/>
      <c r="K47" s="40">
        <f t="shared" si="2"/>
        <v>86.88988754546104</v>
      </c>
      <c r="L47" s="40">
        <f t="shared" si="3"/>
        <v>69.05375803893689</v>
      </c>
    </row>
    <row r="48" spans="2:12" ht="13.5" customHeight="1">
      <c r="B48" s="19" t="s">
        <v>40</v>
      </c>
      <c r="C48" s="35">
        <f>11688849430.12</f>
        <v>11688849430.12</v>
      </c>
      <c r="D48" s="35">
        <f>10929395702.6</f>
        <v>10929395702.6</v>
      </c>
      <c r="E48" s="35">
        <f>8716847448.44</f>
        <v>8716847448.44</v>
      </c>
      <c r="F48" s="35">
        <f>184885551.92</f>
        <v>184885551.92</v>
      </c>
      <c r="G48" s="35">
        <f>0</f>
        <v>0</v>
      </c>
      <c r="H48" s="35">
        <f>414608.1</f>
        <v>414608.1</v>
      </c>
      <c r="I48" s="117">
        <f>0</f>
        <v>0</v>
      </c>
      <c r="J48" s="118"/>
      <c r="K48" s="41">
        <f t="shared" si="2"/>
        <v>46.85500127876591</v>
      </c>
      <c r="L48" s="41">
        <f t="shared" si="3"/>
        <v>74.57404170147232</v>
      </c>
    </row>
    <row r="49" spans="2:12" ht="22.5" customHeight="1">
      <c r="B49" s="80" t="s">
        <v>35</v>
      </c>
      <c r="C49" s="81">
        <f>10470813481.45</f>
        <v>10470813481.45</v>
      </c>
      <c r="D49" s="81">
        <f>9807089751.77</f>
        <v>9807089751.77</v>
      </c>
      <c r="E49" s="81">
        <f>7647239375.31</f>
        <v>7647239375.31</v>
      </c>
      <c r="F49" s="81">
        <f>179487083.71</f>
        <v>179487083.71</v>
      </c>
      <c r="G49" s="81">
        <f>0</f>
        <v>0</v>
      </c>
      <c r="H49" s="81">
        <f>412608.77</f>
        <v>412608.77</v>
      </c>
      <c r="I49" s="107">
        <f>0</f>
        <v>0</v>
      </c>
      <c r="J49" s="107"/>
      <c r="K49" s="82">
        <f t="shared" si="2"/>
        <v>41.105619070264204</v>
      </c>
      <c r="L49" s="82">
        <f t="shared" si="3"/>
        <v>73.03386111172529</v>
      </c>
    </row>
    <row r="50" spans="2:12" ht="13.5" customHeight="1">
      <c r="B50" s="22" t="s">
        <v>39</v>
      </c>
      <c r="C50" s="32">
        <f>1986279190.71</f>
        <v>1986279190.71</v>
      </c>
      <c r="D50" s="32">
        <f>1862437879.15</f>
        <v>1862437879.15</v>
      </c>
      <c r="E50" s="32">
        <f>1401671382.4</f>
        <v>1401671382.4</v>
      </c>
      <c r="F50" s="32">
        <f>99281162.5</f>
        <v>99281162.5</v>
      </c>
      <c r="G50" s="32">
        <f>0</f>
        <v>0</v>
      </c>
      <c r="H50" s="32">
        <f>188691.59</f>
        <v>188691.59</v>
      </c>
      <c r="I50" s="106">
        <f>0</f>
        <v>0</v>
      </c>
      <c r="J50" s="106"/>
      <c r="K50" s="82">
        <f t="shared" si="2"/>
        <v>7.53429663685523</v>
      </c>
      <c r="L50" s="82">
        <f t="shared" si="3"/>
        <v>70.56769204227375</v>
      </c>
    </row>
    <row r="51" spans="2:12" ht="13.5" customHeight="1">
      <c r="B51" s="22" t="s">
        <v>38</v>
      </c>
      <c r="C51" s="81">
        <f>1842568840.98</f>
        <v>1842568840.98</v>
      </c>
      <c r="D51" s="81">
        <f>1540716097.15</f>
        <v>1540716097.15</v>
      </c>
      <c r="E51" s="81">
        <f>1313218583.97</f>
        <v>1313218583.97</v>
      </c>
      <c r="F51" s="81">
        <f>2098434.17</f>
        <v>2098434.17</v>
      </c>
      <c r="G51" s="81">
        <f>0</f>
        <v>0</v>
      </c>
      <c r="H51" s="81">
        <f>0</f>
        <v>0</v>
      </c>
      <c r="I51" s="107">
        <f>0</f>
        <v>0</v>
      </c>
      <c r="J51" s="107"/>
      <c r="K51" s="82">
        <f t="shared" si="2"/>
        <v>7.058843096104121</v>
      </c>
      <c r="L51" s="82">
        <f t="shared" si="3"/>
        <v>71.27107301301933</v>
      </c>
    </row>
    <row r="52" spans="2:12" ht="13.5" customHeight="1">
      <c r="B52" s="22" t="s">
        <v>37</v>
      </c>
      <c r="C52" s="32">
        <f>189181318.21</f>
        <v>189181318.21</v>
      </c>
      <c r="D52" s="32">
        <f>124839492.21</f>
        <v>124839492.21</v>
      </c>
      <c r="E52" s="32">
        <f>105431708.2</f>
        <v>105431708.2</v>
      </c>
      <c r="F52" s="32">
        <f>3920203.88</f>
        <v>3920203.88</v>
      </c>
      <c r="G52" s="32">
        <f>0</f>
        <v>0</v>
      </c>
      <c r="H52" s="32">
        <f>0</f>
        <v>0</v>
      </c>
      <c r="I52" s="106">
        <f>0</f>
        <v>0</v>
      </c>
      <c r="J52" s="106"/>
      <c r="K52" s="82">
        <f t="shared" si="2"/>
        <v>0.5667189717100712</v>
      </c>
      <c r="L52" s="82">
        <f t="shared" si="3"/>
        <v>55.73050721793044</v>
      </c>
    </row>
    <row r="53" spans="2:12" ht="22.5" customHeight="1">
      <c r="B53" s="22" t="s">
        <v>54</v>
      </c>
      <c r="C53" s="81">
        <f>37237624.46</f>
        <v>37237624.46</v>
      </c>
      <c r="D53" s="81">
        <f>9755458.49</f>
        <v>9755458.49</v>
      </c>
      <c r="E53" s="81">
        <f>4228721.54</f>
        <v>4228721.54</v>
      </c>
      <c r="F53" s="81">
        <f>0</f>
        <v>0</v>
      </c>
      <c r="G53" s="81">
        <f>0</f>
        <v>0</v>
      </c>
      <c r="H53" s="81">
        <f>0</f>
        <v>0</v>
      </c>
      <c r="I53" s="107">
        <f>0</f>
        <v>0</v>
      </c>
      <c r="J53" s="107"/>
      <c r="K53" s="82">
        <f t="shared" si="2"/>
        <v>0.022730322440104683</v>
      </c>
      <c r="L53" s="82">
        <f t="shared" si="3"/>
        <v>11.356045401184005</v>
      </c>
    </row>
    <row r="54" spans="2:12" ht="22.5" customHeight="1">
      <c r="B54" s="22" t="s">
        <v>56</v>
      </c>
      <c r="C54" s="81">
        <f>1108986433.37</f>
        <v>1108986433.37</v>
      </c>
      <c r="D54" s="81">
        <f>910372582.59</f>
        <v>910372582.59</v>
      </c>
      <c r="E54" s="81">
        <f>780341965.28</f>
        <v>780341965.28</v>
      </c>
      <c r="F54" s="81">
        <f>7177361.11</f>
        <v>7177361.11</v>
      </c>
      <c r="G54" s="81">
        <f>853</f>
        <v>853</v>
      </c>
      <c r="H54" s="81">
        <f>333.28</f>
        <v>333.28</v>
      </c>
      <c r="I54" s="111">
        <f>0</f>
        <v>0</v>
      </c>
      <c r="J54" s="112"/>
      <c r="K54" s="82">
        <f t="shared" si="2"/>
        <v>4.194512293273246</v>
      </c>
      <c r="L54" s="82">
        <f t="shared" si="3"/>
        <v>70.36533016086486</v>
      </c>
    </row>
    <row r="55" spans="2:12" ht="13.5" customHeight="1">
      <c r="B55" s="19" t="s">
        <v>36</v>
      </c>
      <c r="C55" s="35">
        <f aca="true" t="shared" si="5" ref="C55:I55">C47-C48-C50-C51-C52-C53-C54</f>
        <v>6556034411.69</v>
      </c>
      <c r="D55" s="35">
        <f t="shared" si="5"/>
        <v>4702625071.5999975</v>
      </c>
      <c r="E55" s="35">
        <f t="shared" si="5"/>
        <v>3843149185.4699993</v>
      </c>
      <c r="F55" s="35">
        <f t="shared" si="5"/>
        <v>253322282.0000001</v>
      </c>
      <c r="G55" s="35">
        <f t="shared" si="5"/>
        <v>4318348.68</v>
      </c>
      <c r="H55" s="35">
        <f t="shared" si="5"/>
        <v>429085.48</v>
      </c>
      <c r="I55" s="108">
        <f t="shared" si="5"/>
        <v>0</v>
      </c>
      <c r="J55" s="109"/>
      <c r="K55" s="41">
        <f t="shared" si="2"/>
        <v>20.657784946312344</v>
      </c>
      <c r="L55" s="41">
        <f t="shared" si="3"/>
        <v>58.620027659057406</v>
      </c>
    </row>
    <row r="56" spans="2:13" ht="12.75">
      <c r="B56" s="78" t="s">
        <v>15</v>
      </c>
      <c r="C56" s="87">
        <f>C5-C44</f>
        <v>-2500711095.510002</v>
      </c>
      <c r="D56" s="87"/>
      <c r="E56" s="87">
        <f>D5-E44</f>
        <v>1920210393.790001</v>
      </c>
      <c r="F56" s="87"/>
      <c r="G56" s="87"/>
      <c r="H56" s="87"/>
      <c r="I56" s="110"/>
      <c r="J56" s="110"/>
      <c r="K56" s="91"/>
      <c r="L56" s="91"/>
      <c r="M56" s="13"/>
    </row>
    <row r="57" spans="2:13" ht="39" customHeight="1">
      <c r="B57" s="88" t="s">
        <v>84</v>
      </c>
      <c r="C57" s="89">
        <f>C36-C47</f>
        <v>832610393.6899986</v>
      </c>
      <c r="D57" s="90"/>
      <c r="E57" s="89">
        <f>D36-E47</f>
        <v>2784575787.0200005</v>
      </c>
      <c r="F57" s="90"/>
      <c r="G57" s="90"/>
      <c r="H57" s="90"/>
      <c r="I57" s="90"/>
      <c r="J57" s="90"/>
      <c r="K57" s="42"/>
      <c r="L57" s="43"/>
      <c r="M57" s="10"/>
    </row>
    <row r="58" spans="2:13" ht="12" customHeight="1" thickBot="1">
      <c r="B58" s="37"/>
      <c r="C58" s="44"/>
      <c r="D58" s="44"/>
      <c r="E58" s="44"/>
      <c r="F58" s="45"/>
      <c r="G58" s="45"/>
      <c r="H58" s="45"/>
      <c r="I58" s="45"/>
      <c r="J58" s="42"/>
      <c r="K58" s="42"/>
      <c r="L58" s="43"/>
      <c r="M58" s="10"/>
    </row>
    <row r="59" spans="2:13" ht="12" customHeight="1" thickBot="1">
      <c r="B59" s="38" t="s">
        <v>60</v>
      </c>
      <c r="C59" s="44"/>
      <c r="D59" s="44"/>
      <c r="E59" s="44"/>
      <c r="F59" s="45"/>
      <c r="G59" s="45"/>
      <c r="H59" s="45"/>
      <c r="I59" s="45"/>
      <c r="J59" s="42"/>
      <c r="K59" s="42"/>
      <c r="L59" s="43"/>
      <c r="M59" s="10"/>
    </row>
    <row r="60" spans="2:13" ht="30" customHeight="1" thickBot="1">
      <c r="B60" s="86" t="s">
        <v>85</v>
      </c>
      <c r="C60" s="83">
        <f>3668797757.93</f>
        <v>3668797757.93</v>
      </c>
      <c r="D60" s="83">
        <f>2386418038.28</f>
        <v>2386418038.28</v>
      </c>
      <c r="E60" s="83">
        <f>1467483112.87</f>
        <v>1467483112.87</v>
      </c>
      <c r="F60" s="83">
        <f>99333648.41</f>
        <v>99333648.41</v>
      </c>
      <c r="G60" s="83">
        <f>0</f>
        <v>0</v>
      </c>
      <c r="H60" s="83">
        <f>60011.41</f>
        <v>60011.41</v>
      </c>
      <c r="I60" s="83">
        <f>0</f>
        <v>0</v>
      </c>
      <c r="J60" s="83">
        <f>0</f>
        <v>0</v>
      </c>
      <c r="K60" s="55">
        <f>IF($E$44=0,"",100*$E60/$E$60)</f>
        <v>100.00000000000001</v>
      </c>
      <c r="L60" s="84">
        <f>IF(C60=0,"",100*E60/C60)</f>
        <v>39.99901901646331</v>
      </c>
      <c r="M60" s="10"/>
    </row>
    <row r="61" spans="2:12" ht="13.5" thickBot="1">
      <c r="B61" s="85" t="s">
        <v>61</v>
      </c>
      <c r="C61" s="81">
        <f>2646130575.44</f>
        <v>2646130575.44</v>
      </c>
      <c r="D61" s="81">
        <f>1756681448.23</f>
        <v>1756681448.23</v>
      </c>
      <c r="E61" s="81">
        <f>973154609.86</f>
        <v>973154609.86</v>
      </c>
      <c r="F61" s="81">
        <f>86810220.2</f>
        <v>86810220.2</v>
      </c>
      <c r="G61" s="81">
        <f>0</f>
        <v>0</v>
      </c>
      <c r="H61" s="81">
        <f>60011.41</f>
        <v>60011.41</v>
      </c>
      <c r="I61" s="81">
        <f>0</f>
        <v>0</v>
      </c>
      <c r="J61" s="81">
        <f>0</f>
        <v>0</v>
      </c>
      <c r="K61" s="82">
        <f>IF($E$44=0,"",100*$E61/$E$60)</f>
        <v>66.31453550131646</v>
      </c>
      <c r="L61" s="82">
        <f>IF(C61=0,"",100*E61/C61)</f>
        <v>36.77651507043198</v>
      </c>
    </row>
    <row r="62" spans="2:12" ht="13.5" thickBot="1">
      <c r="B62" s="85" t="s">
        <v>62</v>
      </c>
      <c r="C62" s="81">
        <f>C60-C61</f>
        <v>1022667182.4899998</v>
      </c>
      <c r="D62" s="81">
        <f aca="true" t="shared" si="6" ref="D62:J62">D60-D61</f>
        <v>629736590.0500002</v>
      </c>
      <c r="E62" s="81">
        <f t="shared" si="6"/>
        <v>494328503.0099999</v>
      </c>
      <c r="F62" s="81">
        <f t="shared" si="6"/>
        <v>12523428.209999993</v>
      </c>
      <c r="G62" s="81">
        <f t="shared" si="6"/>
        <v>0</v>
      </c>
      <c r="H62" s="81">
        <f t="shared" si="6"/>
        <v>0</v>
      </c>
      <c r="I62" s="81">
        <f t="shared" si="6"/>
        <v>0</v>
      </c>
      <c r="J62" s="81">
        <f t="shared" si="6"/>
        <v>0</v>
      </c>
      <c r="K62" s="82">
        <f>IF($E$44=0,"",100*$E62/$E$60)</f>
        <v>33.68546449868354</v>
      </c>
      <c r="L62" s="82">
        <f>IF(C62=0,"",100*E62/C62)</f>
        <v>48.33718256279664</v>
      </c>
    </row>
    <row r="63" spans="2:13" ht="25.5" customHeight="1">
      <c r="B63" s="127" t="s">
        <v>97</v>
      </c>
      <c r="C63" s="127"/>
      <c r="D63" s="127"/>
      <c r="E63" s="127"/>
      <c r="F63" s="127"/>
      <c r="G63" s="127"/>
      <c r="H63" s="127"/>
      <c r="I63" s="127"/>
      <c r="J63" s="127"/>
      <c r="K63" s="127"/>
      <c r="L63" s="127"/>
      <c r="M63" s="127"/>
    </row>
    <row r="64" spans="2:8" ht="12.75">
      <c r="B64" s="26" t="s">
        <v>16</v>
      </c>
      <c r="C64" s="121" t="s">
        <v>17</v>
      </c>
      <c r="D64" s="122"/>
      <c r="E64" s="121" t="s">
        <v>1</v>
      </c>
      <c r="F64" s="122"/>
      <c r="G64" s="18" t="s">
        <v>22</v>
      </c>
      <c r="H64" s="18" t="s">
        <v>23</v>
      </c>
    </row>
    <row r="65" spans="2:8" ht="12.75">
      <c r="B65" s="26"/>
      <c r="C65" s="113" t="s">
        <v>63</v>
      </c>
      <c r="D65" s="123"/>
      <c r="E65" s="123"/>
      <c r="F65" s="124"/>
      <c r="G65" s="125" t="s">
        <v>4</v>
      </c>
      <c r="H65" s="126"/>
    </row>
    <row r="66" spans="2:8" ht="12.75">
      <c r="B66" s="24">
        <v>1</v>
      </c>
      <c r="C66" s="27">
        <v>2</v>
      </c>
      <c r="D66" s="28"/>
      <c r="E66" s="27">
        <v>3</v>
      </c>
      <c r="F66" s="28"/>
      <c r="G66" s="25">
        <v>4</v>
      </c>
      <c r="H66" s="25">
        <v>5</v>
      </c>
    </row>
    <row r="67" spans="2:8" ht="22.5">
      <c r="B67" s="66" t="s">
        <v>52</v>
      </c>
      <c r="C67" s="46">
        <f>3286000048.71</f>
        <v>3286000048.71</v>
      </c>
      <c r="D67" s="47"/>
      <c r="E67" s="46">
        <f>6069374277.19</f>
        <v>6069374277.19</v>
      </c>
      <c r="F67" s="47"/>
      <c r="G67" s="48">
        <f>IF($E$67=0,"",100*$E67/$E$67)</f>
        <v>100</v>
      </c>
      <c r="H67" s="40">
        <f>IF(C67=0,"",100*E67/C67)</f>
        <v>184.70402273952132</v>
      </c>
    </row>
    <row r="68" spans="2:8" ht="25.5" customHeight="1">
      <c r="B68" s="67" t="s">
        <v>86</v>
      </c>
      <c r="C68" s="49">
        <f>1937765628.89</f>
        <v>1937765628.89</v>
      </c>
      <c r="D68" s="50"/>
      <c r="E68" s="49">
        <f>321497454.68</f>
        <v>321497454.68</v>
      </c>
      <c r="F68" s="50"/>
      <c r="G68" s="51">
        <f aca="true" t="shared" si="7" ref="G68:G74">IF($E$67=0,"",100*$E68/$E$67)</f>
        <v>5.297044472743358</v>
      </c>
      <c r="H68" s="52">
        <f aca="true" t="shared" si="8" ref="H68:H79">IF(C68=0,"",100*E68/C68)</f>
        <v>16.591142390329303</v>
      </c>
    </row>
    <row r="69" spans="2:8" ht="24" customHeight="1">
      <c r="B69" s="92" t="s">
        <v>87</v>
      </c>
      <c r="C69" s="93">
        <f>69115865</f>
        <v>69115865</v>
      </c>
      <c r="D69" s="94"/>
      <c r="E69" s="93">
        <f>5500000</f>
        <v>5500000</v>
      </c>
      <c r="F69" s="94"/>
      <c r="G69" s="95">
        <f t="shared" si="7"/>
        <v>0.09061889659153449</v>
      </c>
      <c r="H69" s="96">
        <f t="shared" si="8"/>
        <v>7.957651980482339</v>
      </c>
    </row>
    <row r="70" spans="2:8" ht="12.75">
      <c r="B70" s="97" t="s">
        <v>88</v>
      </c>
      <c r="C70" s="93">
        <f>29034753.56</f>
        <v>29034753.56</v>
      </c>
      <c r="D70" s="94"/>
      <c r="E70" s="93">
        <f>13218783.69</f>
        <v>13218783.69</v>
      </c>
      <c r="F70" s="94"/>
      <c r="G70" s="95">
        <f t="shared" si="7"/>
        <v>0.21779483495817686</v>
      </c>
      <c r="H70" s="96">
        <f t="shared" si="8"/>
        <v>45.52745268763356</v>
      </c>
    </row>
    <row r="71" spans="2:8" ht="16.5" customHeight="1">
      <c r="B71" s="97" t="s">
        <v>89</v>
      </c>
      <c r="C71" s="93">
        <f>251130829.67</f>
        <v>251130829.67</v>
      </c>
      <c r="D71" s="94"/>
      <c r="E71" s="93">
        <f>340994949.9</f>
        <v>340994949.9</v>
      </c>
      <c r="F71" s="94"/>
      <c r="G71" s="95">
        <f t="shared" si="7"/>
        <v>5.6182883824042875</v>
      </c>
      <c r="H71" s="96">
        <f t="shared" si="8"/>
        <v>135.78378662153366</v>
      </c>
    </row>
    <row r="72" spans="2:8" ht="12.75">
      <c r="B72" s="97" t="s">
        <v>90</v>
      </c>
      <c r="C72" s="93">
        <f>0</f>
        <v>0</v>
      </c>
      <c r="D72" s="94"/>
      <c r="E72" s="93">
        <f>0</f>
        <v>0</v>
      </c>
      <c r="F72" s="94"/>
      <c r="G72" s="95">
        <f t="shared" si="7"/>
        <v>0</v>
      </c>
      <c r="H72" s="96">
        <f t="shared" si="8"/>
      </c>
    </row>
    <row r="73" spans="2:8" ht="33.75">
      <c r="B73" s="97" t="s">
        <v>65</v>
      </c>
      <c r="C73" s="93">
        <f>1058379778.59</f>
        <v>1058379778.59</v>
      </c>
      <c r="D73" s="94"/>
      <c r="E73" s="93">
        <f>5385974031.35</f>
        <v>5385974031.35</v>
      </c>
      <c r="F73" s="94"/>
      <c r="G73" s="95">
        <f t="shared" si="7"/>
        <v>88.74018614392652</v>
      </c>
      <c r="H73" s="96">
        <f t="shared" si="8"/>
        <v>508.8885993764289</v>
      </c>
    </row>
    <row r="74" spans="2:8" ht="12.75">
      <c r="B74" s="92" t="s">
        <v>66</v>
      </c>
      <c r="C74" s="93">
        <f>9689058</f>
        <v>9689058</v>
      </c>
      <c r="D74" s="94"/>
      <c r="E74" s="93">
        <f>7689057.57</f>
        <v>7689057.57</v>
      </c>
      <c r="F74" s="94"/>
      <c r="G74" s="95">
        <f t="shared" si="7"/>
        <v>0.1266861659676701</v>
      </c>
      <c r="H74" s="96">
        <f t="shared" si="8"/>
        <v>79.35815401249533</v>
      </c>
    </row>
    <row r="75" spans="2:8" ht="22.5">
      <c r="B75" s="66" t="s">
        <v>53</v>
      </c>
      <c r="C75" s="58">
        <f>775594092.65</f>
        <v>775594092.65</v>
      </c>
      <c r="D75" s="59"/>
      <c r="E75" s="58">
        <f>552039858.65</f>
        <v>552039858.65</v>
      </c>
      <c r="F75" s="59"/>
      <c r="G75" s="48">
        <f>IF($E$75=0,"",100*$E75/$E$75)</f>
        <v>100</v>
      </c>
      <c r="H75" s="40">
        <f t="shared" si="8"/>
        <v>71.17638773702178</v>
      </c>
    </row>
    <row r="76" spans="2:8" ht="33.75" customHeight="1">
      <c r="B76" s="67" t="s">
        <v>93</v>
      </c>
      <c r="C76" s="49">
        <f>713214565.74</f>
        <v>713214565.74</v>
      </c>
      <c r="D76" s="57"/>
      <c r="E76" s="56">
        <f>452042926.28</f>
        <v>452042926.28</v>
      </c>
      <c r="F76" s="57"/>
      <c r="G76" s="51">
        <f>IF($E$75=0,"",100*$E76/$E$75)</f>
        <v>81.88592167700716</v>
      </c>
      <c r="H76" s="52">
        <f t="shared" si="8"/>
        <v>63.38105641616842</v>
      </c>
    </row>
    <row r="77" spans="2:8" ht="12" customHeight="1">
      <c r="B77" s="97" t="s">
        <v>91</v>
      </c>
      <c r="C77" s="93">
        <f>28225000</f>
        <v>28225000</v>
      </c>
      <c r="D77" s="94"/>
      <c r="E77" s="93">
        <f>6304500</f>
        <v>6304500</v>
      </c>
      <c r="F77" s="94"/>
      <c r="G77" s="95">
        <f>IF($E$75=0,"",100*$E77/$E$75)</f>
        <v>1.1420371013458162</v>
      </c>
      <c r="H77" s="96">
        <f t="shared" si="8"/>
        <v>22.336581045172718</v>
      </c>
    </row>
    <row r="78" spans="2:8" ht="12.75">
      <c r="B78" s="97" t="s">
        <v>92</v>
      </c>
      <c r="C78" s="93">
        <f>39956016</f>
        <v>39956016</v>
      </c>
      <c r="D78" s="94"/>
      <c r="E78" s="93">
        <f>49069701.83</f>
        <v>49069701.83</v>
      </c>
      <c r="F78" s="94"/>
      <c r="G78" s="95">
        <f>IF($E$75=0,"",100*$E78/$E$75)</f>
        <v>8.888796897745529</v>
      </c>
      <c r="H78" s="96">
        <f t="shared" si="8"/>
        <v>122.8092956765259</v>
      </c>
    </row>
    <row r="79" spans="2:8" ht="12.75">
      <c r="B79" s="68" t="s">
        <v>24</v>
      </c>
      <c r="C79" s="93">
        <f>22423510.91</f>
        <v>22423510.91</v>
      </c>
      <c r="D79" s="94"/>
      <c r="E79" s="93">
        <f>50927230.54</f>
        <v>50927230.54</v>
      </c>
      <c r="F79" s="94"/>
      <c r="G79" s="95">
        <f>IF($E$75=0,"",100*$E79/$E$75)</f>
        <v>9.225281425247319</v>
      </c>
      <c r="H79" s="96">
        <f t="shared" si="8"/>
        <v>227.11532883679007</v>
      </c>
    </row>
    <row r="80" ht="12.75">
      <c r="B80" s="23"/>
    </row>
    <row r="81" spans="2:8" ht="12.75">
      <c r="B81" s="60" t="s">
        <v>16</v>
      </c>
      <c r="C81" s="121" t="s">
        <v>17</v>
      </c>
      <c r="D81" s="122"/>
      <c r="E81" s="121" t="s">
        <v>1</v>
      </c>
      <c r="F81" s="122"/>
      <c r="G81" s="18" t="s">
        <v>22</v>
      </c>
      <c r="H81" s="18" t="s">
        <v>23</v>
      </c>
    </row>
    <row r="82" spans="2:8" ht="12.75">
      <c r="B82" s="60"/>
      <c r="C82" s="113" t="s">
        <v>63</v>
      </c>
      <c r="D82" s="123"/>
      <c r="E82" s="123"/>
      <c r="F82" s="124"/>
      <c r="G82" s="125" t="s">
        <v>4</v>
      </c>
      <c r="H82" s="126"/>
    </row>
    <row r="83" spans="2:8" ht="12.75">
      <c r="B83" s="24">
        <v>1</v>
      </c>
      <c r="C83" s="27">
        <v>2</v>
      </c>
      <c r="D83" s="28"/>
      <c r="E83" s="27">
        <v>3</v>
      </c>
      <c r="F83" s="28"/>
      <c r="G83" s="25">
        <v>4</v>
      </c>
      <c r="H83" s="25">
        <v>5</v>
      </c>
    </row>
    <row r="84" spans="2:8" ht="22.5">
      <c r="B84" s="65" t="s">
        <v>67</v>
      </c>
      <c r="C84" s="53">
        <f>2515556755.61</f>
        <v>2515556755.61</v>
      </c>
      <c r="D84" s="54"/>
      <c r="E84" s="53">
        <f>0</f>
        <v>0</v>
      </c>
      <c r="F84" s="47"/>
      <c r="G84" s="48"/>
      <c r="H84" s="40"/>
    </row>
    <row r="85" spans="2:8" ht="56.25">
      <c r="B85" s="98" t="s">
        <v>68</v>
      </c>
      <c r="C85" s="93">
        <f>56317196.79</f>
        <v>56317196.79</v>
      </c>
      <c r="D85" s="94"/>
      <c r="E85" s="93">
        <f>0</f>
        <v>0</v>
      </c>
      <c r="F85" s="94"/>
      <c r="G85" s="95"/>
      <c r="H85" s="96"/>
    </row>
    <row r="86" spans="2:8" ht="12.75">
      <c r="B86" s="98" t="s">
        <v>69</v>
      </c>
      <c r="C86" s="93">
        <f>1510989956.21</f>
        <v>1510989956.21</v>
      </c>
      <c r="D86" s="94"/>
      <c r="E86" s="93">
        <f>0</f>
        <v>0</v>
      </c>
      <c r="F86" s="94"/>
      <c r="G86" s="95"/>
      <c r="H86" s="96"/>
    </row>
    <row r="87" spans="2:8" ht="22.5">
      <c r="B87" s="98" t="s">
        <v>70</v>
      </c>
      <c r="C87" s="93">
        <f>0</f>
        <v>0</v>
      </c>
      <c r="D87" s="94"/>
      <c r="E87" s="93">
        <f>0</f>
        <v>0</v>
      </c>
      <c r="F87" s="94"/>
      <c r="G87" s="95"/>
      <c r="H87" s="96"/>
    </row>
    <row r="88" spans="2:8" ht="33.75">
      <c r="B88" s="98" t="s">
        <v>71</v>
      </c>
      <c r="C88" s="93">
        <f>209836972.84</f>
        <v>209836972.84</v>
      </c>
      <c r="D88" s="94"/>
      <c r="E88" s="93">
        <f>0</f>
        <v>0</v>
      </c>
      <c r="F88" s="94"/>
      <c r="G88" s="95"/>
      <c r="H88" s="96"/>
    </row>
    <row r="89" spans="2:8" ht="101.25">
      <c r="B89" s="98" t="s">
        <v>72</v>
      </c>
      <c r="C89" s="93">
        <f>738412629.77</f>
        <v>738412629.77</v>
      </c>
      <c r="D89" s="94"/>
      <c r="E89" s="93">
        <f>0</f>
        <v>0</v>
      </c>
      <c r="F89" s="94"/>
      <c r="G89" s="95"/>
      <c r="H89" s="96"/>
    </row>
    <row r="90" spans="2:6" ht="12.75">
      <c r="B90" s="60" t="s">
        <v>16</v>
      </c>
      <c r="C90" s="121" t="s">
        <v>96</v>
      </c>
      <c r="D90" s="131"/>
      <c r="E90" s="131"/>
      <c r="F90" s="122"/>
    </row>
    <row r="91" spans="2:6" ht="12.75">
      <c r="B91" s="60"/>
      <c r="C91" s="113" t="s">
        <v>63</v>
      </c>
      <c r="D91" s="123"/>
      <c r="E91" s="123"/>
      <c r="F91" s="124"/>
    </row>
    <row r="92" spans="2:6" ht="12.75">
      <c r="B92" s="24">
        <v>1</v>
      </c>
      <c r="C92" s="103">
        <v>2</v>
      </c>
      <c r="D92" s="104"/>
      <c r="E92" s="104"/>
      <c r="F92" s="105"/>
    </row>
    <row r="93" spans="2:6" ht="56.25">
      <c r="B93" s="65" t="s">
        <v>73</v>
      </c>
      <c r="C93" s="100">
        <f>40871910.52</f>
        <v>40871910.52</v>
      </c>
      <c r="D93" s="101"/>
      <c r="E93" s="101"/>
      <c r="F93" s="102"/>
    </row>
    <row r="94" spans="2:6" ht="33.75">
      <c r="B94" s="64" t="s">
        <v>74</v>
      </c>
      <c r="C94" s="100">
        <f>21834272.69</f>
        <v>21834272.69</v>
      </c>
      <c r="D94" s="101"/>
      <c r="E94" s="101"/>
      <c r="F94" s="102"/>
    </row>
    <row r="95" spans="2:6" ht="36" customHeight="1">
      <c r="B95" s="64" t="s">
        <v>75</v>
      </c>
      <c r="C95" s="100">
        <f>12478865.17</f>
        <v>12478865.17</v>
      </c>
      <c r="D95" s="101"/>
      <c r="E95" s="101"/>
      <c r="F95" s="102"/>
    </row>
    <row r="96" spans="2:6" ht="69" customHeight="1">
      <c r="B96" s="64" t="s">
        <v>76</v>
      </c>
      <c r="C96" s="100">
        <f>6483923</f>
        <v>6483923</v>
      </c>
      <c r="D96" s="101"/>
      <c r="E96" s="101"/>
      <c r="F96" s="102"/>
    </row>
    <row r="97" spans="2:6" ht="45">
      <c r="B97" s="64" t="s">
        <v>77</v>
      </c>
      <c r="C97" s="100">
        <f>0</f>
        <v>0</v>
      </c>
      <c r="D97" s="101"/>
      <c r="E97" s="101"/>
      <c r="F97" s="102"/>
    </row>
    <row r="98" spans="2:6" ht="56.25">
      <c r="B98" s="99" t="s">
        <v>78</v>
      </c>
      <c r="C98" s="100">
        <f>0</f>
        <v>0</v>
      </c>
      <c r="D98" s="101"/>
      <c r="E98" s="101"/>
      <c r="F98" s="102"/>
    </row>
    <row r="99" spans="2:6" ht="45">
      <c r="B99" s="99" t="s">
        <v>79</v>
      </c>
      <c r="C99" s="100">
        <f>0</f>
        <v>0</v>
      </c>
      <c r="D99" s="101"/>
      <c r="E99" s="101"/>
      <c r="F99" s="102"/>
    </row>
    <row r="100" spans="2:6" ht="90">
      <c r="B100" s="99" t="s">
        <v>94</v>
      </c>
      <c r="C100" s="100">
        <f>5430672.53</f>
        <v>5430672.53</v>
      </c>
      <c r="D100" s="101"/>
      <c r="E100" s="101"/>
      <c r="F100" s="102"/>
    </row>
    <row r="101" spans="2:6" ht="90">
      <c r="B101" s="99" t="s">
        <v>95</v>
      </c>
      <c r="C101" s="100">
        <f>3973458.99</f>
        <v>3973458.99</v>
      </c>
      <c r="D101" s="101"/>
      <c r="E101" s="101"/>
      <c r="F101" s="102"/>
    </row>
  </sheetData>
  <sheetProtection/>
  <mergeCells count="52">
    <mergeCell ref="C91:F91"/>
    <mergeCell ref="C81:D81"/>
    <mergeCell ref="E81:F81"/>
    <mergeCell ref="C82:F82"/>
    <mergeCell ref="G82:H82"/>
    <mergeCell ref="C90:F90"/>
    <mergeCell ref="L39:L41"/>
    <mergeCell ref="B2:B3"/>
    <mergeCell ref="C39:C41"/>
    <mergeCell ref="B39:B42"/>
    <mergeCell ref="K39:K41"/>
    <mergeCell ref="K42:L42"/>
    <mergeCell ref="F3:H3"/>
    <mergeCell ref="B37:M37"/>
    <mergeCell ref="C42:J42"/>
    <mergeCell ref="C3:E3"/>
    <mergeCell ref="C64:D64"/>
    <mergeCell ref="E64:F64"/>
    <mergeCell ref="C65:F65"/>
    <mergeCell ref="G65:H65"/>
    <mergeCell ref="I43:J43"/>
    <mergeCell ref="B1:M1"/>
    <mergeCell ref="B63:M63"/>
    <mergeCell ref="I39:J41"/>
    <mergeCell ref="D39:D41"/>
    <mergeCell ref="E39:E41"/>
    <mergeCell ref="F40:F41"/>
    <mergeCell ref="F39:H39"/>
    <mergeCell ref="G40:H40"/>
    <mergeCell ref="I48:J48"/>
    <mergeCell ref="I50:J50"/>
    <mergeCell ref="I51:J51"/>
    <mergeCell ref="I44:J44"/>
    <mergeCell ref="I45:J45"/>
    <mergeCell ref="I46:J46"/>
    <mergeCell ref="I47:J47"/>
    <mergeCell ref="I52:J52"/>
    <mergeCell ref="I53:J53"/>
    <mergeCell ref="I55:J55"/>
    <mergeCell ref="I56:J56"/>
    <mergeCell ref="I54:J54"/>
    <mergeCell ref="I49:J49"/>
    <mergeCell ref="C98:F98"/>
    <mergeCell ref="C99:F99"/>
    <mergeCell ref="C100:F100"/>
    <mergeCell ref="C101:F101"/>
    <mergeCell ref="C92:F92"/>
    <mergeCell ref="C93:F93"/>
    <mergeCell ref="C94:F94"/>
    <mergeCell ref="C95:F95"/>
    <mergeCell ref="C96:F96"/>
    <mergeCell ref="C97:F97"/>
  </mergeCells>
  <printOptions/>
  <pageMargins left="0.1968503937007874" right="0.1968503937007874" top="0.35433070866141736" bottom="0.3937007874015748" header="0.31496062992125984" footer="0.1968503937007874"/>
  <pageSetup firstPageNumber="1" useFirstPageNumber="1" horizontalDpi="600" verticalDpi="600" orientation="landscape" paperSize="9" scale="85" r:id="rId3"/>
  <headerFooter alignWithMargins="0">
    <oddFooter>&amp;RStrona &amp;P z &amp;N</oddFooter>
  </headerFooter>
  <rowBreaks count="3" manualBreakCount="3">
    <brk id="36" max="255" man="1"/>
    <brk id="62" max="255" man="1"/>
    <brk id="89" min="1" max="11" man="1"/>
  </rowBreaks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Min. Fin.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lastPrinted>2017-03-30T11:49:59Z</cp:lastPrinted>
  <dcterms:created xsi:type="dcterms:W3CDTF">2001-05-17T08:58:03Z</dcterms:created>
  <dcterms:modified xsi:type="dcterms:W3CDTF">2018-11-19T09:46:44Z</dcterms:modified>
  <cp:category/>
  <cp:version/>
  <cp:contentType/>
  <cp:contentStatus/>
</cp:coreProperties>
</file>