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II kwartał\2025.11.14 Dane ostateczne\Zbiorówki_2025_k3_2025.11.14\Publikacja\"/>
    </mc:Choice>
  </mc:AlternateContent>
  <xr:revisionPtr revIDLastSave="0" documentId="13_ncr:1_{0EEB8B2B-475A-41D5-89A0-9887E4E4ED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 l="1"/>
  <c r="A1" i="7" l="1"/>
  <c r="A30" i="7"/>
  <c r="A85" i="7"/>
  <c r="A66" i="7"/>
</calcChain>
</file>

<file path=xl/sharedStrings.xml><?xml version="1.0" encoding="utf-8"?>
<sst xmlns="http://schemas.openxmlformats.org/spreadsheetml/2006/main" count="97" uniqueCount="81">
  <si>
    <t>Wyszczególnienie</t>
  </si>
  <si>
    <t>sektora finansów publicznych (kol.5+7+8)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</si>
  <si>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</si>
  <si>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</si>
  <si>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</si>
  <si>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</si>
  <si>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</si>
  <si>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</si>
  <si>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</si>
  <si>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</si>
  <si>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</si>
  <si>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</si>
  <si>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</si>
  <si>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</si>
  <si>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</si>
  <si>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</si>
  <si>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</si>
  <si>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</si>
  <si>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</si>
  <si>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</si>
  <si>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</si>
  <si>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</si>
  <si>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</si>
  <si>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</si>
  <si>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</si>
  <si>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</si>
  <si>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</si>
  <si>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</si>
  <si>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</si>
  <si>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</si>
  <si>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</si>
  <si>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</si>
  <si>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</si>
  <si>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</si>
  <si>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</si>
  <si>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</si>
  <si>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</si>
  <si>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</si>
  <si>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</si>
  <si>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</si>
  <si>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</si>
  <si>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</si>
  <si>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</si>
  <si>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</si>
  <si>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</si>
  <si>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</si>
  <si>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</si>
  <si>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</si>
  <si>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</si>
  <si>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</si>
  <si>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</si>
  <si>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</si>
  <si>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</si>
  <si>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</si>
  <si>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</si>
  <si>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</si>
  <si>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</si>
  <si>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</si>
  <si>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</si>
  <si>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</si>
  <si>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</si>
  <si>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</si>
  <si>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</si>
  <si>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</si>
  <si>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</si>
  <si>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</si>
  <si>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</si>
  <si>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</si>
  <si>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</si>
  <si>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</si>
  <si>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</si>
  <si>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</si>
  <si>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wierzyciele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</si>
  <si>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</si>
  <si>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</si>
  <si>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</si>
  <si>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</si>
  <si>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</si>
  <si>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tytul</t>
  </si>
  <si>
    <t>w złotych</t>
  </si>
  <si>
    <t>E4  wymagalne zobowiązania (E4.1+E4.2)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</si>
</sst>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7" xfId="0" applyFont="1" applyFill="1" applyBorder="1" applyAlignment="1">
      <alignment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4" width="12.42578125" style="2" customWidth="1"/>
    <col min="5" max="6" width="11.42578125" style="2" customWidth="1"/>
    <col min="7" max="7" width="12.7109375" style="2" customWidth="1"/>
    <col min="8" max="8" width="9.7109375" style="2" customWidth="1"/>
    <col min="9" max="9" width="10.7109375" style="2" customWidth="1"/>
    <col min="10" max="10" width="14" style="2" customWidth="1"/>
    <col min="11" max="11" width="12.140625" style="2" customWidth="1"/>
    <col min="12" max="12" width="11.42578125" style="2" customWidth="1"/>
    <col min="13" max="13" width="12" style="2" customWidth="1"/>
    <col min="14" max="14" width="11.7109375" style="2" customWidth="1"/>
    <col min="15" max="15" width="11.140625" style="2" customWidth="1"/>
    <col min="16" max="16" width="12.5703125" style="2" customWidth="1"/>
    <col min="17" max="16384" width="9.140625" style="2"/>
  </cols>
  <sheetData>
    <row r="1" spans="1:17" ht="75" customHeight="1" x14ac:dyDescent="0.2">
      <c r="A1" s="30" t="str">
        <f>CONCATENATE("Informacja z wykonania budżetów miast na prawach powiatu za  ",$C$93," ",$B$94," roku     ",$B$96,"")</f>
        <v xml:space="preserve">Informacja z wykonania budżetów miast na prawach powiatu za  III Kwartały 2025 roku     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4" t="s">
        <v>64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5" spans="1:17" ht="13.5" customHeight="1" x14ac:dyDescent="0.2">
      <c r="B5" s="12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11"/>
      <c r="O5" s="11"/>
      <c r="P5" s="11"/>
      <c r="Q5" s="11"/>
    </row>
    <row r="6" spans="1:17" ht="13.5" customHeight="1" x14ac:dyDescent="0.2">
      <c r="A6" s="59" t="s">
        <v>0</v>
      </c>
      <c r="B6" s="69" t="s">
        <v>65</v>
      </c>
      <c r="C6" s="26" t="s">
        <v>69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8"/>
      <c r="O6" s="26" t="s">
        <v>68</v>
      </c>
      <c r="P6" s="27"/>
      <c r="Q6" s="28"/>
    </row>
    <row r="7" spans="1:17" ht="13.5" customHeight="1" x14ac:dyDescent="0.2">
      <c r="A7" s="60"/>
      <c r="B7" s="70"/>
      <c r="C7" s="62" t="s">
        <v>66</v>
      </c>
      <c r="D7" s="62" t="s">
        <v>1</v>
      </c>
      <c r="E7" s="62" t="s">
        <v>70</v>
      </c>
      <c r="F7" s="62" t="s">
        <v>71</v>
      </c>
      <c r="G7" s="62" t="s">
        <v>28</v>
      </c>
      <c r="H7" s="62" t="s">
        <v>29</v>
      </c>
      <c r="I7" s="71" t="s">
        <v>67</v>
      </c>
      <c r="J7" s="62" t="s">
        <v>17</v>
      </c>
      <c r="K7" s="62" t="s">
        <v>18</v>
      </c>
      <c r="L7" s="62" t="s">
        <v>19</v>
      </c>
      <c r="M7" s="62" t="s">
        <v>20</v>
      </c>
      <c r="N7" s="70" t="s">
        <v>21</v>
      </c>
      <c r="O7" s="29" t="s">
        <v>22</v>
      </c>
      <c r="P7" s="29" t="s">
        <v>23</v>
      </c>
      <c r="Q7" s="29" t="s">
        <v>24</v>
      </c>
    </row>
    <row r="8" spans="1:17" ht="13.5" customHeight="1" x14ac:dyDescent="0.2">
      <c r="A8" s="60"/>
      <c r="B8" s="70"/>
      <c r="C8" s="29"/>
      <c r="D8" s="29"/>
      <c r="E8" s="29"/>
      <c r="F8" s="29"/>
      <c r="G8" s="29"/>
      <c r="H8" s="29"/>
      <c r="I8" s="71"/>
      <c r="J8" s="29"/>
      <c r="K8" s="29"/>
      <c r="L8" s="29"/>
      <c r="M8" s="29"/>
      <c r="N8" s="70"/>
      <c r="O8" s="29"/>
      <c r="P8" s="29"/>
      <c r="Q8" s="29"/>
    </row>
    <row r="9" spans="1:17" ht="11.25" customHeight="1" x14ac:dyDescent="0.2">
      <c r="A9" s="60"/>
      <c r="B9" s="70"/>
      <c r="C9" s="29"/>
      <c r="D9" s="29"/>
      <c r="E9" s="29"/>
      <c r="F9" s="29"/>
      <c r="G9" s="29"/>
      <c r="H9" s="29"/>
      <c r="I9" s="71"/>
      <c r="J9" s="29"/>
      <c r="K9" s="29"/>
      <c r="L9" s="29"/>
      <c r="M9" s="29"/>
      <c r="N9" s="70"/>
      <c r="O9" s="29"/>
      <c r="P9" s="29"/>
      <c r="Q9" s="29"/>
    </row>
    <row r="10" spans="1:17" ht="11.25" customHeight="1" x14ac:dyDescent="0.2">
      <c r="A10" s="61"/>
      <c r="B10" s="62"/>
      <c r="C10" s="29"/>
      <c r="D10" s="29"/>
      <c r="E10" s="29"/>
      <c r="F10" s="29"/>
      <c r="G10" s="29"/>
      <c r="H10" s="29"/>
      <c r="I10" s="72"/>
      <c r="J10" s="29"/>
      <c r="K10" s="29"/>
      <c r="L10" s="29"/>
      <c r="M10" s="29"/>
      <c r="N10" s="62"/>
      <c r="O10" s="29"/>
      <c r="P10" s="29"/>
      <c r="Q10" s="29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33" t="s">
        <v>79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3" spans="1:17" ht="38.25" customHeight="1" x14ac:dyDescent="0.2">
      <c r="A13" s="20" t="s">
        <v>47</v>
      </c>
      <c r="B13" s="21">
        <f>55934717139.73</f>
        <v>55934717139.730003</v>
      </c>
      <c r="C13" s="21">
        <f>33665083580.41</f>
        <v>33665083580.41</v>
      </c>
      <c r="D13" s="21">
        <f>652382057.46</f>
        <v>652382057.46000004</v>
      </c>
      <c r="E13" s="21">
        <f>353780531.94</f>
        <v>353780531.94</v>
      </c>
      <c r="F13" s="21">
        <f>176489719.16</f>
        <v>176489719.16</v>
      </c>
      <c r="G13" s="21">
        <f>120575892.4</f>
        <v>120575892.40000001</v>
      </c>
      <c r="H13" s="21">
        <f>1535913.96</f>
        <v>1535913.96</v>
      </c>
      <c r="I13" s="21">
        <f>0</f>
        <v>0</v>
      </c>
      <c r="J13" s="21">
        <f>31296351170.08</f>
        <v>31296351170.080002</v>
      </c>
      <c r="K13" s="21">
        <f>976687559.16</f>
        <v>976687559.15999997</v>
      </c>
      <c r="L13" s="21">
        <f>728633077.13</f>
        <v>728633077.13</v>
      </c>
      <c r="M13" s="21">
        <f>9524935.1</f>
        <v>9524935.0999999996</v>
      </c>
      <c r="N13" s="21">
        <f>1504781.48</f>
        <v>1504781.48</v>
      </c>
      <c r="O13" s="21">
        <f>22269633559.32</f>
        <v>22269633559.32</v>
      </c>
      <c r="P13" s="21">
        <f>19648158339.38</f>
        <v>19648158339.380001</v>
      </c>
      <c r="Q13" s="21">
        <f>2621475219.94</f>
        <v>2621475219.9400001</v>
      </c>
    </row>
    <row r="14" spans="1:17" ht="38.25" customHeight="1" x14ac:dyDescent="0.2">
      <c r="A14" s="20" t="s">
        <v>48</v>
      </c>
      <c r="B14" s="21">
        <f>7638694000</f>
        <v>7638694000</v>
      </c>
      <c r="C14" s="21">
        <f>7638694000</f>
        <v>7638694000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7480194000</f>
        <v>7480194000</v>
      </c>
      <c r="K14" s="21">
        <f>158500000</f>
        <v>158500000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38.25" customHeight="1" x14ac:dyDescent="0.2">
      <c r="A15" s="18" t="s">
        <v>49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38.25" customHeight="1" x14ac:dyDescent="0.2">
      <c r="A16" s="18" t="s">
        <v>50</v>
      </c>
      <c r="B16" s="22">
        <f>7638694000</f>
        <v>7638694000</v>
      </c>
      <c r="C16" s="22">
        <f>7638694000</f>
        <v>7638694000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7480194000</f>
        <v>7480194000</v>
      </c>
      <c r="K16" s="22">
        <f>158500000</f>
        <v>158500000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8.25" customHeight="1" x14ac:dyDescent="0.2">
      <c r="A17" s="20" t="s">
        <v>51</v>
      </c>
      <c r="B17" s="21">
        <f>48281532794.38</f>
        <v>48281532794.379997</v>
      </c>
      <c r="C17" s="21">
        <f>26011899235.06</f>
        <v>26011899235.060001</v>
      </c>
      <c r="D17" s="21">
        <f>649711709.13</f>
        <v>649711709.13</v>
      </c>
      <c r="E17" s="21">
        <f>353775049</f>
        <v>353775049</v>
      </c>
      <c r="F17" s="21">
        <f>176489249.22</f>
        <v>176489249.22</v>
      </c>
      <c r="G17" s="21">
        <f>119447410.91</f>
        <v>119447410.91</v>
      </c>
      <c r="H17" s="21">
        <f>0</f>
        <v>0</v>
      </c>
      <c r="I17" s="21">
        <f>0</f>
        <v>0</v>
      </c>
      <c r="J17" s="21">
        <f>23816157170.08</f>
        <v>23816157170.080002</v>
      </c>
      <c r="K17" s="21">
        <f>817475490.91</f>
        <v>817475490.90999997</v>
      </c>
      <c r="L17" s="21">
        <f>727024864.94</f>
        <v>727024864.94000006</v>
      </c>
      <c r="M17" s="21">
        <f>30000</f>
        <v>30000</v>
      </c>
      <c r="N17" s="21">
        <f>1500000</f>
        <v>1500000</v>
      </c>
      <c r="O17" s="21">
        <f>22269633559.32</f>
        <v>22269633559.32</v>
      </c>
      <c r="P17" s="21">
        <f>19648158339.38</f>
        <v>19648158339.380001</v>
      </c>
      <c r="Q17" s="21">
        <f>2621475219.94</f>
        <v>2621475219.9400001</v>
      </c>
    </row>
    <row r="18" spans="1:17" ht="38.25" customHeight="1" x14ac:dyDescent="0.2">
      <c r="A18" s="18" t="s">
        <v>52</v>
      </c>
      <c r="B18" s="22">
        <f>139051773.12</f>
        <v>139051773.12</v>
      </c>
      <c r="C18" s="22">
        <f>139051773.12</f>
        <v>139051773.12</v>
      </c>
      <c r="D18" s="22">
        <f>0</f>
        <v>0</v>
      </c>
      <c r="E18" s="22">
        <f>0</f>
        <v>0</v>
      </c>
      <c r="F18" s="22">
        <f>0</f>
        <v>0</v>
      </c>
      <c r="G18" s="22">
        <f>0</f>
        <v>0</v>
      </c>
      <c r="H18" s="22">
        <f>0</f>
        <v>0</v>
      </c>
      <c r="I18" s="22">
        <f>0</f>
        <v>0</v>
      </c>
      <c r="J18" s="22">
        <f>139051773.12</f>
        <v>139051773.12</v>
      </c>
      <c r="K18" s="22">
        <f>0</f>
        <v>0</v>
      </c>
      <c r="L18" s="22">
        <f>0</f>
        <v>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38.25" customHeight="1" x14ac:dyDescent="0.2">
      <c r="A19" s="18" t="s">
        <v>53</v>
      </c>
      <c r="B19" s="22">
        <f>48142481021.26</f>
        <v>48142481021.260002</v>
      </c>
      <c r="C19" s="22">
        <f>25872847461.94</f>
        <v>25872847461.939999</v>
      </c>
      <c r="D19" s="22">
        <f>649711709.13</f>
        <v>649711709.13</v>
      </c>
      <c r="E19" s="22">
        <f>353775049</f>
        <v>353775049</v>
      </c>
      <c r="F19" s="22">
        <f>176489249.22</f>
        <v>176489249.22</v>
      </c>
      <c r="G19" s="22">
        <f>119447410.91</f>
        <v>119447410.91</v>
      </c>
      <c r="H19" s="22">
        <f>0</f>
        <v>0</v>
      </c>
      <c r="I19" s="22">
        <f>0</f>
        <v>0</v>
      </c>
      <c r="J19" s="22">
        <f>23677105396.96</f>
        <v>23677105396.959999</v>
      </c>
      <c r="K19" s="22">
        <f>817475490.91</f>
        <v>817475490.90999997</v>
      </c>
      <c r="L19" s="22">
        <f>727024864.94</f>
        <v>727024864.94000006</v>
      </c>
      <c r="M19" s="22">
        <f>30000</f>
        <v>30000</v>
      </c>
      <c r="N19" s="22">
        <f>1500000</f>
        <v>1500000</v>
      </c>
      <c r="O19" s="22">
        <f>22269633559.32</f>
        <v>22269633559.32</v>
      </c>
      <c r="P19" s="22">
        <f>19648158339.38</f>
        <v>19648158339.380001</v>
      </c>
      <c r="Q19" s="22">
        <f>2621475219.94</f>
        <v>2621475219.9400001</v>
      </c>
    </row>
    <row r="20" spans="1:17" ht="38.25" customHeight="1" x14ac:dyDescent="0.2">
      <c r="A20" s="20" t="s">
        <v>54</v>
      </c>
      <c r="B20" s="21">
        <f>0</f>
        <v>0</v>
      </c>
      <c r="C20" s="21">
        <f>0</f>
        <v>0</v>
      </c>
      <c r="D20" s="21">
        <f>0</f>
        <v>0</v>
      </c>
      <c r="E20" s="21">
        <f>0</f>
        <v>0</v>
      </c>
      <c r="F20" s="21">
        <f>0</f>
        <v>0</v>
      </c>
      <c r="G20" s="21">
        <f>0</f>
        <v>0</v>
      </c>
      <c r="H20" s="21">
        <f>0</f>
        <v>0</v>
      </c>
      <c r="I20" s="21">
        <f>0</f>
        <v>0</v>
      </c>
      <c r="J20" s="21">
        <f>0</f>
        <v>0</v>
      </c>
      <c r="K20" s="21">
        <f>0</f>
        <v>0</v>
      </c>
      <c r="L20" s="21">
        <f>0</f>
        <v>0</v>
      </c>
      <c r="M20" s="21">
        <f>0</f>
        <v>0</v>
      </c>
      <c r="N20" s="21">
        <f>0</f>
        <v>0</v>
      </c>
      <c r="O20" s="21">
        <f>0</f>
        <v>0</v>
      </c>
      <c r="P20" s="21">
        <f>0</f>
        <v>0</v>
      </c>
      <c r="Q20" s="21">
        <f>0</f>
        <v>0</v>
      </c>
    </row>
    <row r="21" spans="1:17" ht="38.25" customHeight="1" x14ac:dyDescent="0.2">
      <c r="A21" s="20" t="s">
        <v>80</v>
      </c>
      <c r="B21" s="21">
        <f>14490345.35</f>
        <v>14490345.35</v>
      </c>
      <c r="C21" s="21">
        <f>14490345.35</f>
        <v>14490345.35</v>
      </c>
      <c r="D21" s="21">
        <f>2670348.33</f>
        <v>2670348.33</v>
      </c>
      <c r="E21" s="21">
        <f>5482.94</f>
        <v>5482.94</v>
      </c>
      <c r="F21" s="21">
        <f>469.94</f>
        <v>469.94</v>
      </c>
      <c r="G21" s="21">
        <f>1128481.49</f>
        <v>1128481.49</v>
      </c>
      <c r="H21" s="21">
        <f>1535913.96</f>
        <v>1535913.96</v>
      </c>
      <c r="I21" s="21">
        <f>0</f>
        <v>0</v>
      </c>
      <c r="J21" s="21">
        <f>0</f>
        <v>0</v>
      </c>
      <c r="K21" s="21">
        <f>712068.25</f>
        <v>712068.25</v>
      </c>
      <c r="L21" s="21">
        <f>1608212.19</f>
        <v>1608212.19</v>
      </c>
      <c r="M21" s="21">
        <f>9494935.1</f>
        <v>9494935.0999999996</v>
      </c>
      <c r="N21" s="21">
        <f>4781.48</f>
        <v>4781.4799999999996</v>
      </c>
      <c r="O21" s="21">
        <f>0</f>
        <v>0</v>
      </c>
      <c r="P21" s="21">
        <f>0</f>
        <v>0</v>
      </c>
      <c r="Q21" s="21">
        <f>0</f>
        <v>0</v>
      </c>
    </row>
    <row r="22" spans="1:17" ht="38.25" customHeight="1" x14ac:dyDescent="0.2">
      <c r="A22" s="18" t="s">
        <v>55</v>
      </c>
      <c r="B22" s="22">
        <f>10237212.79</f>
        <v>10237212.789999999</v>
      </c>
      <c r="C22" s="22">
        <f>10237212.79</f>
        <v>10237212.789999999</v>
      </c>
      <c r="D22" s="22">
        <f>6327.62</f>
        <v>6327.62</v>
      </c>
      <c r="E22" s="22">
        <f>155.48</f>
        <v>155.47999999999999</v>
      </c>
      <c r="F22" s="22">
        <f>0</f>
        <v>0</v>
      </c>
      <c r="G22" s="22">
        <f>6172.14</f>
        <v>6172.14</v>
      </c>
      <c r="H22" s="22">
        <f>0</f>
        <v>0</v>
      </c>
      <c r="I22" s="22">
        <f>0</f>
        <v>0</v>
      </c>
      <c r="J22" s="22">
        <f>0</f>
        <v>0</v>
      </c>
      <c r="K22" s="22">
        <f>712068.25</f>
        <v>712068.25</v>
      </c>
      <c r="L22" s="22">
        <f>688341.4</f>
        <v>688341.4</v>
      </c>
      <c r="M22" s="22">
        <f>8826894.04</f>
        <v>8826894.0399999991</v>
      </c>
      <c r="N22" s="22">
        <f>3581.48</f>
        <v>3581.48</v>
      </c>
      <c r="O22" s="22">
        <f>0</f>
        <v>0</v>
      </c>
      <c r="P22" s="22">
        <f>0</f>
        <v>0</v>
      </c>
      <c r="Q22" s="22">
        <f>0</f>
        <v>0</v>
      </c>
    </row>
    <row r="23" spans="1:17" ht="38.25" customHeight="1" x14ac:dyDescent="0.2">
      <c r="A23" s="18" t="s">
        <v>56</v>
      </c>
      <c r="B23" s="22">
        <f>4253132.56</f>
        <v>4253132.5599999996</v>
      </c>
      <c r="C23" s="22">
        <f>4253132.56</f>
        <v>4253132.5599999996</v>
      </c>
      <c r="D23" s="22">
        <f>2664020.71</f>
        <v>2664020.71</v>
      </c>
      <c r="E23" s="22">
        <f>5327.46</f>
        <v>5327.46</v>
      </c>
      <c r="F23" s="22">
        <f>469.94</f>
        <v>469.94</v>
      </c>
      <c r="G23" s="22">
        <f>1122309.35</f>
        <v>1122309.3500000001</v>
      </c>
      <c r="H23" s="22">
        <f>1535913.96</f>
        <v>1535913.96</v>
      </c>
      <c r="I23" s="22">
        <f>0</f>
        <v>0</v>
      </c>
      <c r="J23" s="22">
        <f>0</f>
        <v>0</v>
      </c>
      <c r="K23" s="22">
        <f>0</f>
        <v>0</v>
      </c>
      <c r="L23" s="22">
        <f>919870.79</f>
        <v>919870.79</v>
      </c>
      <c r="M23" s="22">
        <f>668041.06</f>
        <v>668041.06000000006</v>
      </c>
      <c r="N23" s="22">
        <f>1200</f>
        <v>1200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9.5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ht="45.75" customHeight="1" x14ac:dyDescent="0.2">
      <c r="A30" s="30" t="str">
        <f>CONCATENATE("Informacja z wykonania budżetów miast na prawach powiatu za  ",$C$93," ",$B$94," roku     ",$B$96,"")</f>
        <v xml:space="preserve">Informacja z wykonania budżetów miast na prawach powiatu za  III Kwartały 2025 roku     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2" spans="1:17" ht="13.5" customHeight="1" x14ac:dyDescent="0.2">
      <c r="A32" s="44" t="s">
        <v>12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</row>
    <row r="34" spans="1:17" ht="13.5" customHeight="1" x14ac:dyDescent="0.2">
      <c r="A34" s="59" t="s">
        <v>0</v>
      </c>
      <c r="B34" s="69" t="s">
        <v>13</v>
      </c>
      <c r="C34" s="73" t="s">
        <v>15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5"/>
      <c r="O34" s="73" t="s">
        <v>25</v>
      </c>
      <c r="P34" s="74"/>
      <c r="Q34" s="75"/>
    </row>
    <row r="35" spans="1:17" ht="13.5" customHeight="1" x14ac:dyDescent="0.2">
      <c r="A35" s="60"/>
      <c r="B35" s="70"/>
      <c r="C35" s="70" t="s">
        <v>14</v>
      </c>
      <c r="D35" s="29" t="s">
        <v>16</v>
      </c>
      <c r="E35" s="29" t="s">
        <v>26</v>
      </c>
      <c r="F35" s="29" t="s">
        <v>27</v>
      </c>
      <c r="G35" s="29" t="s">
        <v>75</v>
      </c>
      <c r="H35" s="29" t="s">
        <v>29</v>
      </c>
      <c r="I35" s="29" t="s">
        <v>2</v>
      </c>
      <c r="J35" s="29" t="s">
        <v>17</v>
      </c>
      <c r="K35" s="29" t="s">
        <v>18</v>
      </c>
      <c r="L35" s="29" t="s">
        <v>19</v>
      </c>
      <c r="M35" s="29" t="s">
        <v>20</v>
      </c>
      <c r="N35" s="76" t="s">
        <v>21</v>
      </c>
      <c r="O35" s="29" t="s">
        <v>22</v>
      </c>
      <c r="P35" s="29" t="s">
        <v>23</v>
      </c>
      <c r="Q35" s="69" t="s">
        <v>24</v>
      </c>
    </row>
    <row r="36" spans="1:17" ht="11.25" customHeight="1" x14ac:dyDescent="0.2">
      <c r="A36" s="60"/>
      <c r="B36" s="70"/>
      <c r="C36" s="7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76"/>
      <c r="O36" s="29"/>
      <c r="P36" s="29"/>
      <c r="Q36" s="70"/>
    </row>
    <row r="37" spans="1:17" ht="24.75" customHeight="1" x14ac:dyDescent="0.2">
      <c r="A37" s="61"/>
      <c r="B37" s="62"/>
      <c r="C37" s="62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76"/>
      <c r="O37" s="29"/>
      <c r="P37" s="29"/>
      <c r="Q37" s="62"/>
    </row>
    <row r="38" spans="1:17" ht="13.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2.75" customHeight="1" x14ac:dyDescent="0.2">
      <c r="A39" s="13"/>
      <c r="B39" s="36" t="s">
        <v>79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8"/>
    </row>
    <row r="40" spans="1:17" ht="26.25" customHeight="1" x14ac:dyDescent="0.2">
      <c r="A40" s="25" t="s">
        <v>42</v>
      </c>
      <c r="B40" s="23">
        <f>79433.6</f>
        <v>79433.600000000006</v>
      </c>
      <c r="C40" s="23">
        <f>79433.6</f>
        <v>79433.600000000006</v>
      </c>
      <c r="D40" s="23">
        <f>0</f>
        <v>0</v>
      </c>
      <c r="E40" s="23">
        <f>0</f>
        <v>0</v>
      </c>
      <c r="F40" s="23">
        <f>0</f>
        <v>0</v>
      </c>
      <c r="G40" s="23">
        <f>0</f>
        <v>0</v>
      </c>
      <c r="H40" s="23">
        <f>0</f>
        <v>0</v>
      </c>
      <c r="I40" s="23">
        <f>0</f>
        <v>0</v>
      </c>
      <c r="J40" s="23">
        <f>0</f>
        <v>0</v>
      </c>
      <c r="K40" s="23">
        <f>0</f>
        <v>0</v>
      </c>
      <c r="L40" s="23">
        <f>79433.6</f>
        <v>79433.600000000006</v>
      </c>
      <c r="M40" s="23">
        <f>0</f>
        <v>0</v>
      </c>
      <c r="N40" s="23">
        <f>0</f>
        <v>0</v>
      </c>
      <c r="O40" s="23">
        <f>0</f>
        <v>0</v>
      </c>
      <c r="P40" s="23">
        <f>0</f>
        <v>0</v>
      </c>
      <c r="Q40" s="23">
        <f>0</f>
        <v>0</v>
      </c>
    </row>
    <row r="41" spans="1:17" ht="26.25" customHeight="1" x14ac:dyDescent="0.2">
      <c r="A41" s="19" t="s">
        <v>30</v>
      </c>
      <c r="B41" s="24">
        <f>0</f>
        <v>0</v>
      </c>
      <c r="C41" s="24">
        <f>0</f>
        <v>0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0</f>
        <v>0</v>
      </c>
      <c r="K41" s="24">
        <f>0</f>
        <v>0</v>
      </c>
      <c r="L41" s="24">
        <f>0</f>
        <v>0</v>
      </c>
      <c r="M41" s="24">
        <f>0</f>
        <v>0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6.25" customHeight="1" x14ac:dyDescent="0.2">
      <c r="A42" s="19" t="s">
        <v>31</v>
      </c>
      <c r="B42" s="24">
        <f>79433.6</f>
        <v>79433.600000000006</v>
      </c>
      <c r="C42" s="24">
        <f>79433.6</f>
        <v>79433.600000000006</v>
      </c>
      <c r="D42" s="24">
        <f>0</f>
        <v>0</v>
      </c>
      <c r="E42" s="24">
        <f>0</f>
        <v>0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79433.6</f>
        <v>79433.600000000006</v>
      </c>
      <c r="M42" s="24">
        <f>0</f>
        <v>0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6.25" customHeight="1" x14ac:dyDescent="0.2">
      <c r="A43" s="25" t="s">
        <v>43</v>
      </c>
      <c r="B43" s="23">
        <f>379979974.02</f>
        <v>379979974.01999998</v>
      </c>
      <c r="C43" s="23">
        <f>379979974.02</f>
        <v>379979974.01999998</v>
      </c>
      <c r="D43" s="23">
        <f>163808428.44</f>
        <v>163808428.44</v>
      </c>
      <c r="E43" s="23">
        <f>58780</f>
        <v>58780</v>
      </c>
      <c r="F43" s="23">
        <f>42250500</f>
        <v>42250500</v>
      </c>
      <c r="G43" s="23">
        <f>121499148.44</f>
        <v>121499148.44</v>
      </c>
      <c r="H43" s="23">
        <f>0</f>
        <v>0</v>
      </c>
      <c r="I43" s="23">
        <f>0</f>
        <v>0</v>
      </c>
      <c r="J43" s="23">
        <f>0</f>
        <v>0</v>
      </c>
      <c r="K43" s="23">
        <f>0</f>
        <v>0</v>
      </c>
      <c r="L43" s="23">
        <f>129424551.13</f>
        <v>129424551.13</v>
      </c>
      <c r="M43" s="23">
        <f>72670460.03</f>
        <v>72670460.030000001</v>
      </c>
      <c r="N43" s="23">
        <f>14076534.42</f>
        <v>14076534.42</v>
      </c>
      <c r="O43" s="23">
        <f>0</f>
        <v>0</v>
      </c>
      <c r="P43" s="23">
        <f>0</f>
        <v>0</v>
      </c>
      <c r="Q43" s="23">
        <f>0</f>
        <v>0</v>
      </c>
    </row>
    <row r="44" spans="1:17" ht="26.25" customHeight="1" x14ac:dyDescent="0.2">
      <c r="A44" s="19" t="s">
        <v>32</v>
      </c>
      <c r="B44" s="24">
        <f>52433250.17</f>
        <v>52433250.170000002</v>
      </c>
      <c r="C44" s="24">
        <f>52433250.17</f>
        <v>52433250.170000002</v>
      </c>
      <c r="D44" s="24">
        <f>16049291.39</f>
        <v>16049291.390000001</v>
      </c>
      <c r="E44" s="24">
        <f>58780</f>
        <v>58780</v>
      </c>
      <c r="F44" s="24">
        <f>0</f>
        <v>0</v>
      </c>
      <c r="G44" s="24">
        <f>15990511.39</f>
        <v>15990511.390000001</v>
      </c>
      <c r="H44" s="24">
        <f>0</f>
        <v>0</v>
      </c>
      <c r="I44" s="24">
        <f>0</f>
        <v>0</v>
      </c>
      <c r="J44" s="24">
        <f>0</f>
        <v>0</v>
      </c>
      <c r="K44" s="24">
        <f>0</f>
        <v>0</v>
      </c>
      <c r="L44" s="24">
        <f>14402743.99</f>
        <v>14402743.99</v>
      </c>
      <c r="M44" s="24">
        <f>20803129.02</f>
        <v>20803129.02</v>
      </c>
      <c r="N44" s="24">
        <f>1178085.77</f>
        <v>1178085.77</v>
      </c>
      <c r="O44" s="24">
        <f>0</f>
        <v>0</v>
      </c>
      <c r="P44" s="24">
        <f>0</f>
        <v>0</v>
      </c>
      <c r="Q44" s="24">
        <f>0</f>
        <v>0</v>
      </c>
    </row>
    <row r="45" spans="1:17" ht="26.25" customHeight="1" x14ac:dyDescent="0.2">
      <c r="A45" s="19" t="s">
        <v>33</v>
      </c>
      <c r="B45" s="24">
        <f>327546723.85</f>
        <v>327546723.85000002</v>
      </c>
      <c r="C45" s="24">
        <f>327546723.85</f>
        <v>327546723.85000002</v>
      </c>
      <c r="D45" s="24">
        <f>147759137.05</f>
        <v>147759137.05000001</v>
      </c>
      <c r="E45" s="24">
        <f>0</f>
        <v>0</v>
      </c>
      <c r="F45" s="24">
        <f>42250500</f>
        <v>42250500</v>
      </c>
      <c r="G45" s="24">
        <f>105508637.05</f>
        <v>105508637.05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115021807.14</f>
        <v>115021807.14</v>
      </c>
      <c r="M45" s="24">
        <f>51867331.01</f>
        <v>51867331.009999998</v>
      </c>
      <c r="N45" s="24">
        <f>12898448.65</f>
        <v>12898448.65</v>
      </c>
      <c r="O45" s="24">
        <f>0</f>
        <v>0</v>
      </c>
      <c r="P45" s="24">
        <f>0</f>
        <v>0</v>
      </c>
      <c r="Q45" s="24">
        <f>0</f>
        <v>0</v>
      </c>
    </row>
    <row r="46" spans="1:17" ht="26.25" customHeight="1" x14ac:dyDescent="0.2">
      <c r="A46" s="25" t="s">
        <v>44</v>
      </c>
      <c r="B46" s="23">
        <f>18816590748.22</f>
        <v>18816590748.220001</v>
      </c>
      <c r="C46" s="23">
        <f>18816590748.22</f>
        <v>18816590748.220001</v>
      </c>
      <c r="D46" s="23">
        <f>20552973.77</f>
        <v>20552973.77</v>
      </c>
      <c r="E46" s="23">
        <f>107188.73</f>
        <v>107188.73</v>
      </c>
      <c r="F46" s="23">
        <f>25779.68</f>
        <v>25779.68</v>
      </c>
      <c r="G46" s="23">
        <f>20420005.36</f>
        <v>20420005.359999999</v>
      </c>
      <c r="H46" s="23">
        <f>0</f>
        <v>0</v>
      </c>
      <c r="I46" s="23">
        <f>4358637.78</f>
        <v>4358637.78</v>
      </c>
      <c r="J46" s="23">
        <f>18779280276.05</f>
        <v>18779280276.049999</v>
      </c>
      <c r="K46" s="23">
        <f>99133.03</f>
        <v>99133.03</v>
      </c>
      <c r="L46" s="23">
        <f>12239478.18</f>
        <v>12239478.18</v>
      </c>
      <c r="M46" s="23">
        <f>59600.5</f>
        <v>59600.5</v>
      </c>
      <c r="N46" s="23">
        <f>648.91</f>
        <v>648.91</v>
      </c>
      <c r="O46" s="23">
        <f>0</f>
        <v>0</v>
      </c>
      <c r="P46" s="23">
        <f>0</f>
        <v>0</v>
      </c>
      <c r="Q46" s="23">
        <f>0</f>
        <v>0</v>
      </c>
    </row>
    <row r="47" spans="1:17" ht="26.25" customHeight="1" x14ac:dyDescent="0.2">
      <c r="A47" s="19" t="s">
        <v>34</v>
      </c>
      <c r="B47" s="24">
        <f>17192732.92</f>
        <v>17192732.920000002</v>
      </c>
      <c r="C47" s="24">
        <f>17192732.92</f>
        <v>17192732.920000002</v>
      </c>
      <c r="D47" s="24">
        <f>17192732.92</f>
        <v>17192732.920000002</v>
      </c>
      <c r="E47" s="24">
        <f>0</f>
        <v>0</v>
      </c>
      <c r="F47" s="24">
        <f>0</f>
        <v>0</v>
      </c>
      <c r="G47" s="24">
        <f>17192732.92</f>
        <v>17192732.920000002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6.25" customHeight="1" x14ac:dyDescent="0.2">
      <c r="A48" s="19" t="s">
        <v>35</v>
      </c>
      <c r="B48" s="24">
        <f>8788803891.25</f>
        <v>8788803891.25</v>
      </c>
      <c r="C48" s="24">
        <f>8788803891.25</f>
        <v>8788803891.25</v>
      </c>
      <c r="D48" s="24">
        <f>3106681.14</f>
        <v>3106681.14</v>
      </c>
      <c r="E48" s="24">
        <f>18664</f>
        <v>18664</v>
      </c>
      <c r="F48" s="24">
        <f>0</f>
        <v>0</v>
      </c>
      <c r="G48" s="24">
        <f>3088017.14</f>
        <v>3088017.14</v>
      </c>
      <c r="H48" s="24">
        <f>0</f>
        <v>0</v>
      </c>
      <c r="I48" s="24">
        <f>4274853.25</f>
        <v>4274853.25</v>
      </c>
      <c r="J48" s="24">
        <f>8780481903</f>
        <v>8780481903</v>
      </c>
      <c r="K48" s="24">
        <f>99133.03</f>
        <v>99133.03</v>
      </c>
      <c r="L48" s="24">
        <f>841320.83</f>
        <v>841320.83</v>
      </c>
      <c r="M48" s="24">
        <f>0</f>
        <v>0</v>
      </c>
      <c r="N48" s="24">
        <f>0</f>
        <v>0</v>
      </c>
      <c r="O48" s="24">
        <f>0</f>
        <v>0</v>
      </c>
      <c r="P48" s="24">
        <f>0</f>
        <v>0</v>
      </c>
      <c r="Q48" s="24">
        <f>0</f>
        <v>0</v>
      </c>
    </row>
    <row r="49" spans="1:17" ht="26.25" customHeight="1" x14ac:dyDescent="0.2">
      <c r="A49" s="19" t="s">
        <v>36</v>
      </c>
      <c r="B49" s="24">
        <f>10010594124.05</f>
        <v>10010594124.049999</v>
      </c>
      <c r="C49" s="24">
        <f>10010594124.05</f>
        <v>10010594124.049999</v>
      </c>
      <c r="D49" s="24">
        <f>253559.71</f>
        <v>253559.71</v>
      </c>
      <c r="E49" s="24">
        <f>88524.73</f>
        <v>88524.73</v>
      </c>
      <c r="F49" s="24">
        <f>25779.68</f>
        <v>25779.68</v>
      </c>
      <c r="G49" s="24">
        <f>139255.3</f>
        <v>139255.29999999999</v>
      </c>
      <c r="H49" s="24">
        <f>0</f>
        <v>0</v>
      </c>
      <c r="I49" s="24">
        <f>83784.53</f>
        <v>83784.53</v>
      </c>
      <c r="J49" s="24">
        <f>9998798373.05</f>
        <v>9998798373.0499992</v>
      </c>
      <c r="K49" s="24">
        <f>0</f>
        <v>0</v>
      </c>
      <c r="L49" s="24">
        <f>11398157.35</f>
        <v>11398157.35</v>
      </c>
      <c r="M49" s="24">
        <f>59600.5</f>
        <v>59600.5</v>
      </c>
      <c r="N49" s="24">
        <f>648.91</f>
        <v>648.91</v>
      </c>
      <c r="O49" s="24">
        <f>0</f>
        <v>0</v>
      </c>
      <c r="P49" s="24">
        <f>0</f>
        <v>0</v>
      </c>
      <c r="Q49" s="24">
        <f>0</f>
        <v>0</v>
      </c>
    </row>
    <row r="50" spans="1:17" ht="26.25" customHeight="1" x14ac:dyDescent="0.2">
      <c r="A50" s="25" t="s">
        <v>45</v>
      </c>
      <c r="B50" s="23">
        <f>13389620760.78</f>
        <v>13389620760.780001</v>
      </c>
      <c r="C50" s="23">
        <f>13333769291.69</f>
        <v>13333769291.690001</v>
      </c>
      <c r="D50" s="23">
        <f>315759534.98</f>
        <v>315759534.98000002</v>
      </c>
      <c r="E50" s="23">
        <f>59788991.92</f>
        <v>59788991.920000002</v>
      </c>
      <c r="F50" s="23">
        <f>6902837.61</f>
        <v>6902837.6100000003</v>
      </c>
      <c r="G50" s="23">
        <f>248116128.7</f>
        <v>248116128.69999999</v>
      </c>
      <c r="H50" s="23">
        <f>951576.75</f>
        <v>951576.75</v>
      </c>
      <c r="I50" s="23">
        <f>19</f>
        <v>19</v>
      </c>
      <c r="J50" s="23">
        <f>604659.5</f>
        <v>604659.5</v>
      </c>
      <c r="K50" s="23">
        <f>18174034.09</f>
        <v>18174034.09</v>
      </c>
      <c r="L50" s="23">
        <f>2871791133.87</f>
        <v>2871791133.8699999</v>
      </c>
      <c r="M50" s="23">
        <f>10040143504.94</f>
        <v>10040143504.940001</v>
      </c>
      <c r="N50" s="23">
        <f>87296405.31</f>
        <v>87296405.310000002</v>
      </c>
      <c r="O50" s="23">
        <f>55851469.09</f>
        <v>55851469.090000004</v>
      </c>
      <c r="P50" s="23">
        <f>11247031.6</f>
        <v>11247031.6</v>
      </c>
      <c r="Q50" s="23">
        <f>44604437.49</f>
        <v>44604437.490000002</v>
      </c>
    </row>
    <row r="51" spans="1:17" ht="26.25" customHeight="1" x14ac:dyDescent="0.2">
      <c r="A51" s="19" t="s">
        <v>37</v>
      </c>
      <c r="B51" s="24">
        <f>5418703092.63</f>
        <v>5418703092.6300001</v>
      </c>
      <c r="C51" s="24">
        <f>5386368657.91</f>
        <v>5386368657.9099998</v>
      </c>
      <c r="D51" s="24">
        <f>67659008.61</f>
        <v>67659008.609999999</v>
      </c>
      <c r="E51" s="24">
        <f>1305672.82</f>
        <v>1305672.82</v>
      </c>
      <c r="F51" s="24">
        <f>4098390.38</f>
        <v>4098390.38</v>
      </c>
      <c r="G51" s="24">
        <f>62072712.43</f>
        <v>62072712.43</v>
      </c>
      <c r="H51" s="24">
        <f>182232.98</f>
        <v>182232.98</v>
      </c>
      <c r="I51" s="24">
        <f>0</f>
        <v>0</v>
      </c>
      <c r="J51" s="24">
        <f>50932.25</f>
        <v>50932.25</v>
      </c>
      <c r="K51" s="24">
        <f>616475.1</f>
        <v>616475.1</v>
      </c>
      <c r="L51" s="24">
        <f>779226247.91</f>
        <v>779226247.90999997</v>
      </c>
      <c r="M51" s="24">
        <f>4501530485.78</f>
        <v>4501530485.7799997</v>
      </c>
      <c r="N51" s="24">
        <f>37285508.26</f>
        <v>37285508.259999998</v>
      </c>
      <c r="O51" s="24">
        <f>32334434.72</f>
        <v>32334434.719999999</v>
      </c>
      <c r="P51" s="24">
        <f>666456.82</f>
        <v>666456.81999999995</v>
      </c>
      <c r="Q51" s="24">
        <f>31667977.9</f>
        <v>31667977.899999999</v>
      </c>
    </row>
    <row r="52" spans="1:17" ht="26.25" customHeight="1" x14ac:dyDescent="0.2">
      <c r="A52" s="19" t="s">
        <v>38</v>
      </c>
      <c r="B52" s="24">
        <f>7970917668.15</f>
        <v>7970917668.1499996</v>
      </c>
      <c r="C52" s="24">
        <f>7947400633.78</f>
        <v>7947400633.7799997</v>
      </c>
      <c r="D52" s="24">
        <f>248100526.37</f>
        <v>248100526.37</v>
      </c>
      <c r="E52" s="24">
        <f>58483319.1</f>
        <v>58483319.100000001</v>
      </c>
      <c r="F52" s="24">
        <f>2804447.23</f>
        <v>2804447.23</v>
      </c>
      <c r="G52" s="24">
        <f>186043416.27</f>
        <v>186043416.27000001</v>
      </c>
      <c r="H52" s="24">
        <f>769343.77</f>
        <v>769343.77</v>
      </c>
      <c r="I52" s="24">
        <f>19</f>
        <v>19</v>
      </c>
      <c r="J52" s="24">
        <f>553727.25</f>
        <v>553727.25</v>
      </c>
      <c r="K52" s="24">
        <f>17557558.99</f>
        <v>17557558.989999998</v>
      </c>
      <c r="L52" s="24">
        <f>2092564885.96</f>
        <v>2092564885.96</v>
      </c>
      <c r="M52" s="24">
        <f>5538613019.16</f>
        <v>5538613019.1599998</v>
      </c>
      <c r="N52" s="24">
        <f>50010897.05</f>
        <v>50010897.049999997</v>
      </c>
      <c r="O52" s="24">
        <f>23517034.37</f>
        <v>23517034.370000001</v>
      </c>
      <c r="P52" s="24">
        <f>10580574.78</f>
        <v>10580574.779999999</v>
      </c>
      <c r="Q52" s="24">
        <f>12936459.59</f>
        <v>12936459.59</v>
      </c>
    </row>
    <row r="53" spans="1:17" ht="26.25" customHeight="1" x14ac:dyDescent="0.2">
      <c r="A53" s="25" t="s">
        <v>46</v>
      </c>
      <c r="B53" s="23">
        <f>7313557942.86</f>
        <v>7313557942.8599997</v>
      </c>
      <c r="C53" s="23">
        <f>7303209613.07</f>
        <v>7303209613.0699997</v>
      </c>
      <c r="D53" s="23">
        <f>606456422.3</f>
        <v>606456422.29999995</v>
      </c>
      <c r="E53" s="23">
        <f>255656389.04</f>
        <v>255656389.03999999</v>
      </c>
      <c r="F53" s="23">
        <f>56986988.44</f>
        <v>56986988.439999998</v>
      </c>
      <c r="G53" s="23">
        <f>281267279.06</f>
        <v>281267279.06</v>
      </c>
      <c r="H53" s="23">
        <f>12545765.76</f>
        <v>12545765.76</v>
      </c>
      <c r="I53" s="23">
        <f>808640.12</f>
        <v>808640.12</v>
      </c>
      <c r="J53" s="23">
        <f>30132679.65</f>
        <v>30132679.649999999</v>
      </c>
      <c r="K53" s="23">
        <f>10160647.13</f>
        <v>10160647.130000001</v>
      </c>
      <c r="L53" s="23">
        <f>4549675051.43</f>
        <v>4549675051.4300003</v>
      </c>
      <c r="M53" s="23">
        <f>1913202115.79</f>
        <v>1913202115.79</v>
      </c>
      <c r="N53" s="23">
        <f>192774056.65</f>
        <v>192774056.65000001</v>
      </c>
      <c r="O53" s="23">
        <f>10348329.79</f>
        <v>10348329.789999999</v>
      </c>
      <c r="P53" s="23">
        <f>8868541.03</f>
        <v>8868541.0299999993</v>
      </c>
      <c r="Q53" s="23">
        <f>1479788.76</f>
        <v>1479788.76</v>
      </c>
    </row>
    <row r="54" spans="1:17" ht="26.25" customHeight="1" x14ac:dyDescent="0.2">
      <c r="A54" s="19" t="s">
        <v>39</v>
      </c>
      <c r="B54" s="24">
        <f>787605926.18</f>
        <v>787605926.17999995</v>
      </c>
      <c r="C54" s="24">
        <f>787350821.08</f>
        <v>787350821.08000004</v>
      </c>
      <c r="D54" s="24">
        <f>70977534.48</f>
        <v>70977534.480000004</v>
      </c>
      <c r="E54" s="24">
        <f>1176785.98</f>
        <v>1176785.98</v>
      </c>
      <c r="F54" s="24">
        <f>11965743.59</f>
        <v>11965743.59</v>
      </c>
      <c r="G54" s="24">
        <f>51288965.31</f>
        <v>51288965.310000002</v>
      </c>
      <c r="H54" s="24">
        <f>6546039.6</f>
        <v>6546039.5999999996</v>
      </c>
      <c r="I54" s="24">
        <f>1311.25</f>
        <v>1311.25</v>
      </c>
      <c r="J54" s="24">
        <f>168379.14</f>
        <v>168379.14</v>
      </c>
      <c r="K54" s="24">
        <f>548401.9</f>
        <v>548401.9</v>
      </c>
      <c r="L54" s="24">
        <f>302080042.43</f>
        <v>302080042.43000001</v>
      </c>
      <c r="M54" s="24">
        <f>395882808.8</f>
        <v>395882808.80000001</v>
      </c>
      <c r="N54" s="24">
        <f>17692343.08</f>
        <v>17692343.079999998</v>
      </c>
      <c r="O54" s="24">
        <f>255105.1</f>
        <v>255105.1</v>
      </c>
      <c r="P54" s="24">
        <f>243639.28</f>
        <v>243639.28</v>
      </c>
      <c r="Q54" s="24">
        <f>11465.82</f>
        <v>11465.82</v>
      </c>
    </row>
    <row r="55" spans="1:17" ht="36.75" customHeight="1" x14ac:dyDescent="0.2">
      <c r="A55" s="19" t="s">
        <v>40</v>
      </c>
      <c r="B55" s="24">
        <f>3519455969.49</f>
        <v>3519455969.4899998</v>
      </c>
      <c r="C55" s="24">
        <f>3510963976.93</f>
        <v>3510963976.9299998</v>
      </c>
      <c r="D55" s="24">
        <f>218940121.66</f>
        <v>218940121.66</v>
      </c>
      <c r="E55" s="24">
        <f>65765277.95</f>
        <v>65765277.950000003</v>
      </c>
      <c r="F55" s="24">
        <f>33428436.55</f>
        <v>33428436.550000001</v>
      </c>
      <c r="G55" s="24">
        <f>117894719.86</f>
        <v>117894719.86</v>
      </c>
      <c r="H55" s="24">
        <f>1851687.3</f>
        <v>1851687.3</v>
      </c>
      <c r="I55" s="24">
        <f>766203.41</f>
        <v>766203.41</v>
      </c>
      <c r="J55" s="24">
        <f>5439270.84</f>
        <v>5439270.8399999999</v>
      </c>
      <c r="K55" s="24">
        <f>6672037.54</f>
        <v>6672037.54</v>
      </c>
      <c r="L55" s="24">
        <f>2736794838.65</f>
        <v>2736794838.6500001</v>
      </c>
      <c r="M55" s="24">
        <f>513862066.88</f>
        <v>513862066.88</v>
      </c>
      <c r="N55" s="24">
        <f>28489437.95</f>
        <v>28489437.949999999</v>
      </c>
      <c r="O55" s="24">
        <f>8491992.56</f>
        <v>8491992.5600000005</v>
      </c>
      <c r="P55" s="24">
        <f>7106038.63</f>
        <v>7106038.6299999999</v>
      </c>
      <c r="Q55" s="24">
        <f>1385953.93</f>
        <v>1385953.93</v>
      </c>
    </row>
    <row r="56" spans="1:17" ht="26.25" customHeight="1" x14ac:dyDescent="0.2">
      <c r="A56" s="19" t="s">
        <v>41</v>
      </c>
      <c r="B56" s="24">
        <f>3006496047.19</f>
        <v>3006496047.1900001</v>
      </c>
      <c r="C56" s="24">
        <f>3004894815.06</f>
        <v>3004894815.0599999</v>
      </c>
      <c r="D56" s="24">
        <f>316538766.16</f>
        <v>316538766.16000003</v>
      </c>
      <c r="E56" s="24">
        <f>188714325.11</f>
        <v>188714325.11000001</v>
      </c>
      <c r="F56" s="24">
        <f>11592808.3</f>
        <v>11592808.300000001</v>
      </c>
      <c r="G56" s="24">
        <f>112083593.89</f>
        <v>112083593.89</v>
      </c>
      <c r="H56" s="24">
        <f>4148038.86</f>
        <v>4148038.86</v>
      </c>
      <c r="I56" s="24">
        <f>41125.46</f>
        <v>41125.46</v>
      </c>
      <c r="J56" s="24">
        <f>24525029.67</f>
        <v>24525029.670000002</v>
      </c>
      <c r="K56" s="24">
        <f>2940207.69</f>
        <v>2940207.69</v>
      </c>
      <c r="L56" s="24">
        <f>1510800170.35</f>
        <v>1510800170.3499999</v>
      </c>
      <c r="M56" s="24">
        <f>1003457240.11</f>
        <v>1003457240.11</v>
      </c>
      <c r="N56" s="24">
        <f>146592275.62</f>
        <v>146592275.62</v>
      </c>
      <c r="O56" s="24">
        <f>1601232.13</f>
        <v>1601232.13</v>
      </c>
      <c r="P56" s="24">
        <f>1518863.12</f>
        <v>1518863.12</v>
      </c>
      <c r="Q56" s="24">
        <f>82369.01</f>
        <v>82369.009999999995</v>
      </c>
    </row>
    <row r="66" spans="1:13" ht="75" customHeight="1" x14ac:dyDescent="0.2">
      <c r="A66" s="30" t="str">
        <f>CONCATENATE("Informacja z wykonania budżetów miast na prawach powiatu za  ",$C$93," ",$B$94," roku     ",$B$96,"")</f>
        <v xml:space="preserve">Informacja z wykonania budżetów miast na prawach powiatu za  III Kwartały 2025 roku     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 ht="13.5" customHeight="1" x14ac:dyDescent="0.2">
      <c r="B67" s="44" t="s">
        <v>3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</row>
    <row r="69" spans="1:13" ht="13.5" customHeight="1" x14ac:dyDescent="0.2">
      <c r="B69" s="45" t="s">
        <v>0</v>
      </c>
      <c r="C69" s="46"/>
      <c r="D69" s="46"/>
      <c r="E69" s="47"/>
      <c r="F69" s="77" t="s">
        <v>73</v>
      </c>
      <c r="G69" s="36" t="s">
        <v>72</v>
      </c>
      <c r="H69" s="37"/>
      <c r="I69" s="37"/>
      <c r="J69" s="37"/>
      <c r="K69" s="37"/>
      <c r="L69" s="38"/>
    </row>
    <row r="70" spans="1:13" ht="13.5" customHeight="1" x14ac:dyDescent="0.2">
      <c r="B70" s="48"/>
      <c r="C70" s="49"/>
      <c r="D70" s="49"/>
      <c r="E70" s="50"/>
      <c r="F70" s="78"/>
      <c r="G70" s="80" t="s">
        <v>74</v>
      </c>
      <c r="H70" s="32" t="s">
        <v>70</v>
      </c>
      <c r="I70" s="32" t="s">
        <v>71</v>
      </c>
      <c r="J70" s="32" t="s">
        <v>75</v>
      </c>
      <c r="K70" s="32" t="s">
        <v>76</v>
      </c>
      <c r="L70" s="39" t="s">
        <v>77</v>
      </c>
    </row>
    <row r="71" spans="1:13" ht="13.5" customHeight="1" x14ac:dyDescent="0.2">
      <c r="B71" s="48"/>
      <c r="C71" s="49"/>
      <c r="D71" s="49"/>
      <c r="E71" s="50"/>
      <c r="F71" s="78"/>
      <c r="G71" s="80"/>
      <c r="H71" s="32"/>
      <c r="I71" s="32"/>
      <c r="J71" s="32"/>
      <c r="K71" s="32"/>
      <c r="L71" s="39"/>
    </row>
    <row r="72" spans="1:13" ht="11.25" customHeight="1" x14ac:dyDescent="0.2">
      <c r="B72" s="48"/>
      <c r="C72" s="49"/>
      <c r="D72" s="49"/>
      <c r="E72" s="50"/>
      <c r="F72" s="78"/>
      <c r="G72" s="80"/>
      <c r="H72" s="32"/>
      <c r="I72" s="32"/>
      <c r="J72" s="32"/>
      <c r="K72" s="32"/>
      <c r="L72" s="39"/>
    </row>
    <row r="73" spans="1:13" ht="11.25" customHeight="1" x14ac:dyDescent="0.2">
      <c r="B73" s="51"/>
      <c r="C73" s="52"/>
      <c r="D73" s="52"/>
      <c r="E73" s="53"/>
      <c r="F73" s="79"/>
      <c r="G73" s="80"/>
      <c r="H73" s="32"/>
      <c r="I73" s="32"/>
      <c r="J73" s="32"/>
      <c r="K73" s="32"/>
      <c r="L73" s="39"/>
    </row>
    <row r="74" spans="1:13" ht="11.25" customHeight="1" x14ac:dyDescent="0.2">
      <c r="B74" s="32">
        <v>1</v>
      </c>
      <c r="C74" s="32"/>
      <c r="D74" s="32"/>
      <c r="E74" s="32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13">
        <v>8</v>
      </c>
    </row>
    <row r="75" spans="1:13" ht="11.25" customHeight="1" x14ac:dyDescent="0.2">
      <c r="B75" s="31"/>
      <c r="C75" s="31"/>
      <c r="D75" s="31"/>
      <c r="E75" s="31"/>
      <c r="F75" s="32" t="s">
        <v>79</v>
      </c>
      <c r="G75" s="32"/>
      <c r="H75" s="32"/>
      <c r="I75" s="32"/>
      <c r="J75" s="32"/>
      <c r="K75" s="32"/>
      <c r="L75" s="32"/>
    </row>
    <row r="76" spans="1:13" ht="47.25" customHeight="1" x14ac:dyDescent="0.2">
      <c r="B76" s="54" t="s">
        <v>57</v>
      </c>
      <c r="C76" s="55"/>
      <c r="D76" s="55"/>
      <c r="E76" s="56"/>
      <c r="F76" s="22">
        <f>1535027686.54</f>
        <v>1535027686.54</v>
      </c>
      <c r="G76" s="22">
        <f>159886217.11</f>
        <v>159886217.11000001</v>
      </c>
      <c r="H76" s="22">
        <f>17902158</f>
        <v>17902158</v>
      </c>
      <c r="I76" s="22">
        <f>51053005.53</f>
        <v>51053005.530000001</v>
      </c>
      <c r="J76" s="22">
        <f>90931053.58</f>
        <v>90931053.579999998</v>
      </c>
      <c r="K76" s="22">
        <f>0</f>
        <v>0</v>
      </c>
      <c r="L76" s="22">
        <f>1375141469.43</f>
        <v>1375141469.4300001</v>
      </c>
    </row>
    <row r="77" spans="1:13" ht="47.25" customHeight="1" x14ac:dyDescent="0.2">
      <c r="B77" s="54" t="s">
        <v>58</v>
      </c>
      <c r="C77" s="55"/>
      <c r="D77" s="55"/>
      <c r="E77" s="56"/>
      <c r="F77" s="22">
        <f>0</f>
        <v>0</v>
      </c>
      <c r="G77" s="22">
        <f>0</f>
        <v>0</v>
      </c>
      <c r="H77" s="22">
        <f>0</f>
        <v>0</v>
      </c>
      <c r="I77" s="22">
        <f>0</f>
        <v>0</v>
      </c>
      <c r="J77" s="22">
        <f>0</f>
        <v>0</v>
      </c>
      <c r="K77" s="22">
        <f>0</f>
        <v>0</v>
      </c>
      <c r="L77" s="22">
        <f>0</f>
        <v>0</v>
      </c>
    </row>
    <row r="78" spans="1:13" ht="47.25" customHeight="1" x14ac:dyDescent="0.2">
      <c r="B78" s="54" t="s">
        <v>59</v>
      </c>
      <c r="C78" s="55"/>
      <c r="D78" s="55"/>
      <c r="E78" s="56"/>
      <c r="F78" s="22">
        <f>53640300.03</f>
        <v>53640300.030000001</v>
      </c>
      <c r="G78" s="22">
        <f>1000000</f>
        <v>1000000</v>
      </c>
      <c r="H78" s="22">
        <f>0</f>
        <v>0</v>
      </c>
      <c r="I78" s="22">
        <f>0</f>
        <v>0</v>
      </c>
      <c r="J78" s="22">
        <f>1000000</f>
        <v>1000000</v>
      </c>
      <c r="K78" s="22">
        <f>0</f>
        <v>0</v>
      </c>
      <c r="L78" s="22">
        <f>52640300.03</f>
        <v>52640300.030000001</v>
      </c>
    </row>
    <row r="79" spans="1:13" ht="47.25" customHeight="1" x14ac:dyDescent="0.2">
      <c r="B79" s="54" t="s">
        <v>60</v>
      </c>
      <c r="C79" s="55"/>
      <c r="D79" s="55"/>
      <c r="E79" s="56"/>
      <c r="F79" s="22">
        <f>42000029.88</f>
        <v>42000029.880000003</v>
      </c>
      <c r="G79" s="22">
        <f>40000029.88</f>
        <v>40000029.880000003</v>
      </c>
      <c r="H79" s="22">
        <f>0</f>
        <v>0</v>
      </c>
      <c r="I79" s="22">
        <f>0</f>
        <v>0</v>
      </c>
      <c r="J79" s="22">
        <f>40000029.88</f>
        <v>40000029.880000003</v>
      </c>
      <c r="K79" s="22">
        <f>0</f>
        <v>0</v>
      </c>
      <c r="L79" s="22">
        <f>2000000</f>
        <v>2000000</v>
      </c>
    </row>
    <row r="80" spans="1:13" ht="47.25" customHeight="1" x14ac:dyDescent="0.2">
      <c r="B80" s="54" t="s">
        <v>61</v>
      </c>
      <c r="C80" s="55"/>
      <c r="D80" s="55"/>
      <c r="E80" s="56"/>
      <c r="F80" s="22">
        <f>8165561.5</f>
        <v>8165561.5</v>
      </c>
      <c r="G80" s="22">
        <f>8165561.5</f>
        <v>8165561.5</v>
      </c>
      <c r="H80" s="22">
        <f>0</f>
        <v>0</v>
      </c>
      <c r="I80" s="22">
        <f>0</f>
        <v>0</v>
      </c>
      <c r="J80" s="22">
        <f>8165561.5</f>
        <v>8165561.5</v>
      </c>
      <c r="K80" s="22">
        <f>0</f>
        <v>0</v>
      </c>
      <c r="L80" s="22">
        <f>0</f>
        <v>0</v>
      </c>
    </row>
    <row r="81" spans="1:13" ht="47.25" customHeight="1" x14ac:dyDescent="0.2">
      <c r="B81" s="54" t="s">
        <v>62</v>
      </c>
      <c r="C81" s="55"/>
      <c r="D81" s="55"/>
      <c r="E81" s="56"/>
      <c r="F81" s="22">
        <f>12339228.9</f>
        <v>12339228.9</v>
      </c>
      <c r="G81" s="22">
        <f>11839228.9</f>
        <v>11839228.9</v>
      </c>
      <c r="H81" s="22">
        <f>0</f>
        <v>0</v>
      </c>
      <c r="I81" s="22">
        <f>0</f>
        <v>0</v>
      </c>
      <c r="J81" s="22">
        <f>11839228.9</f>
        <v>11839228.9</v>
      </c>
      <c r="K81" s="22">
        <f>0</f>
        <v>0</v>
      </c>
      <c r="L81" s="22">
        <f>500000</f>
        <v>500000</v>
      </c>
    </row>
    <row r="82" spans="1:13" ht="47.25" customHeight="1" x14ac:dyDescent="0.2">
      <c r="B82" s="54" t="s">
        <v>63</v>
      </c>
      <c r="C82" s="55"/>
      <c r="D82" s="55"/>
      <c r="E82" s="56"/>
      <c r="F82" s="22">
        <f>0</f>
        <v>0</v>
      </c>
      <c r="G82" s="22">
        <f>0</f>
        <v>0</v>
      </c>
      <c r="H82" s="22">
        <f>0</f>
        <v>0</v>
      </c>
      <c r="I82" s="22">
        <f>0</f>
        <v>0</v>
      </c>
      <c r="J82" s="22">
        <f>0</f>
        <v>0</v>
      </c>
      <c r="K82" s="22">
        <f>0</f>
        <v>0</v>
      </c>
      <c r="L82" s="22">
        <f>0</f>
        <v>0</v>
      </c>
    </row>
    <row r="85" spans="1:13" ht="75" customHeight="1" x14ac:dyDescent="0.2">
      <c r="A85" s="30" t="str">
        <f>CONCATENATE("Informacja z wykonania budżetów miast na prawach powiatu za  ",$C$93," ",$B$94," roku     ",$B$96,"")</f>
        <v xml:space="preserve">Informacja z wykonania budżetów miast na prawach powiatu za  III Kwartały 2025 roku     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</row>
    <row r="86" spans="1:13" ht="13.5" customHeight="1" x14ac:dyDescent="0.2">
      <c r="B86" s="4"/>
    </row>
    <row r="87" spans="1:13" ht="13.5" customHeight="1" x14ac:dyDescent="0.2">
      <c r="B87" s="5"/>
      <c r="C87" s="36"/>
      <c r="D87" s="37"/>
      <c r="E87" s="37"/>
      <c r="F87" s="38"/>
      <c r="G87" s="36" t="s">
        <v>4</v>
      </c>
      <c r="H87" s="38"/>
      <c r="I87" s="36" t="s">
        <v>5</v>
      </c>
      <c r="J87" s="38"/>
      <c r="K87" s="5"/>
    </row>
    <row r="88" spans="1:13" ht="13.5" customHeight="1" x14ac:dyDescent="0.2">
      <c r="B88" s="6"/>
      <c r="C88" s="54" t="s">
        <v>6</v>
      </c>
      <c r="D88" s="55"/>
      <c r="E88" s="55"/>
      <c r="F88" s="56"/>
      <c r="G88" s="40">
        <f>58</f>
        <v>58</v>
      </c>
      <c r="H88" s="41"/>
      <c r="I88" s="42">
        <f>10390906746.28</f>
        <v>10390906746.280001</v>
      </c>
      <c r="J88" s="43"/>
      <c r="K88" s="7"/>
    </row>
    <row r="89" spans="1:13" ht="13.5" customHeight="1" x14ac:dyDescent="0.2">
      <c r="B89" s="6"/>
      <c r="C89" s="63" t="s">
        <v>7</v>
      </c>
      <c r="D89" s="64"/>
      <c r="E89" s="64"/>
      <c r="F89" s="65"/>
      <c r="G89" s="66">
        <f>8</f>
        <v>8</v>
      </c>
      <c r="H89" s="67"/>
      <c r="I89" s="57">
        <f>-158552405.59</f>
        <v>-158552405.59</v>
      </c>
      <c r="J89" s="58"/>
      <c r="K89" s="7"/>
    </row>
    <row r="90" spans="1:13" ht="13.5" customHeight="1" x14ac:dyDescent="0.2">
      <c r="B90" s="6"/>
      <c r="C90" s="54" t="s">
        <v>8</v>
      </c>
      <c r="D90" s="55"/>
      <c r="E90" s="55"/>
      <c r="F90" s="56"/>
      <c r="G90" s="40">
        <f>0</f>
        <v>0</v>
      </c>
      <c r="H90" s="41"/>
      <c r="I90" s="42">
        <f>0</f>
        <v>0</v>
      </c>
      <c r="J90" s="43"/>
      <c r="K90" s="7"/>
    </row>
    <row r="93" spans="1:13" ht="13.5" customHeight="1" x14ac:dyDescent="0.2">
      <c r="A93" s="8" t="s">
        <v>9</v>
      </c>
      <c r="B93" s="8">
        <f>3</f>
        <v>3</v>
      </c>
      <c r="C93" s="8" t="str">
        <f>IF(B93=1,"I Kwartał",IF(B93=2,"II Kwartały",IF(B93=3,"III Kwartały",IF(B93=4,"IV Kwartały","-"))))</f>
        <v>III Kwartały</v>
      </c>
    </row>
    <row r="94" spans="1:13" ht="13.5" customHeight="1" x14ac:dyDescent="0.2">
      <c r="A94" s="8" t="s">
        <v>10</v>
      </c>
      <c r="B94" s="8">
        <f>2025</f>
        <v>2025</v>
      </c>
      <c r="C94" s="9"/>
    </row>
    <row r="95" spans="1:13" ht="13.5" customHeight="1" x14ac:dyDescent="0.2">
      <c r="A95" s="8" t="s">
        <v>11</v>
      </c>
      <c r="B95" s="10" t="str">
        <f>"Nov 14 2025 12:00AM"</f>
        <v>Nov 14 2025 12:00AM</v>
      </c>
      <c r="C95" s="9"/>
    </row>
    <row r="96" spans="1:13" ht="13.5" customHeight="1" x14ac:dyDescent="0.2">
      <c r="A96" s="15" t="s">
        <v>78</v>
      </c>
      <c r="B96" s="10" t="str">
        <f>""</f>
        <v/>
      </c>
    </row>
  </sheetData>
  <mergeCells count="79">
    <mergeCell ref="K70:K73"/>
    <mergeCell ref="F35:F37"/>
    <mergeCell ref="G35:G37"/>
    <mergeCell ref="H35:H37"/>
    <mergeCell ref="K35:K37"/>
    <mergeCell ref="I35:I37"/>
    <mergeCell ref="J35:J37"/>
    <mergeCell ref="F69:F73"/>
    <mergeCell ref="G70:G73"/>
    <mergeCell ref="A1:M1"/>
    <mergeCell ref="C5:M5"/>
    <mergeCell ref="A3:M3"/>
    <mergeCell ref="K7:K10"/>
    <mergeCell ref="C7:C10"/>
    <mergeCell ref="B6:B10"/>
    <mergeCell ref="G7:G10"/>
    <mergeCell ref="F7:F10"/>
    <mergeCell ref="I7:I10"/>
    <mergeCell ref="J7:J10"/>
    <mergeCell ref="H7:H10"/>
    <mergeCell ref="L7:L10"/>
    <mergeCell ref="M7:M10"/>
    <mergeCell ref="I90:J90"/>
    <mergeCell ref="I89:J89"/>
    <mergeCell ref="A6:A10"/>
    <mergeCell ref="C6:N6"/>
    <mergeCell ref="D7:D10"/>
    <mergeCell ref="E7:E10"/>
    <mergeCell ref="B80:E80"/>
    <mergeCell ref="B77:E77"/>
    <mergeCell ref="M35:M37"/>
    <mergeCell ref="B76:E76"/>
    <mergeCell ref="C88:F88"/>
    <mergeCell ref="C89:F89"/>
    <mergeCell ref="C90:F90"/>
    <mergeCell ref="G88:H88"/>
    <mergeCell ref="G87:H87"/>
    <mergeCell ref="G89:H89"/>
    <mergeCell ref="G90:H90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C87:F87"/>
    <mergeCell ref="B81:E81"/>
    <mergeCell ref="G69:L69"/>
    <mergeCell ref="H70:H73"/>
    <mergeCell ref="I70:I73"/>
    <mergeCell ref="J70:J73"/>
    <mergeCell ref="B75:E75"/>
    <mergeCell ref="F75:L75"/>
    <mergeCell ref="B12:Q12"/>
    <mergeCell ref="B39:Q39"/>
    <mergeCell ref="L70:L73"/>
    <mergeCell ref="C34:N34"/>
    <mergeCell ref="A30:M30"/>
    <mergeCell ref="O34:Q34"/>
    <mergeCell ref="A32:M32"/>
    <mergeCell ref="B34:B37"/>
    <mergeCell ref="Q35:Q37"/>
    <mergeCell ref="N35:N37"/>
    <mergeCell ref="O35:O37"/>
    <mergeCell ref="D35:D37"/>
    <mergeCell ref="A34:A37"/>
    <mergeCell ref="C35:C37"/>
    <mergeCell ref="O6:Q6"/>
    <mergeCell ref="O7:O10"/>
    <mergeCell ref="A66:M66"/>
    <mergeCell ref="L35:L37"/>
    <mergeCell ref="P35:P37"/>
    <mergeCell ref="Q7:Q10"/>
    <mergeCell ref="N7:N10"/>
    <mergeCell ref="P7:P10"/>
    <mergeCell ref="E35:E37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2016-08-26T11:41:03Z</cp:lastPrinted>
  <dcterms:created xsi:type="dcterms:W3CDTF">2001-05-17T08:58:03Z</dcterms:created>
  <dcterms:modified xsi:type="dcterms:W3CDTF">2025-11-20T08:23:40Z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2025-11-19T09:58:42.4178068+01:00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GRN-b49e237f-6a83-4b4e-9ff6-5d3546f6e396</vt:lpwstr>
  </property>
  <property fmtid="{D5CDD505-2E9C-101B-9397-08002B2CF9AE}" pid="7" name="MFHash">
    <vt:lpwstr>SRDdD3+iWFhvORc3+se9PDwX3ZPAqGX7j6v9NcU3+sM=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