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EBE5C908-4F65-44E4-9922-D51F24345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8" i="4" l="1"/>
  <c r="C147" i="4"/>
  <c r="C146" i="4"/>
  <c r="C145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I106" i="4"/>
  <c r="H106" i="4"/>
  <c r="G106" i="4"/>
  <c r="F106" i="4"/>
  <c r="E106" i="4"/>
  <c r="D106" i="4"/>
  <c r="C106" i="4"/>
  <c r="I105" i="4"/>
  <c r="H105" i="4"/>
  <c r="G105" i="4"/>
  <c r="F105" i="4"/>
  <c r="E105" i="4"/>
  <c r="D105" i="4"/>
  <c r="C105" i="4"/>
  <c r="G101" i="4"/>
  <c r="F101" i="4"/>
  <c r="E101" i="4"/>
  <c r="D101" i="4"/>
  <c r="C101" i="4"/>
  <c r="G100" i="4"/>
  <c r="F100" i="4"/>
  <c r="E100" i="4"/>
  <c r="D100" i="4"/>
  <c r="C100" i="4"/>
  <c r="G96" i="4"/>
  <c r="F96" i="4"/>
  <c r="E96" i="4"/>
  <c r="D96" i="4"/>
  <c r="C96" i="4"/>
  <c r="G95" i="4"/>
  <c r="F95" i="4"/>
  <c r="E95" i="4"/>
  <c r="D95" i="4"/>
  <c r="C95" i="4"/>
  <c r="I87" i="4"/>
  <c r="H87" i="4"/>
  <c r="G87" i="4"/>
  <c r="F87" i="4"/>
  <c r="E87" i="4"/>
  <c r="D87" i="4"/>
  <c r="C87" i="4"/>
  <c r="I86" i="4"/>
  <c r="H86" i="4"/>
  <c r="G86" i="4"/>
  <c r="F86" i="4"/>
  <c r="E86" i="4"/>
  <c r="D86" i="4"/>
  <c r="C86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68" i="4"/>
  <c r="H68" i="4"/>
  <c r="G68" i="4"/>
  <c r="F68" i="4"/>
  <c r="E68" i="4"/>
  <c r="D68" i="4"/>
  <c r="C68" i="4"/>
  <c r="D65" i="4"/>
  <c r="C65" i="4"/>
  <c r="D64" i="4"/>
  <c r="C64" i="4"/>
  <c r="D63" i="4"/>
  <c r="C63" i="4"/>
  <c r="D62" i="4"/>
  <c r="C62" i="4"/>
  <c r="D61" i="4"/>
  <c r="K61" i="4" s="1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K45" i="4" s="1"/>
  <c r="D44" i="4"/>
  <c r="C44" i="4"/>
  <c r="D43" i="4"/>
  <c r="C43" i="4"/>
  <c r="D42" i="4"/>
  <c r="C42" i="4"/>
  <c r="D40" i="4"/>
  <c r="C40" i="4"/>
  <c r="D39" i="4"/>
  <c r="D34" i="4" s="1"/>
  <c r="C39" i="4"/>
  <c r="D38" i="4"/>
  <c r="C38" i="4"/>
  <c r="D37" i="4"/>
  <c r="C37" i="4"/>
  <c r="D36" i="4"/>
  <c r="C36" i="4"/>
  <c r="D35" i="4"/>
  <c r="C35" i="4"/>
  <c r="D33" i="4"/>
  <c r="J33" i="4" s="1"/>
  <c r="C33" i="4"/>
  <c r="D32" i="4"/>
  <c r="J32" i="4" s="1"/>
  <c r="C32" i="4"/>
  <c r="D31" i="4"/>
  <c r="C31" i="4"/>
  <c r="D30" i="4"/>
  <c r="C30" i="4"/>
  <c r="D29" i="4"/>
  <c r="J29" i="4" s="1"/>
  <c r="C29" i="4"/>
  <c r="D28" i="4"/>
  <c r="C28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K17" i="4" s="1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K49" i="4"/>
  <c r="K83" i="4"/>
  <c r="F116" i="4"/>
  <c r="K11" i="4"/>
  <c r="K8" i="4"/>
  <c r="K57" i="4"/>
  <c r="K36" i="4"/>
  <c r="K37" i="4"/>
  <c r="K13" i="4"/>
  <c r="F125" i="4"/>
  <c r="E128" i="4"/>
  <c r="E127" i="4"/>
  <c r="E129" i="4"/>
  <c r="E126" i="4"/>
  <c r="E125" i="4"/>
  <c r="E130" i="4"/>
  <c r="K20" i="4"/>
  <c r="K46" i="4"/>
  <c r="K79" i="4"/>
  <c r="C82" i="4"/>
  <c r="J85" i="4"/>
  <c r="J87" i="4"/>
  <c r="J83" i="4"/>
  <c r="J86" i="4"/>
  <c r="J80" i="4"/>
  <c r="J84" i="4"/>
  <c r="J79" i="4"/>
  <c r="D82" i="4"/>
  <c r="J82" i="4" s="1"/>
  <c r="D88" i="4"/>
  <c r="J88" i="4" s="1"/>
  <c r="J81" i="4"/>
  <c r="F117" i="4"/>
  <c r="F130" i="4"/>
  <c r="K38" i="4"/>
  <c r="G82" i="4"/>
  <c r="G88" i="4"/>
  <c r="K62" i="4"/>
  <c r="I82" i="4"/>
  <c r="I88" i="4"/>
  <c r="K52" i="4"/>
  <c r="K80" i="4"/>
  <c r="K87" i="4"/>
  <c r="C107" i="4"/>
  <c r="K105" i="4"/>
  <c r="F122" i="4"/>
  <c r="K5" i="4"/>
  <c r="C67" i="4"/>
  <c r="C69" i="4" s="1"/>
  <c r="C89" i="4"/>
  <c r="K9" i="4"/>
  <c r="K63" i="4"/>
  <c r="J106" i="4"/>
  <c r="D107" i="4"/>
  <c r="K107" i="4" s="1"/>
  <c r="J107" i="4"/>
  <c r="J105" i="4"/>
  <c r="J15" i="4"/>
  <c r="J36" i="4"/>
  <c r="J62" i="4"/>
  <c r="J59" i="4"/>
  <c r="J54" i="4"/>
  <c r="J39" i="4"/>
  <c r="J12" i="4"/>
  <c r="J56" i="4"/>
  <c r="J42" i="4"/>
  <c r="J13" i="4"/>
  <c r="J16" i="4"/>
  <c r="J20" i="4"/>
  <c r="J47" i="4"/>
  <c r="J63" i="4"/>
  <c r="J5" i="4"/>
  <c r="J17" i="4"/>
  <c r="J50" i="4"/>
  <c r="J52" i="4"/>
  <c r="J30" i="4"/>
  <c r="J51" i="4"/>
  <c r="J9" i="4"/>
  <c r="J8" i="4"/>
  <c r="J43" i="4"/>
  <c r="J23" i="4"/>
  <c r="J18" i="4"/>
  <c r="J44" i="4"/>
  <c r="J14" i="4"/>
  <c r="J21" i="4"/>
  <c r="J31" i="4"/>
  <c r="J57" i="4"/>
  <c r="J38" i="4"/>
  <c r="J11" i="4"/>
  <c r="J19" i="4"/>
  <c r="J58" i="4"/>
  <c r="J7" i="4"/>
  <c r="J45" i="4"/>
  <c r="D67" i="4"/>
  <c r="D69" i="4"/>
  <c r="J69" i="4"/>
  <c r="J67" i="4"/>
  <c r="J40" i="4"/>
  <c r="J60" i="4"/>
  <c r="J55" i="4"/>
  <c r="J35" i="4"/>
  <c r="J61" i="4"/>
  <c r="J10" i="4"/>
  <c r="J28" i="4"/>
  <c r="J37" i="4"/>
  <c r="D89" i="4"/>
  <c r="J65" i="4"/>
  <c r="J48" i="4"/>
  <c r="J53" i="4"/>
  <c r="J49" i="4"/>
  <c r="J64" i="4"/>
  <c r="J68" i="4"/>
  <c r="J22" i="4"/>
  <c r="J46" i="4"/>
  <c r="K19" i="4"/>
  <c r="K30" i="4"/>
  <c r="K44" i="4"/>
  <c r="F123" i="4"/>
  <c r="E6" i="4"/>
  <c r="E24" i="4"/>
  <c r="E67" i="4"/>
  <c r="E69" i="4"/>
  <c r="K55" i="4"/>
  <c r="K64" i="4"/>
  <c r="H6" i="4"/>
  <c r="H67" i="4"/>
  <c r="H69" i="4"/>
  <c r="K31" i="4"/>
  <c r="K85" i="4"/>
  <c r="F124" i="4"/>
  <c r="K7" i="4"/>
  <c r="K16" i="4"/>
  <c r="D41" i="4"/>
  <c r="J41" i="4" s="1"/>
  <c r="K50" i="4"/>
  <c r="K86" i="4"/>
  <c r="I107" i="4"/>
  <c r="F118" i="4"/>
  <c r="F128" i="4"/>
  <c r="K14" i="4"/>
  <c r="K23" i="4"/>
  <c r="K43" i="4"/>
  <c r="K58" i="4"/>
  <c r="K106" i="4"/>
  <c r="D145" i="4"/>
  <c r="K21" i="4"/>
  <c r="K51" i="4"/>
  <c r="K84" i="4"/>
  <c r="F119" i="4"/>
  <c r="F129" i="4"/>
  <c r="F6" i="4"/>
  <c r="F67" i="4"/>
  <c r="F69" i="4"/>
  <c r="K15" i="4"/>
  <c r="E82" i="4"/>
  <c r="E88" i="4" s="1"/>
  <c r="K81" i="4"/>
  <c r="E107" i="4"/>
  <c r="F114" i="4"/>
  <c r="F120" i="4"/>
  <c r="F126" i="4"/>
  <c r="G6" i="4"/>
  <c r="G67" i="4"/>
  <c r="G69" i="4"/>
  <c r="K10" i="4"/>
  <c r="K22" i="4"/>
  <c r="K40" i="4"/>
  <c r="K47" i="4"/>
  <c r="K53" i="4"/>
  <c r="K59" i="4"/>
  <c r="K65" i="4"/>
  <c r="F82" i="4"/>
  <c r="F88" i="4"/>
  <c r="F107" i="4"/>
  <c r="E122" i="4"/>
  <c r="E120" i="4"/>
  <c r="E123" i="4"/>
  <c r="E118" i="4"/>
  <c r="E124" i="4"/>
  <c r="E115" i="4"/>
  <c r="E114" i="4"/>
  <c r="E117" i="4"/>
  <c r="E119" i="4"/>
  <c r="E121" i="4"/>
  <c r="E116" i="4"/>
  <c r="G107" i="4"/>
  <c r="F115" i="4"/>
  <c r="F121" i="4"/>
  <c r="F127" i="4"/>
  <c r="I67" i="4"/>
  <c r="I69" i="4" s="1"/>
  <c r="I6" i="4"/>
  <c r="K12" i="4"/>
  <c r="K28" i="4"/>
  <c r="C27" i="4"/>
  <c r="K35" i="4"/>
  <c r="C34" i="4"/>
  <c r="C41" i="4"/>
  <c r="K41" i="4" s="1"/>
  <c r="K42" i="4"/>
  <c r="K48" i="4"/>
  <c r="K54" i="4"/>
  <c r="K60" i="4"/>
  <c r="K68" i="4"/>
  <c r="H82" i="4"/>
  <c r="H88" i="4"/>
  <c r="H107" i="4"/>
  <c r="C88" i="4"/>
  <c r="B109" i="4"/>
  <c r="B1" i="4"/>
  <c r="B72" i="4"/>
  <c r="F24" i="4" l="1"/>
  <c r="K82" i="4"/>
  <c r="K88" i="4"/>
  <c r="D90" i="4"/>
  <c r="K56" i="4"/>
  <c r="K34" i="4"/>
  <c r="J34" i="4"/>
  <c r="K39" i="4"/>
  <c r="C26" i="4"/>
  <c r="C25" i="4" s="1"/>
  <c r="K33" i="4"/>
  <c r="K32" i="4"/>
  <c r="D27" i="4"/>
  <c r="D26" i="4" s="1"/>
  <c r="K29" i="4"/>
  <c r="D25" i="4"/>
  <c r="J27" i="4"/>
  <c r="K27" i="4"/>
  <c r="K18" i="4"/>
  <c r="I24" i="4"/>
  <c r="G24" i="4"/>
  <c r="H24" i="4"/>
  <c r="K69" i="4"/>
  <c r="C90" i="4"/>
  <c r="K67" i="4"/>
  <c r="K26" i="4" l="1"/>
  <c r="J26" i="4"/>
  <c r="J25" i="4"/>
  <c r="D6" i="4"/>
  <c r="C6" i="4"/>
  <c r="K25" i="4"/>
  <c r="L20" i="4" l="1"/>
  <c r="L15" i="4"/>
  <c r="L8" i="4"/>
  <c r="L7" i="4"/>
  <c r="L9" i="4"/>
  <c r="D24" i="4"/>
  <c r="L6" i="4"/>
  <c r="L23" i="4"/>
  <c r="L10" i="4"/>
  <c r="L12" i="4"/>
  <c r="J6" i="4"/>
  <c r="L13" i="4"/>
  <c r="L19" i="4"/>
  <c r="L11" i="4"/>
  <c r="L22" i="4"/>
  <c r="L18" i="4"/>
  <c r="L16" i="4"/>
  <c r="L14" i="4"/>
  <c r="L21" i="4"/>
  <c r="L17" i="4"/>
  <c r="C24" i="4"/>
  <c r="K24" i="4" s="1"/>
  <c r="K6" i="4"/>
  <c r="L24" i="4" l="1"/>
  <c r="J24" i="4"/>
</calcChain>
</file>

<file path=xl/sharedStrings.xml><?xml version="1.0" encoding="utf-8"?>
<sst xmlns="http://schemas.openxmlformats.org/spreadsheetml/2006/main" count="377" uniqueCount="131">
  <si>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</si>
  <si>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</si>
  <si>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</si>
  <si>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</si>
  <si>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</si>
  <si>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</si>
  <si>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</si>
  <si>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</si>
  <si>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</si>
  <si>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</si>
  <si>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</si>
  <si>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</si>
  <si>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</si>
  <si>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</si>
  <si>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</si>
  <si>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</si>
  <si>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</si>
  <si>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</si>
  <si>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</si>
  <si>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</si>
  <si>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</si>
  <si>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</si>
  <si>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</si>
  <si>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</si>
  <si>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</si>
  <si>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</si>
  <si>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</si>
  <si>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</si>
  <si>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</si>
  <si>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</si>
  <si>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</si>
  <si>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</si>
  <si>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</si>
  <si>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</si>
  <si>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</si>
  <si>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</si>
  <si>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</si>
  <si>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</si>
  <si>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</si>
  <si>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</si>
  <si>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</si>
  <si>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- część gminna</t>
  </si>
  <si>
    <t>- część powiatowa</t>
  </si>
  <si>
    <t>- pozostałe</t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</si>
  <si>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</si>
  <si>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</si>
  <si>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</si>
  <si>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</si>
  <si>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</si>
  <si>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</si>
  <si>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</si>
  <si>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</si>
  <si>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</si>
  <si>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</si>
  <si>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</si>
  <si>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</si>
  <si>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</si>
  <si>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</si>
  <si>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</si>
  <si>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</si>
  <si>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</si>
  <si>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</si>
  <si>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</si>
  <si>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</si>
  <si>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</si>
  <si>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</si>
  <si>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</si>
  <si>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</si>
  <si>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</si>
  <si>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</si>
  <si>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</si>
  <si>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</si>
  <si>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</si>
  <si>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</si>
  <si>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</si>
  <si>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</si>
  <si>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</si>
  <si>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</si>
  <si>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</si>
  <si>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</si>
  <si>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</si>
  <si>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</si>
  <si>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</si>
  <si>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</si>
  <si>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</si>
  <si>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</si>
  <si>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</si>
  <si>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</si>
  <si>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</si>
  <si>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</si>
  <si>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</si>
  <si>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</si>
  <si>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</si>
  <si>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</si>
  <si>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</si>
  <si>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</si>
  <si>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</si>
  <si>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</si>
  <si>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</si>
  <si>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</si>
  <si>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</si>
  <si>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</si>
  <si>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</si>
  <si>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</si>
  <si>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</si>
  <si>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prawnych</t>
  </si>
  <si>
    <t>podatek dochodowy od osób fizycznych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</si>
  <si>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</si>
  <si>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</si>
  <si>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</si>
  <si>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</si>
  <si>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</si>
  <si>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</si>
  <si>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</si>
  <si>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</si>
  <si>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</si>
  <si>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</si>
  <si>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</si>
  <si>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wpływy z opłaty eksploatacyjnej</t>
  </si>
  <si>
    <t>podatek od spadków i darowizn       </t>
  </si>
  <si>
    <t>wpływy z opłaty targowej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</si>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</sst>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8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30" fillId="4" borderId="8" applyNumberFormat="0" applyFont="0" applyAlignment="0" applyProtection="0"/>
    <xf numFmtId="0" fontId="26" fillId="16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2" fillId="21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/>
    </xf>
    <xf numFmtId="4" fontId="33" fillId="21" borderId="1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20" borderId="10" xfId="0" applyNumberFormat="1" applyFont="1" applyFill="1" applyBorder="1" applyAlignment="1">
      <alignment horizontal="center" vertical="center"/>
    </xf>
    <xf numFmtId="4" fontId="33" fillId="22" borderId="10" xfId="0" applyNumberFormat="1" applyFont="1" applyFill="1" applyBorder="1" applyAlignment="1">
      <alignment horizontal="center" vertical="center"/>
    </xf>
    <xf numFmtId="165" fontId="33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5" fillId="21" borderId="1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5" fillId="0" borderId="10" xfId="0" applyNumberFormat="1" applyFont="1" applyFill="1" applyBorder="1" applyAlignment="1">
      <alignment horizontal="center" vertical="center"/>
    </xf>
    <xf numFmtId="165" fontId="35" fillId="20" borderId="10" xfId="28" applyNumberFormat="1" applyFont="1" applyFill="1" applyBorder="1" applyAlignment="1">
      <alignment horizontal="center" vertical="center"/>
    </xf>
    <xf numFmtId="165" fontId="35" fillId="22" borderId="10" xfId="28" applyNumberFormat="1" applyFont="1" applyFill="1" applyBorder="1" applyAlignment="1">
      <alignment horizontal="center" vertical="center"/>
    </xf>
    <xf numFmtId="165" fontId="35" fillId="22" borderId="10" xfId="0" applyNumberFormat="1" applyFont="1" applyFill="1" applyBorder="1" applyAlignment="1">
      <alignment horizontal="center" vertical="center"/>
    </xf>
    <xf numFmtId="165" fontId="35" fillId="0" borderId="10" xfId="28" applyNumberFormat="1" applyFont="1" applyFill="1" applyBorder="1" applyAlignment="1">
      <alignment horizontal="center" vertical="center"/>
    </xf>
    <xf numFmtId="165" fontId="35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/>
    </xf>
    <xf numFmtId="165" fontId="34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2" fillId="0" borderId="12" xfId="0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2" fillId="21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0" borderId="13" xfId="0" applyNumberFormat="1" applyFont="1" applyFill="1" applyBorder="1" applyAlignment="1">
      <alignment horizontal="right" vertical="center" wrapText="1"/>
    </xf>
    <xf numFmtId="4" fontId="33" fillId="21" borderId="15" xfId="0" applyNumberFormat="1" applyFont="1" applyFill="1" applyBorder="1" applyAlignment="1">
      <alignment horizontal="right" vertical="center" wrapText="1"/>
    </xf>
    <xf numFmtId="4" fontId="33" fillId="21" borderId="11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20" borderId="13" xfId="0" applyNumberFormat="1" applyFont="1" applyFill="1" applyBorder="1" applyAlignment="1">
      <alignment horizontal="right" vertical="center"/>
    </xf>
    <xf numFmtId="4" fontId="34" fillId="0" borderId="13" xfId="0" applyNumberFormat="1" applyFont="1" applyBorder="1" applyAlignment="1">
      <alignment horizontal="right" vertical="center"/>
    </xf>
    <xf numFmtId="4" fontId="34" fillId="0" borderId="13" xfId="0" applyNumberFormat="1" applyFont="1" applyFill="1" applyBorder="1" applyAlignment="1">
      <alignment horizontal="right" vertical="center"/>
    </xf>
    <xf numFmtId="4" fontId="35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9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40" fillId="0" borderId="0" xfId="0" applyFont="1"/>
    <xf numFmtId="0" fontId="40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9" fillId="0" borderId="10" xfId="46" applyFont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vertical="center" wrapText="1"/>
    </xf>
    <xf numFmtId="0" fontId="6" fillId="0" borderId="0" xfId="0" applyFont="1"/>
    <xf numFmtId="0" fontId="36" fillId="0" borderId="10" xfId="0" applyFont="1" applyBorder="1" applyAlignment="1">
      <alignment horizontal="right" vertical="center" wrapText="1"/>
    </xf>
    <xf numFmtId="167" fontId="36" fillId="0" borderId="10" xfId="0" applyNumberFormat="1" applyFont="1" applyBorder="1" applyAlignment="1">
      <alignment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3" width="14.5703125" style="15" customWidth="1"/>
    <col min="4" max="4" width="15" style="15" customWidth="1"/>
    <col min="5" max="5" width="14.5703125" style="15" customWidth="1" outlineLevel="1"/>
    <col min="6" max="6" width="15" style="15" customWidth="1" outlineLevel="1"/>
    <col min="7" max="7" width="13" style="15" customWidth="1" outlineLevel="1"/>
    <col min="8" max="9" width="12.28515625" style="15" customWidth="1" outlineLevel="1"/>
    <col min="10" max="10" width="7.7109375" style="15" bestFit="1" customWidth="1"/>
    <col min="11" max="11" width="7.5703125" style="15" bestFit="1" customWidth="1"/>
    <col min="12" max="12" width="8.42578125" style="15" bestFit="1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",$D$145," ",$C$146," rok    ",$C$148,"")</f>
        <v xml:space="preserve">Informacja z wykonania budżetów miast na prawach powiatu za II Kwartały 2025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35" t="s">
        <v>0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6" t="s">
        <v>2</v>
      </c>
      <c r="K2" s="5" t="s">
        <v>16</v>
      </c>
      <c r="L2" s="5" t="s">
        <v>3</v>
      </c>
    </row>
    <row r="3" spans="2:13" x14ac:dyDescent="0.2">
      <c r="B3" s="135"/>
      <c r="C3" s="128" t="s">
        <v>61</v>
      </c>
      <c r="D3" s="129"/>
      <c r="E3" s="129"/>
      <c r="F3" s="129"/>
      <c r="G3" s="129"/>
      <c r="H3" s="129"/>
      <c r="I3" s="130"/>
      <c r="J3" s="125" t="s">
        <v>4</v>
      </c>
      <c r="K3" s="125"/>
      <c r="L3" s="125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146291684884.87</f>
        <v>146291684884.87</v>
      </c>
      <c r="D5" s="67">
        <f>81318811983.01</f>
        <v>81318811983.009995</v>
      </c>
      <c r="E5" s="67">
        <f>400607586.82</f>
        <v>400607586.81999999</v>
      </c>
      <c r="F5" s="67">
        <f>72011929.48</f>
        <v>72011929.480000004</v>
      </c>
      <c r="G5" s="67">
        <f>14079574.47</f>
        <v>14079574.470000001</v>
      </c>
      <c r="H5" s="67">
        <f>51875551.9</f>
        <v>51875551.899999999</v>
      </c>
      <c r="I5" s="67">
        <f>231135.11</f>
        <v>231135.11</v>
      </c>
      <c r="J5" s="16">
        <f t="shared" ref="J5:J69" si="0">IF($D$5=0,"",100*$D5/$D$5)</f>
        <v>100</v>
      </c>
      <c r="K5" s="16">
        <f t="shared" ref="K5:K51" si="1">IF(C5=0,"",100*D5/C5)</f>
        <v>55.586762875147031</v>
      </c>
      <c r="L5" s="16"/>
    </row>
    <row r="6" spans="2:13" ht="25.5" customHeight="1" x14ac:dyDescent="0.2">
      <c r="B6" s="88" t="s">
        <v>45</v>
      </c>
      <c r="C6" s="67">
        <f>C5-C25-C62</f>
        <v>119213476664.03999</v>
      </c>
      <c r="D6" s="67">
        <f>D5-D25-D62</f>
        <v>68265337738.749992</v>
      </c>
      <c r="E6" s="67">
        <f>E5</f>
        <v>400607586.81999999</v>
      </c>
      <c r="F6" s="67">
        <f>F5</f>
        <v>72011929.480000004</v>
      </c>
      <c r="G6" s="67">
        <f>G5</f>
        <v>14079574.470000001</v>
      </c>
      <c r="H6" s="67">
        <f>H5</f>
        <v>51875551.899999999</v>
      </c>
      <c r="I6" s="67">
        <f>I5</f>
        <v>231135.11</v>
      </c>
      <c r="J6" s="16">
        <f t="shared" si="0"/>
        <v>83.947780438569026</v>
      </c>
      <c r="K6" s="16">
        <f t="shared" si="1"/>
        <v>57.263104515549969</v>
      </c>
      <c r="L6" s="16">
        <f t="shared" ref="L6:L24" si="2">IF($D$6=0,"",100*$D6/$D$6)</f>
        <v>100</v>
      </c>
    </row>
    <row r="7" spans="2:13" ht="22.5" outlineLevel="1" x14ac:dyDescent="0.2">
      <c r="B7" s="89" t="s">
        <v>106</v>
      </c>
      <c r="C7" s="68">
        <f>65631664064.37</f>
        <v>65631664064.370003</v>
      </c>
      <c r="D7" s="68">
        <f>40388716080</f>
        <v>40388716080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49.667125103153801</v>
      </c>
      <c r="K7" s="18">
        <f t="shared" si="1"/>
        <v>61.538461131181577</v>
      </c>
      <c r="L7" s="18">
        <f t="shared" si="2"/>
        <v>59.164310055224171</v>
      </c>
    </row>
    <row r="8" spans="2:13" ht="22.5" outlineLevel="1" x14ac:dyDescent="0.2">
      <c r="B8" s="10" t="s">
        <v>105</v>
      </c>
      <c r="C8" s="69">
        <f>9030041099.07</f>
        <v>9030041099.0699997</v>
      </c>
      <c r="D8" s="69">
        <f>4515020340</f>
        <v>4515020340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5.5522458209833747</v>
      </c>
      <c r="K8" s="18">
        <f t="shared" si="1"/>
        <v>49.999997679578669</v>
      </c>
      <c r="L8" s="18">
        <f t="shared" si="2"/>
        <v>6.6139280776415221</v>
      </c>
    </row>
    <row r="9" spans="2:13" ht="13.35" customHeight="1" outlineLevel="1" x14ac:dyDescent="0.2">
      <c r="B9" s="10" t="s">
        <v>113</v>
      </c>
      <c r="C9" s="69">
        <f>13697018351.65</f>
        <v>13697018351.65</v>
      </c>
      <c r="D9" s="69">
        <f>7388697351.42</f>
        <v>7388697351.4200001</v>
      </c>
      <c r="E9" s="69">
        <f>115440273.91</f>
        <v>115440273.91</v>
      </c>
      <c r="F9" s="69">
        <f>71502893.68</f>
        <v>71502893.680000007</v>
      </c>
      <c r="G9" s="69">
        <f>10659870.75</f>
        <v>10659870.75</v>
      </c>
      <c r="H9" s="69">
        <f>42655761.6</f>
        <v>42655761.600000001</v>
      </c>
      <c r="I9" s="69">
        <f>220810.22</f>
        <v>220810.22</v>
      </c>
      <c r="J9" s="18">
        <f t="shared" si="0"/>
        <v>9.0860861973287648</v>
      </c>
      <c r="K9" s="18">
        <f t="shared" si="1"/>
        <v>53.943837715088748</v>
      </c>
      <c r="L9" s="18">
        <f t="shared" si="2"/>
        <v>10.823497833844153</v>
      </c>
    </row>
    <row r="10" spans="2:13" ht="13.35" customHeight="1" outlineLevel="1" x14ac:dyDescent="0.2">
      <c r="B10" s="10" t="s">
        <v>114</v>
      </c>
      <c r="C10" s="69">
        <f>32212880</f>
        <v>32212880</v>
      </c>
      <c r="D10" s="70">
        <f>23009218.09</f>
        <v>23009218.09</v>
      </c>
      <c r="E10" s="69">
        <f>171026.74</f>
        <v>171026.74</v>
      </c>
      <c r="F10" s="69">
        <f>6493.31</f>
        <v>6493.31</v>
      </c>
      <c r="G10" s="69">
        <f>10952.57</f>
        <v>10952.57</v>
      </c>
      <c r="H10" s="69">
        <f>45654.86</f>
        <v>45654.86</v>
      </c>
      <c r="I10" s="69">
        <f>89.53</f>
        <v>89.53</v>
      </c>
      <c r="J10" s="18">
        <f t="shared" si="0"/>
        <v>2.8295074078071056E-2</v>
      </c>
      <c r="K10" s="18">
        <f t="shared" si="1"/>
        <v>71.428627586232594</v>
      </c>
      <c r="L10" s="18">
        <f t="shared" si="2"/>
        <v>3.3705565448245191E-2</v>
      </c>
    </row>
    <row r="11" spans="2:13" ht="13.35" customHeight="1" outlineLevel="1" x14ac:dyDescent="0.2">
      <c r="B11" s="10" t="s">
        <v>115</v>
      </c>
      <c r="C11" s="69">
        <f>7289879</f>
        <v>7289879</v>
      </c>
      <c r="D11" s="70">
        <f>3706695.63</f>
        <v>3706695.63</v>
      </c>
      <c r="E11" s="69">
        <f>0</f>
        <v>0</v>
      </c>
      <c r="F11" s="69">
        <f>18630.16</f>
        <v>18630.16</v>
      </c>
      <c r="G11" s="69">
        <f>143.69</f>
        <v>143.69</v>
      </c>
      <c r="H11" s="69">
        <f>164.84</f>
        <v>164.84</v>
      </c>
      <c r="I11" s="69">
        <f>1.46</f>
        <v>1.46</v>
      </c>
      <c r="J11" s="18">
        <f t="shared" si="0"/>
        <v>4.5582264910294596E-3</v>
      </c>
      <c r="K11" s="18">
        <f t="shared" si="1"/>
        <v>50.847148903294553</v>
      </c>
      <c r="L11" s="18">
        <f t="shared" si="2"/>
        <v>5.4298356278342109E-3</v>
      </c>
    </row>
    <row r="12" spans="2:13" ht="13.35" customHeight="1" outlineLevel="1" x14ac:dyDescent="0.2">
      <c r="B12" s="10" t="s">
        <v>17</v>
      </c>
      <c r="C12" s="69">
        <f>418649335</f>
        <v>418649335</v>
      </c>
      <c r="D12" s="70">
        <f>213966410.36</f>
        <v>213966410.36000001</v>
      </c>
      <c r="E12" s="69">
        <f>283815574.91</f>
        <v>283815574.91000003</v>
      </c>
      <c r="F12" s="69">
        <f>483912.33</f>
        <v>483912.33</v>
      </c>
      <c r="G12" s="69">
        <f>50131.45</f>
        <v>50131.45</v>
      </c>
      <c r="H12" s="69">
        <f>1878744.2</f>
        <v>1878744.2</v>
      </c>
      <c r="I12" s="69">
        <f>0</f>
        <v>0</v>
      </c>
      <c r="J12" s="18">
        <f t="shared" si="0"/>
        <v>0.2631204331965698</v>
      </c>
      <c r="K12" s="18">
        <f t="shared" si="1"/>
        <v>51.108742441929351</v>
      </c>
      <c r="L12" s="18">
        <f t="shared" si="2"/>
        <v>0.31343346044642001</v>
      </c>
    </row>
    <row r="13" spans="2:13" ht="22.5" outlineLevel="1" x14ac:dyDescent="0.2">
      <c r="B13" s="10" t="s">
        <v>22</v>
      </c>
      <c r="C13" s="69">
        <f>1969590120.54</f>
        <v>1969590120.54</v>
      </c>
      <c r="D13" s="70">
        <f>1008698778.49</f>
        <v>1008698778.49</v>
      </c>
      <c r="E13" s="69">
        <f>0</f>
        <v>0</v>
      </c>
      <c r="F13" s="69">
        <f>0</f>
        <v>0</v>
      </c>
      <c r="G13" s="69">
        <f>21552</f>
        <v>21552</v>
      </c>
      <c r="H13" s="69">
        <f>51113.68</f>
        <v>51113.68</v>
      </c>
      <c r="I13" s="69">
        <f>0</f>
        <v>0</v>
      </c>
      <c r="J13" s="18">
        <f t="shared" si="0"/>
        <v>1.2404248831140674</v>
      </c>
      <c r="K13" s="18">
        <f t="shared" si="1"/>
        <v>51.21363922222794</v>
      </c>
      <c r="L13" s="18">
        <f t="shared" si="2"/>
        <v>1.4776148656149171</v>
      </c>
    </row>
    <row r="14" spans="2:13" ht="33.75" outlineLevel="1" x14ac:dyDescent="0.2">
      <c r="B14" s="10" t="s">
        <v>116</v>
      </c>
      <c r="C14" s="69">
        <f>92241710</f>
        <v>92241710</v>
      </c>
      <c r="D14" s="70">
        <f>39543385.13</f>
        <v>39543385.130000003</v>
      </c>
      <c r="E14" s="69">
        <f>0</f>
        <v>0</v>
      </c>
      <c r="F14" s="69">
        <f>0</f>
        <v>0</v>
      </c>
      <c r="G14" s="69">
        <f>0</f>
        <v>0</v>
      </c>
      <c r="H14" s="69">
        <f>228890.34</f>
        <v>228890.34</v>
      </c>
      <c r="I14" s="69">
        <f>0</f>
        <v>0</v>
      </c>
      <c r="J14" s="18">
        <f t="shared" si="0"/>
        <v>4.8627598172808817E-2</v>
      </c>
      <c r="K14" s="18">
        <f t="shared" si="1"/>
        <v>42.869310564602507</v>
      </c>
      <c r="L14" s="18">
        <f t="shared" si="2"/>
        <v>5.7926008190762497E-2</v>
      </c>
    </row>
    <row r="15" spans="2:13" ht="13.35" customHeight="1" outlineLevel="1" x14ac:dyDescent="0.2">
      <c r="B15" s="10" t="s">
        <v>117</v>
      </c>
      <c r="C15" s="69">
        <f>472109894</f>
        <v>472109894</v>
      </c>
      <c r="D15" s="70">
        <f>228390689.8</f>
        <v>228390689.80000001</v>
      </c>
      <c r="E15" s="69">
        <f>0</f>
        <v>0</v>
      </c>
      <c r="F15" s="69">
        <f>0</f>
        <v>0</v>
      </c>
      <c r="G15" s="69">
        <f>544</f>
        <v>544</v>
      </c>
      <c r="H15" s="69">
        <f>121</f>
        <v>121</v>
      </c>
      <c r="I15" s="69">
        <f>0</f>
        <v>0</v>
      </c>
      <c r="J15" s="18">
        <f t="shared" si="0"/>
        <v>0.28085836995222935</v>
      </c>
      <c r="K15" s="18">
        <f t="shared" si="1"/>
        <v>48.376594666325715</v>
      </c>
      <c r="L15" s="18">
        <f t="shared" si="2"/>
        <v>0.33456318735878282</v>
      </c>
    </row>
    <row r="16" spans="2:13" ht="13.35" customHeight="1" outlineLevel="1" x14ac:dyDescent="0.2">
      <c r="B16" s="10" t="s">
        <v>118</v>
      </c>
      <c r="C16" s="69">
        <f>10374504</f>
        <v>10374504</v>
      </c>
      <c r="D16" s="70">
        <f>5255697.93</f>
        <v>5255697.93</v>
      </c>
      <c r="E16" s="69">
        <f>0</f>
        <v>0</v>
      </c>
      <c r="F16" s="69">
        <f>0</f>
        <v>0</v>
      </c>
      <c r="G16" s="69">
        <f>0</f>
        <v>0</v>
      </c>
      <c r="H16" s="69">
        <f>0</f>
        <v>0</v>
      </c>
      <c r="I16" s="69">
        <f>0</f>
        <v>0</v>
      </c>
      <c r="J16" s="18">
        <f t="shared" si="0"/>
        <v>6.4630776100099412E-3</v>
      </c>
      <c r="K16" s="18">
        <f t="shared" si="1"/>
        <v>50.659751348112643</v>
      </c>
      <c r="L16" s="18">
        <f t="shared" si="2"/>
        <v>7.698926137468835E-3</v>
      </c>
    </row>
    <row r="17" spans="2:12" ht="13.35" customHeight="1" outlineLevel="1" x14ac:dyDescent="0.2">
      <c r="B17" s="10" t="s">
        <v>119</v>
      </c>
      <c r="C17" s="69">
        <f>315424610</f>
        <v>315424610</v>
      </c>
      <c r="D17" s="70">
        <f>187010497.24</f>
        <v>187010497.24000001</v>
      </c>
      <c r="E17" s="69">
        <f>0</f>
        <v>0</v>
      </c>
      <c r="F17" s="69">
        <f>0</f>
        <v>0</v>
      </c>
      <c r="G17" s="69">
        <f>578120.98</f>
        <v>578120.98</v>
      </c>
      <c r="H17" s="69">
        <f>3616153</f>
        <v>3616153</v>
      </c>
      <c r="I17" s="69">
        <f>0</f>
        <v>0</v>
      </c>
      <c r="J17" s="18">
        <f t="shared" si="0"/>
        <v>0.22997199870439849</v>
      </c>
      <c r="K17" s="18">
        <f t="shared" si="1"/>
        <v>59.28849281608052</v>
      </c>
      <c r="L17" s="18">
        <f t="shared" si="2"/>
        <v>0.27394649090536288</v>
      </c>
    </row>
    <row r="18" spans="2:12" ht="13.35" customHeight="1" outlineLevel="1" x14ac:dyDescent="0.2">
      <c r="B18" s="10" t="s">
        <v>120</v>
      </c>
      <c r="C18" s="69">
        <f>13207324</f>
        <v>13207324</v>
      </c>
      <c r="D18" s="70">
        <f>5881206.59</f>
        <v>5881206.5899999999</v>
      </c>
      <c r="E18" s="69">
        <f>0</f>
        <v>0</v>
      </c>
      <c r="F18" s="69">
        <f>0</f>
        <v>0</v>
      </c>
      <c r="G18" s="69">
        <f>0</f>
        <v>0</v>
      </c>
      <c r="H18" s="69">
        <f>3505</f>
        <v>3505</v>
      </c>
      <c r="I18" s="69">
        <f>0</f>
        <v>0</v>
      </c>
      <c r="J18" s="18">
        <f t="shared" si="0"/>
        <v>7.2322829694422552E-3</v>
      </c>
      <c r="K18" s="18">
        <f>IF(C18=0,"",100*D18/C18)</f>
        <v>44.529888037879587</v>
      </c>
      <c r="L18" s="18">
        <f t="shared" si="2"/>
        <v>8.615216425804928E-3</v>
      </c>
    </row>
    <row r="19" spans="2:12" ht="13.35" customHeight="1" outlineLevel="1" x14ac:dyDescent="0.2">
      <c r="B19" s="10" t="s">
        <v>121</v>
      </c>
      <c r="C19" s="69">
        <f>5820000</f>
        <v>5820000</v>
      </c>
      <c r="D19" s="70">
        <f>3264605.64</f>
        <v>3264605.64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4.014576160657729E-3</v>
      </c>
      <c r="K19" s="18">
        <f>IF(C19=0,"",100*D19/C19)</f>
        <v>56.092880412371137</v>
      </c>
      <c r="L19" s="18">
        <f t="shared" si="2"/>
        <v>4.7822302622944268E-3</v>
      </c>
    </row>
    <row r="20" spans="2:12" ht="13.35" customHeight="1" outlineLevel="1" x14ac:dyDescent="0.2">
      <c r="B20" s="10" t="s">
        <v>122</v>
      </c>
      <c r="C20" s="69">
        <f>25000000</f>
        <v>25000000</v>
      </c>
      <c r="D20" s="70">
        <f>9508765.57</f>
        <v>9508765.5700000003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1.1693192925625468E-2</v>
      </c>
      <c r="K20" s="18">
        <f>IF(C20=0,"",100*D20/C20)</f>
        <v>38.035062279999998</v>
      </c>
      <c r="L20" s="18">
        <f t="shared" si="2"/>
        <v>1.392912696980984E-2</v>
      </c>
    </row>
    <row r="21" spans="2:12" ht="13.35" customHeight="1" outlineLevel="1" x14ac:dyDescent="0.2">
      <c r="B21" s="10" t="s">
        <v>123</v>
      </c>
      <c r="C21" s="69">
        <f>567980</f>
        <v>567980</v>
      </c>
      <c r="D21" s="70">
        <f>464058.17</f>
        <v>464058.17</v>
      </c>
      <c r="E21" s="69">
        <f>111614.26</f>
        <v>111614.26</v>
      </c>
      <c r="F21" s="69">
        <f>0</f>
        <v>0</v>
      </c>
      <c r="G21" s="69">
        <f>250</f>
        <v>250</v>
      </c>
      <c r="H21" s="69">
        <f>0</f>
        <v>0</v>
      </c>
      <c r="I21" s="69">
        <f>0</f>
        <v>0</v>
      </c>
      <c r="J21" s="18">
        <f t="shared" si="0"/>
        <v>5.7066521101778521E-4</v>
      </c>
      <c r="K21" s="18">
        <f>IF(C21=0,"",100*D21/C21)</f>
        <v>81.703258917567524</v>
      </c>
      <c r="L21" s="18">
        <f t="shared" si="2"/>
        <v>6.797859431618735E-4</v>
      </c>
    </row>
    <row r="22" spans="2:12" ht="13.35" customHeight="1" outlineLevel="1" x14ac:dyDescent="0.2">
      <c r="B22" s="10" t="s">
        <v>124</v>
      </c>
      <c r="C22" s="69">
        <f>650000</f>
        <v>650000</v>
      </c>
      <c r="D22" s="70">
        <f>573557.82</f>
        <v>573557.81999999995</v>
      </c>
      <c r="E22" s="69">
        <f>1069097</f>
        <v>1069097</v>
      </c>
      <c r="F22" s="69">
        <f>0</f>
        <v>0</v>
      </c>
      <c r="G22" s="69">
        <f>983</f>
        <v>983</v>
      </c>
      <c r="H22" s="69">
        <f>0</f>
        <v>0</v>
      </c>
      <c r="I22" s="69">
        <f>0</f>
        <v>0</v>
      </c>
      <c r="J22" s="18">
        <f t="shared" si="0"/>
        <v>7.053199696520823E-4</v>
      </c>
      <c r="K22" s="18">
        <f>IF(C22=0,"",100*D22/C22)</f>
        <v>88.239664615384598</v>
      </c>
      <c r="L22" s="18">
        <f t="shared" si="2"/>
        <v>8.401889436114615E-4</v>
      </c>
    </row>
    <row r="23" spans="2:12" ht="13.35" customHeight="1" outlineLevel="1" x14ac:dyDescent="0.2">
      <c r="B23" s="10" t="s">
        <v>18</v>
      </c>
      <c r="C23" s="69">
        <f>5810244540.78</f>
        <v>5810244540.7799997</v>
      </c>
      <c r="D23" s="70">
        <f>2630503397.52</f>
        <v>2630503397.52</v>
      </c>
      <c r="E23" s="69">
        <f>0</f>
        <v>0</v>
      </c>
      <c r="F23" s="69">
        <f>0</f>
        <v>0</v>
      </c>
      <c r="G23" s="69">
        <f>0</f>
        <v>0</v>
      </c>
      <c r="H23" s="69">
        <f>0</f>
        <v>0</v>
      </c>
      <c r="I23" s="69">
        <f>0</f>
        <v>0</v>
      </c>
      <c r="J23" s="18">
        <f t="shared" si="0"/>
        <v>3.2348030343453531</v>
      </c>
      <c r="K23" s="18">
        <f t="shared" si="1"/>
        <v>45.27354019366053</v>
      </c>
      <c r="L23" s="18">
        <f t="shared" si="2"/>
        <v>3.8533514733156102</v>
      </c>
    </row>
    <row r="24" spans="2:12" ht="13.35" customHeight="1" outlineLevel="1" x14ac:dyDescent="0.2">
      <c r="B24" s="10" t="s">
        <v>19</v>
      </c>
      <c r="C24" s="69">
        <f t="shared" ref="C24:I24" si="3">C6-SUM(C7:C23)</f>
        <v>21681370371.630005</v>
      </c>
      <c r="D24" s="69">
        <f t="shared" si="3"/>
        <v>11613127003.350014</v>
      </c>
      <c r="E24" s="69">
        <f t="shared" si="3"/>
        <v>0</v>
      </c>
      <c r="F24" s="69">
        <f t="shared" si="3"/>
        <v>0</v>
      </c>
      <c r="G24" s="69">
        <f t="shared" si="3"/>
        <v>2757026.0300000012</v>
      </c>
      <c r="H24" s="69">
        <f t="shared" si="3"/>
        <v>3395443.3799999878</v>
      </c>
      <c r="I24" s="69">
        <f t="shared" si="3"/>
        <v>10233.899999999994</v>
      </c>
      <c r="J24" s="18">
        <f t="shared" si="0"/>
        <v>14.280984584202184</v>
      </c>
      <c r="K24" s="18">
        <f t="shared" si="1"/>
        <v>53.562698317933581</v>
      </c>
      <c r="L24" s="18">
        <f t="shared" si="2"/>
        <v>17.011747671700103</v>
      </c>
    </row>
    <row r="25" spans="2:12" ht="26.25" customHeight="1" x14ac:dyDescent="0.2">
      <c r="B25" s="88" t="s">
        <v>89</v>
      </c>
      <c r="C25" s="67">
        <f>C26+C58+C60</f>
        <v>18864527257.700001</v>
      </c>
      <c r="D25" s="67">
        <f>D26+D58+D60</f>
        <v>8840690215.2199993</v>
      </c>
      <c r="E25" s="20" t="s">
        <v>44</v>
      </c>
      <c r="F25" s="20" t="s">
        <v>44</v>
      </c>
      <c r="G25" s="20" t="s">
        <v>44</v>
      </c>
      <c r="H25" s="20" t="s">
        <v>44</v>
      </c>
      <c r="I25" s="20" t="s">
        <v>44</v>
      </c>
      <c r="J25" s="16">
        <f t="shared" si="0"/>
        <v>10.871642120235464</v>
      </c>
      <c r="K25" s="16">
        <f t="shared" si="1"/>
        <v>46.864096271542998</v>
      </c>
      <c r="L25" s="21"/>
    </row>
    <row r="26" spans="2:12" ht="25.5" customHeight="1" outlineLevel="1" x14ac:dyDescent="0.2">
      <c r="B26" s="90" t="s">
        <v>46</v>
      </c>
      <c r="C26" s="67">
        <f>C27+C34+C41</f>
        <v>14787556054.23</v>
      </c>
      <c r="D26" s="67">
        <f>D27+D34+D41</f>
        <v>7705727851.1999998</v>
      </c>
      <c r="E26" s="20" t="s">
        <v>44</v>
      </c>
      <c r="F26" s="20" t="s">
        <v>44</v>
      </c>
      <c r="G26" s="20" t="s">
        <v>44</v>
      </c>
      <c r="H26" s="20" t="s">
        <v>44</v>
      </c>
      <c r="I26" s="20" t="s">
        <v>44</v>
      </c>
      <c r="J26" s="16">
        <f t="shared" si="0"/>
        <v>9.4759474017032659</v>
      </c>
      <c r="K26" s="16">
        <f t="shared" si="1"/>
        <v>52.109542800318017</v>
      </c>
      <c r="L26" s="22"/>
    </row>
    <row r="27" spans="2:12" ht="13.5" customHeight="1" outlineLevel="1" x14ac:dyDescent="0.2">
      <c r="B27" s="91" t="s">
        <v>41</v>
      </c>
      <c r="C27" s="67">
        <f>C28+C30+C32</f>
        <v>6117498819.3199997</v>
      </c>
      <c r="D27" s="67">
        <f>D28+D30+D32</f>
        <v>3632780635.5</v>
      </c>
      <c r="E27" s="20" t="s">
        <v>44</v>
      </c>
      <c r="F27" s="20" t="s">
        <v>44</v>
      </c>
      <c r="G27" s="20" t="s">
        <v>44</v>
      </c>
      <c r="H27" s="20" t="s">
        <v>44</v>
      </c>
      <c r="I27" s="20" t="s">
        <v>44</v>
      </c>
      <c r="J27" s="16">
        <f t="shared" si="0"/>
        <v>4.467331170872245</v>
      </c>
      <c r="K27" s="16">
        <f t="shared" si="1"/>
        <v>59.383430104262899</v>
      </c>
      <c r="L27" s="22"/>
    </row>
    <row r="28" spans="2:12" ht="22.5" customHeight="1" outlineLevel="1" x14ac:dyDescent="0.2">
      <c r="B28" s="93" t="s">
        <v>92</v>
      </c>
      <c r="C28" s="68">
        <f>4382794920.74</f>
        <v>4382794920.7399998</v>
      </c>
      <c r="D28" s="71">
        <f>2833760052.89</f>
        <v>2833760052.8899999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8">
        <f t="shared" si="0"/>
        <v>3.4847533845945264</v>
      </c>
      <c r="K28" s="18">
        <f t="shared" si="1"/>
        <v>64.656460184350635</v>
      </c>
      <c r="L28" s="22"/>
    </row>
    <row r="29" spans="2:12" ht="12.95" customHeight="1" outlineLevel="1" x14ac:dyDescent="0.2">
      <c r="B29" s="95" t="s">
        <v>6</v>
      </c>
      <c r="C29" s="69">
        <f>291527</f>
        <v>291527</v>
      </c>
      <c r="D29" s="69">
        <f>0</f>
        <v>0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8">
        <f t="shared" si="0"/>
        <v>0</v>
      </c>
      <c r="K29" s="18">
        <f t="shared" si="1"/>
        <v>0</v>
      </c>
      <c r="L29" s="22"/>
    </row>
    <row r="30" spans="2:12" ht="13.5" customHeight="1" outlineLevel="1" x14ac:dyDescent="0.2">
      <c r="B30" s="93" t="s">
        <v>93</v>
      </c>
      <c r="C30" s="69">
        <f>1708569923.49</f>
        <v>1708569923.49</v>
      </c>
      <c r="D30" s="70">
        <f>785709126.35</f>
        <v>785709126.35000002</v>
      </c>
      <c r="E30" s="19" t="s">
        <v>44</v>
      </c>
      <c r="F30" s="19" t="s">
        <v>44</v>
      </c>
      <c r="G30" s="19" t="s">
        <v>44</v>
      </c>
      <c r="H30" s="19" t="s">
        <v>44</v>
      </c>
      <c r="I30" s="19" t="s">
        <v>44</v>
      </c>
      <c r="J30" s="18">
        <f t="shared" si="0"/>
        <v>0.96620831907155613</v>
      </c>
      <c r="K30" s="18">
        <f t="shared" si="1"/>
        <v>45.986360613505127</v>
      </c>
      <c r="L30" s="22"/>
    </row>
    <row r="31" spans="2:12" ht="12.95" customHeight="1" outlineLevel="1" x14ac:dyDescent="0.2">
      <c r="B31" s="95" t="s">
        <v>6</v>
      </c>
      <c r="C31" s="69">
        <f>155622988</f>
        <v>155622988</v>
      </c>
      <c r="D31" s="69">
        <f>20880513.53</f>
        <v>20880513.530000001</v>
      </c>
      <c r="E31" s="19" t="s">
        <v>44</v>
      </c>
      <c r="F31" s="19" t="s">
        <v>44</v>
      </c>
      <c r="G31" s="19" t="s">
        <v>44</v>
      </c>
      <c r="H31" s="19" t="s">
        <v>44</v>
      </c>
      <c r="I31" s="19" t="s">
        <v>44</v>
      </c>
      <c r="J31" s="18">
        <f t="shared" si="0"/>
        <v>2.567734700103905E-2</v>
      </c>
      <c r="K31" s="18">
        <f t="shared" si="1"/>
        <v>13.417370915664465</v>
      </c>
      <c r="L31" s="22"/>
    </row>
    <row r="32" spans="2:12" ht="33.75" outlineLevel="1" x14ac:dyDescent="0.2">
      <c r="B32" s="93" t="s">
        <v>8</v>
      </c>
      <c r="C32" s="69">
        <f>26133975.09</f>
        <v>26133975.09</v>
      </c>
      <c r="D32" s="70">
        <f>13311456.26</f>
        <v>13311456.26</v>
      </c>
      <c r="E32" s="19" t="s">
        <v>44</v>
      </c>
      <c r="F32" s="19" t="s">
        <v>44</v>
      </c>
      <c r="G32" s="19" t="s">
        <v>44</v>
      </c>
      <c r="H32" s="19" t="s">
        <v>44</v>
      </c>
      <c r="I32" s="19" t="s">
        <v>44</v>
      </c>
      <c r="J32" s="18">
        <f t="shared" si="0"/>
        <v>1.6369467206162794E-2</v>
      </c>
      <c r="K32" s="18">
        <f t="shared" si="1"/>
        <v>50.935444049969817</v>
      </c>
      <c r="L32" s="22"/>
    </row>
    <row r="33" spans="2:12" ht="12.95" customHeight="1" outlineLevel="1" x14ac:dyDescent="0.2">
      <c r="B33" s="95" t="s">
        <v>6</v>
      </c>
      <c r="C33" s="69">
        <f>9426630</f>
        <v>9426630</v>
      </c>
      <c r="D33" s="69">
        <f>2462246</f>
        <v>2462246</v>
      </c>
      <c r="E33" s="19" t="s">
        <v>44</v>
      </c>
      <c r="F33" s="19" t="s">
        <v>44</v>
      </c>
      <c r="G33" s="19" t="s">
        <v>44</v>
      </c>
      <c r="H33" s="19" t="s">
        <v>44</v>
      </c>
      <c r="I33" s="19" t="s">
        <v>44</v>
      </c>
      <c r="J33" s="18">
        <f t="shared" si="0"/>
        <v>3.0278922428360598E-3</v>
      </c>
      <c r="K33" s="18">
        <f t="shared" si="1"/>
        <v>26.120108670861168</v>
      </c>
      <c r="L33" s="22"/>
    </row>
    <row r="34" spans="2:12" ht="13.5" customHeight="1" outlineLevel="1" x14ac:dyDescent="0.2">
      <c r="B34" s="92" t="s">
        <v>42</v>
      </c>
      <c r="C34" s="67">
        <f>C35+C37+C39</f>
        <v>3024477681.1599994</v>
      </c>
      <c r="D34" s="67">
        <f>D35+D37+D39</f>
        <v>1751419307.3699999</v>
      </c>
      <c r="E34" s="20" t="s">
        <v>44</v>
      </c>
      <c r="F34" s="20" t="s">
        <v>44</v>
      </c>
      <c r="G34" s="20" t="s">
        <v>44</v>
      </c>
      <c r="H34" s="20" t="s">
        <v>44</v>
      </c>
      <c r="I34" s="20" t="s">
        <v>44</v>
      </c>
      <c r="J34" s="16">
        <f t="shared" si="0"/>
        <v>2.153768930780648</v>
      </c>
      <c r="K34" s="16">
        <f t="shared" si="1"/>
        <v>57.908157771502076</v>
      </c>
      <c r="L34" s="22"/>
    </row>
    <row r="35" spans="2:12" ht="22.5" outlineLevel="1" x14ac:dyDescent="0.2">
      <c r="B35" s="93" t="s">
        <v>92</v>
      </c>
      <c r="C35" s="69">
        <f>2419404053.95</f>
        <v>2419404053.9499998</v>
      </c>
      <c r="D35" s="69">
        <f>1451518710.62</f>
        <v>1451518710.6199999</v>
      </c>
      <c r="E35" s="19" t="s">
        <v>44</v>
      </c>
      <c r="F35" s="19" t="s">
        <v>44</v>
      </c>
      <c r="G35" s="19" t="s">
        <v>44</v>
      </c>
      <c r="H35" s="19" t="s">
        <v>44</v>
      </c>
      <c r="I35" s="19" t="s">
        <v>44</v>
      </c>
      <c r="J35" s="18">
        <f t="shared" si="0"/>
        <v>1.7849728435817127</v>
      </c>
      <c r="K35" s="18">
        <f t="shared" si="1"/>
        <v>59.994886271691662</v>
      </c>
      <c r="L35" s="22"/>
    </row>
    <row r="36" spans="2:12" ht="12.95" customHeight="1" outlineLevel="1" x14ac:dyDescent="0.2">
      <c r="B36" s="95" t="s">
        <v>6</v>
      </c>
      <c r="C36" s="69">
        <f>88458756.61</f>
        <v>88458756.609999999</v>
      </c>
      <c r="D36" s="70">
        <f>22036331.42</f>
        <v>22036331.420000002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  <c r="J36" s="18">
        <f t="shared" si="0"/>
        <v>2.7098688338688556E-2</v>
      </c>
      <c r="K36" s="18">
        <f t="shared" si="1"/>
        <v>24.911418908084514</v>
      </c>
      <c r="L36" s="22"/>
    </row>
    <row r="37" spans="2:12" ht="12.95" customHeight="1" outlineLevel="1" x14ac:dyDescent="0.2">
      <c r="B37" s="93" t="s">
        <v>93</v>
      </c>
      <c r="C37" s="69">
        <f>529328533.99</f>
        <v>529328533.99000001</v>
      </c>
      <c r="D37" s="69">
        <f>234975230.56</f>
        <v>234975230.56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  <c r="J37" s="18">
        <f t="shared" si="0"/>
        <v>0.28895556247070303</v>
      </c>
      <c r="K37" s="18">
        <f t="shared" si="1"/>
        <v>44.391189114403403</v>
      </c>
      <c r="L37" s="22"/>
    </row>
    <row r="38" spans="2:12" ht="12.95" customHeight="1" outlineLevel="1" x14ac:dyDescent="0.2">
      <c r="B38" s="95" t="s">
        <v>6</v>
      </c>
      <c r="C38" s="69">
        <f>61566206.05</f>
        <v>61566206.049999997</v>
      </c>
      <c r="D38" s="70">
        <f>6562002.57</f>
        <v>6562002.5700000003</v>
      </c>
      <c r="E38" s="19" t="s">
        <v>44</v>
      </c>
      <c r="F38" s="19" t="s">
        <v>44</v>
      </c>
      <c r="G38" s="19" t="s">
        <v>44</v>
      </c>
      <c r="H38" s="19" t="s">
        <v>44</v>
      </c>
      <c r="I38" s="19" t="s">
        <v>44</v>
      </c>
      <c r="J38" s="18">
        <f t="shared" si="0"/>
        <v>8.0694766807107368E-3</v>
      </c>
      <c r="K38" s="18">
        <f t="shared" si="1"/>
        <v>10.658448832579964</v>
      </c>
      <c r="L38" s="22"/>
    </row>
    <row r="39" spans="2:12" ht="33.75" outlineLevel="1" x14ac:dyDescent="0.2">
      <c r="B39" s="93" t="s">
        <v>8</v>
      </c>
      <c r="C39" s="69">
        <f>75745093.22</f>
        <v>75745093.219999999</v>
      </c>
      <c r="D39" s="69">
        <f>64925366.19</f>
        <v>64925366.189999998</v>
      </c>
      <c r="E39" s="19" t="s">
        <v>44</v>
      </c>
      <c r="F39" s="19" t="s">
        <v>44</v>
      </c>
      <c r="G39" s="19" t="s">
        <v>44</v>
      </c>
      <c r="H39" s="19" t="s">
        <v>44</v>
      </c>
      <c r="I39" s="19" t="s">
        <v>44</v>
      </c>
      <c r="J39" s="18">
        <f t="shared" si="0"/>
        <v>7.9840524728232512E-2</v>
      </c>
      <c r="K39" s="18">
        <f t="shared" si="1"/>
        <v>85.71560668811334</v>
      </c>
      <c r="L39" s="22"/>
    </row>
    <row r="40" spans="2:12" ht="12.95" customHeight="1" outlineLevel="1" x14ac:dyDescent="0.2">
      <c r="B40" s="95" t="s">
        <v>6</v>
      </c>
      <c r="C40" s="69">
        <f>2269596</f>
        <v>2269596</v>
      </c>
      <c r="D40" s="70">
        <f>2269596</f>
        <v>2269596</v>
      </c>
      <c r="E40" s="19" t="s">
        <v>44</v>
      </c>
      <c r="F40" s="19" t="s">
        <v>44</v>
      </c>
      <c r="G40" s="19" t="s">
        <v>44</v>
      </c>
      <c r="H40" s="19" t="s">
        <v>44</v>
      </c>
      <c r="I40" s="19" t="s">
        <v>44</v>
      </c>
      <c r="J40" s="18">
        <f t="shared" si="0"/>
        <v>2.7909851910701655E-3</v>
      </c>
      <c r="K40" s="18">
        <f t="shared" si="1"/>
        <v>100</v>
      </c>
      <c r="L40" s="22"/>
    </row>
    <row r="41" spans="2:12" ht="13.5" customHeight="1" outlineLevel="1" x14ac:dyDescent="0.2">
      <c r="B41" s="91" t="s">
        <v>43</v>
      </c>
      <c r="C41" s="67">
        <f>C42+C44+C46+C50+C52+C48+C54+C56</f>
        <v>5645579553.75</v>
      </c>
      <c r="D41" s="67">
        <f>D42+D44+D46+D50+D52+D48+D54+D56</f>
        <v>2321527908.3299999</v>
      </c>
      <c r="E41" s="20" t="s">
        <v>44</v>
      </c>
      <c r="F41" s="20" t="s">
        <v>44</v>
      </c>
      <c r="G41" s="20" t="s">
        <v>44</v>
      </c>
      <c r="H41" s="20" t="s">
        <v>44</v>
      </c>
      <c r="I41" s="20" t="s">
        <v>44</v>
      </c>
      <c r="J41" s="16">
        <f t="shared" si="0"/>
        <v>2.8548473000503729</v>
      </c>
      <c r="K41" s="16">
        <f t="shared" si="1"/>
        <v>41.121161897151133</v>
      </c>
      <c r="L41" s="22"/>
    </row>
    <row r="42" spans="2:12" ht="33.75" outlineLevel="1" x14ac:dyDescent="0.2">
      <c r="B42" s="93" t="s">
        <v>97</v>
      </c>
      <c r="C42" s="68">
        <f>0</f>
        <v>0</v>
      </c>
      <c r="D42" s="71">
        <f>0</f>
        <v>0</v>
      </c>
      <c r="E42" s="19" t="s">
        <v>44</v>
      </c>
      <c r="F42" s="19" t="s">
        <v>44</v>
      </c>
      <c r="G42" s="19" t="s">
        <v>44</v>
      </c>
      <c r="H42" s="19" t="s">
        <v>44</v>
      </c>
      <c r="I42" s="19" t="s">
        <v>44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44</v>
      </c>
      <c r="F43" s="19" t="s">
        <v>44</v>
      </c>
      <c r="G43" s="19" t="s">
        <v>44</v>
      </c>
      <c r="H43" s="19" t="s">
        <v>44</v>
      </c>
      <c r="I43" s="19" t="s">
        <v>44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98</v>
      </c>
      <c r="C44" s="68">
        <f>0</f>
        <v>0</v>
      </c>
      <c r="D44" s="71">
        <f>0</f>
        <v>0</v>
      </c>
      <c r="E44" s="19" t="s">
        <v>44</v>
      </c>
      <c r="F44" s="19" t="s">
        <v>44</v>
      </c>
      <c r="G44" s="19" t="s">
        <v>44</v>
      </c>
      <c r="H44" s="19" t="s">
        <v>44</v>
      </c>
      <c r="I44" s="19" t="s">
        <v>44</v>
      </c>
      <c r="J44" s="18">
        <f t="shared" si="0"/>
        <v>0</v>
      </c>
      <c r="K44" s="18" t="str">
        <f t="shared" si="1"/>
        <v/>
      </c>
      <c r="L44" s="22"/>
    </row>
    <row r="45" spans="2:12" ht="13.5" customHeight="1" outlineLevel="1" x14ac:dyDescent="0.2">
      <c r="B45" s="95" t="s">
        <v>6</v>
      </c>
      <c r="C45" s="68">
        <f>0</f>
        <v>0</v>
      </c>
      <c r="D45" s="71">
        <f>0</f>
        <v>0</v>
      </c>
      <c r="E45" s="19" t="s">
        <v>44</v>
      </c>
      <c r="F45" s="19" t="s">
        <v>44</v>
      </c>
      <c r="G45" s="19" t="s">
        <v>44</v>
      </c>
      <c r="H45" s="19" t="s">
        <v>44</v>
      </c>
      <c r="I45" s="19" t="s">
        <v>44</v>
      </c>
      <c r="J45" s="18">
        <f t="shared" si="0"/>
        <v>0</v>
      </c>
      <c r="K45" s="18" t="str">
        <f t="shared" si="1"/>
        <v/>
      </c>
      <c r="L45" s="22"/>
    </row>
    <row r="46" spans="2:12" ht="22.5" outlineLevel="1" x14ac:dyDescent="0.2">
      <c r="B46" s="93" t="s">
        <v>9</v>
      </c>
      <c r="C46" s="68">
        <f>886684170.32</f>
        <v>886684170.32000005</v>
      </c>
      <c r="D46" s="71">
        <f>434358270.75</f>
        <v>434358270.75</v>
      </c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8">
        <f t="shared" si="0"/>
        <v>0.53414242062556305</v>
      </c>
      <c r="K46" s="18">
        <f t="shared" si="1"/>
        <v>48.986807849884386</v>
      </c>
      <c r="L46" s="22"/>
    </row>
    <row r="47" spans="2:12" ht="12.95" customHeight="1" outlineLevel="1" x14ac:dyDescent="0.2">
      <c r="B47" s="95" t="s">
        <v>6</v>
      </c>
      <c r="C47" s="69">
        <f>457034.33</f>
        <v>457034.33</v>
      </c>
      <c r="D47" s="69">
        <f>4057.19</f>
        <v>4057.19</v>
      </c>
      <c r="E47" s="19" t="s">
        <v>44</v>
      </c>
      <c r="F47" s="19" t="s">
        <v>44</v>
      </c>
      <c r="G47" s="19" t="s">
        <v>44</v>
      </c>
      <c r="H47" s="19" t="s">
        <v>44</v>
      </c>
      <c r="I47" s="19" t="s">
        <v>44</v>
      </c>
      <c r="J47" s="18">
        <f t="shared" si="0"/>
        <v>4.9892391453624188E-6</v>
      </c>
      <c r="K47" s="18">
        <f t="shared" si="1"/>
        <v>0.88772106025383257</v>
      </c>
      <c r="L47" s="22"/>
    </row>
    <row r="48" spans="2:12" ht="33.75" outlineLevel="1" x14ac:dyDescent="0.2">
      <c r="B48" s="93" t="s">
        <v>62</v>
      </c>
      <c r="C48" s="69">
        <f>396111480.53</f>
        <v>396111480.52999997</v>
      </c>
      <c r="D48" s="69">
        <f>170888214.97</f>
        <v>170888214.97</v>
      </c>
      <c r="E48" s="19" t="s">
        <v>44</v>
      </c>
      <c r="F48" s="19" t="s">
        <v>44</v>
      </c>
      <c r="G48" s="19" t="s">
        <v>44</v>
      </c>
      <c r="H48" s="19" t="s">
        <v>44</v>
      </c>
      <c r="I48" s="19" t="s">
        <v>44</v>
      </c>
      <c r="J48" s="18">
        <f>IF($D$5=0,"",100*$D48/$D$5)</f>
        <v>0.21014598074268942</v>
      </c>
      <c r="K48" s="18">
        <f>IF(C48=0,"",100*D48/C48)</f>
        <v>43.141444610832878</v>
      </c>
      <c r="L48" s="22"/>
    </row>
    <row r="49" spans="2:12" ht="12.95" customHeight="1" outlineLevel="1" x14ac:dyDescent="0.2">
      <c r="B49" s="95" t="s">
        <v>6</v>
      </c>
      <c r="C49" s="69">
        <f>333330155.53</f>
        <v>333330155.52999997</v>
      </c>
      <c r="D49" s="69">
        <f>105744997.86</f>
        <v>105744997.86</v>
      </c>
      <c r="E49" s="19" t="s">
        <v>44</v>
      </c>
      <c r="F49" s="19" t="s">
        <v>44</v>
      </c>
      <c r="G49" s="19" t="s">
        <v>44</v>
      </c>
      <c r="H49" s="19" t="s">
        <v>44</v>
      </c>
      <c r="I49" s="19" t="s">
        <v>44</v>
      </c>
      <c r="J49" s="18">
        <f>IF($D$5=0,"",100*$D49/$D$5)</f>
        <v>0.13003755869194619</v>
      </c>
      <c r="K49" s="18">
        <f>IF(C49=0,"",100*D49/C49)</f>
        <v>31.723801794009265</v>
      </c>
      <c r="L49" s="22"/>
    </row>
    <row r="50" spans="2:12" ht="12.95" customHeight="1" outlineLevel="1" x14ac:dyDescent="0.2">
      <c r="B50" s="93" t="s">
        <v>7</v>
      </c>
      <c r="C50" s="69">
        <f>305180945.25</f>
        <v>305180945.25</v>
      </c>
      <c r="D50" s="70">
        <f>35160699.3</f>
        <v>35160699.299999997</v>
      </c>
      <c r="E50" s="19" t="s">
        <v>44</v>
      </c>
      <c r="F50" s="19" t="s">
        <v>44</v>
      </c>
      <c r="G50" s="19" t="s">
        <v>44</v>
      </c>
      <c r="H50" s="19" t="s">
        <v>44</v>
      </c>
      <c r="I50" s="19" t="s">
        <v>44</v>
      </c>
      <c r="J50" s="18">
        <f t="shared" si="0"/>
        <v>4.3238087771555432E-2</v>
      </c>
      <c r="K50" s="18">
        <f t="shared" si="1"/>
        <v>11.521262990779729</v>
      </c>
      <c r="L50" s="22"/>
    </row>
    <row r="51" spans="2:12" ht="12.95" customHeight="1" outlineLevel="1" x14ac:dyDescent="0.2">
      <c r="B51" s="95" t="s">
        <v>6</v>
      </c>
      <c r="C51" s="69">
        <f>286369751.95</f>
        <v>286369751.94999999</v>
      </c>
      <c r="D51" s="69">
        <f>24734242.89</f>
        <v>24734242.890000001</v>
      </c>
      <c r="E51" s="19" t="s">
        <v>44</v>
      </c>
      <c r="F51" s="19" t="s">
        <v>44</v>
      </c>
      <c r="G51" s="19" t="s">
        <v>44</v>
      </c>
      <c r="H51" s="19" t="s">
        <v>44</v>
      </c>
      <c r="I51" s="19" t="s">
        <v>44</v>
      </c>
      <c r="J51" s="18">
        <f t="shared" si="0"/>
        <v>3.041638495059144E-2</v>
      </c>
      <c r="K51" s="18">
        <f t="shared" si="1"/>
        <v>8.6371702044560159</v>
      </c>
      <c r="L51" s="22"/>
    </row>
    <row r="52" spans="2:12" ht="67.5" outlineLevel="1" x14ac:dyDescent="0.2">
      <c r="B52" s="93" t="s">
        <v>83</v>
      </c>
      <c r="C52" s="69">
        <f>1720000</f>
        <v>1720000</v>
      </c>
      <c r="D52" s="69">
        <f>650000</f>
        <v>650000</v>
      </c>
      <c r="E52" s="19" t="s">
        <v>44</v>
      </c>
      <c r="F52" s="19" t="s">
        <v>44</v>
      </c>
      <c r="G52" s="19" t="s">
        <v>44</v>
      </c>
      <c r="H52" s="19" t="s">
        <v>44</v>
      </c>
      <c r="I52" s="19" t="s">
        <v>44</v>
      </c>
      <c r="J52" s="18">
        <f t="shared" si="0"/>
        <v>7.993230399575993E-4</v>
      </c>
      <c r="K52" s="18">
        <f>IF(C52=0,"",100*D52/C52)</f>
        <v>37.790697674418603</v>
      </c>
      <c r="L52" s="22"/>
    </row>
    <row r="53" spans="2:12" ht="12.95" customHeight="1" outlineLevel="1" x14ac:dyDescent="0.2">
      <c r="B53" s="95" t="s">
        <v>82</v>
      </c>
      <c r="C53" s="69">
        <f>1720000</f>
        <v>1720000</v>
      </c>
      <c r="D53" s="69">
        <f>650000</f>
        <v>650000</v>
      </c>
      <c r="E53" s="19" t="s">
        <v>44</v>
      </c>
      <c r="F53" s="19" t="s">
        <v>44</v>
      </c>
      <c r="G53" s="19" t="s">
        <v>44</v>
      </c>
      <c r="H53" s="19" t="s">
        <v>44</v>
      </c>
      <c r="I53" s="19" t="s">
        <v>44</v>
      </c>
      <c r="J53" s="18">
        <f t="shared" si="0"/>
        <v>7.993230399575993E-4</v>
      </c>
      <c r="K53" s="18">
        <f>IF(C53=0,"",100*D53/C53)</f>
        <v>37.790697674418603</v>
      </c>
      <c r="L53" s="22"/>
    </row>
    <row r="54" spans="2:12" ht="45" outlineLevel="1" x14ac:dyDescent="0.2">
      <c r="B54" s="94" t="s">
        <v>81</v>
      </c>
      <c r="C54" s="72">
        <f>3029244170.89</f>
        <v>3029244170.8899999</v>
      </c>
      <c r="D54" s="72">
        <f>687561131.01</f>
        <v>687561131.00999999</v>
      </c>
      <c r="E54" s="24" t="s">
        <v>44</v>
      </c>
      <c r="F54" s="24" t="s">
        <v>44</v>
      </c>
      <c r="G54" s="24" t="s">
        <v>44</v>
      </c>
      <c r="H54" s="24" t="s">
        <v>44</v>
      </c>
      <c r="I54" s="24" t="s">
        <v>44</v>
      </c>
      <c r="J54" s="25">
        <f>IF($D$5=0,"",100*$D54/$D$5)</f>
        <v>0.84551300522399753</v>
      </c>
      <c r="K54" s="25">
        <f>IF(C54=0,"",100*D54/C54)</f>
        <v>22.697448347585421</v>
      </c>
      <c r="L54" s="22"/>
    </row>
    <row r="55" spans="2:12" ht="12.95" customHeight="1" outlineLevel="1" x14ac:dyDescent="0.2">
      <c r="B55" s="95" t="s">
        <v>82</v>
      </c>
      <c r="C55" s="69">
        <f>2998196113.52</f>
        <v>2998196113.52</v>
      </c>
      <c r="D55" s="69">
        <f>661768292.2</f>
        <v>661768292.20000005</v>
      </c>
      <c r="E55" s="19" t="s">
        <v>44</v>
      </c>
      <c r="F55" s="19" t="s">
        <v>44</v>
      </c>
      <c r="G55" s="19" t="s">
        <v>44</v>
      </c>
      <c r="H55" s="19" t="s">
        <v>44</v>
      </c>
      <c r="I55" s="19" t="s">
        <v>44</v>
      </c>
      <c r="J55" s="18">
        <f t="shared" si="0"/>
        <v>0.81379483549054288</v>
      </c>
      <c r="K55" s="18">
        <f t="shared" ref="K55:K63" si="4">IF(C55=0,"",100*D55/C55)</f>
        <v>22.072214996738758</v>
      </c>
      <c r="L55" s="22"/>
    </row>
    <row r="56" spans="2:12" ht="22.5" outlineLevel="1" x14ac:dyDescent="0.2">
      <c r="B56" s="94" t="s">
        <v>94</v>
      </c>
      <c r="C56" s="69">
        <f>1026638786.76</f>
        <v>1026638786.76</v>
      </c>
      <c r="D56" s="69">
        <f>992909592.3</f>
        <v>992909592.29999995</v>
      </c>
      <c r="E56" s="19" t="s">
        <v>44</v>
      </c>
      <c r="F56" s="19" t="s">
        <v>44</v>
      </c>
      <c r="G56" s="19" t="s">
        <v>44</v>
      </c>
      <c r="H56" s="19" t="s">
        <v>44</v>
      </c>
      <c r="I56" s="19" t="s">
        <v>44</v>
      </c>
      <c r="J56" s="18">
        <f t="shared" si="0"/>
        <v>1.2210084826466101</v>
      </c>
      <c r="K56" s="18">
        <f t="shared" si="4"/>
        <v>96.714599633777041</v>
      </c>
      <c r="L56" s="22"/>
    </row>
    <row r="57" spans="2:12" ht="12.95" customHeight="1" outlineLevel="1" x14ac:dyDescent="0.2">
      <c r="B57" s="95" t="s">
        <v>6</v>
      </c>
      <c r="C57" s="69">
        <f>0</f>
        <v>0</v>
      </c>
      <c r="D57" s="69">
        <f>0</f>
        <v>0</v>
      </c>
      <c r="E57" s="19" t="s">
        <v>44</v>
      </c>
      <c r="F57" s="19" t="s">
        <v>44</v>
      </c>
      <c r="G57" s="19" t="s">
        <v>44</v>
      </c>
      <c r="H57" s="19" t="s">
        <v>44</v>
      </c>
      <c r="I57" s="19" t="s">
        <v>44</v>
      </c>
      <c r="J57" s="18">
        <f t="shared" si="0"/>
        <v>0</v>
      </c>
      <c r="K57" s="18" t="str">
        <f t="shared" si="4"/>
        <v/>
      </c>
      <c r="L57" s="22"/>
    </row>
    <row r="58" spans="2:12" ht="13.5" customHeight="1" outlineLevel="1" x14ac:dyDescent="0.2">
      <c r="B58" s="90" t="s">
        <v>68</v>
      </c>
      <c r="C58" s="67">
        <f>90152285.65</f>
        <v>90152285.650000006</v>
      </c>
      <c r="D58" s="67">
        <f>28870268.53</f>
        <v>28870268.530000001</v>
      </c>
      <c r="E58" s="20" t="s">
        <v>44</v>
      </c>
      <c r="F58" s="20" t="s">
        <v>44</v>
      </c>
      <c r="G58" s="20" t="s">
        <v>44</v>
      </c>
      <c r="H58" s="20" t="s">
        <v>44</v>
      </c>
      <c r="I58" s="20" t="s">
        <v>44</v>
      </c>
      <c r="J58" s="16">
        <f t="shared" si="0"/>
        <v>3.5502570470448941E-2</v>
      </c>
      <c r="K58" s="16">
        <f t="shared" si="4"/>
        <v>32.023889712661983</v>
      </c>
      <c r="L58" s="22"/>
    </row>
    <row r="59" spans="2:12" ht="12.95" customHeight="1" outlineLevel="1" x14ac:dyDescent="0.2">
      <c r="B59" s="93" t="s">
        <v>69</v>
      </c>
      <c r="C59" s="69">
        <f>44018801.58</f>
        <v>44018801.579999998</v>
      </c>
      <c r="D59" s="69">
        <f>6263123.81</f>
        <v>6263123.8099999996</v>
      </c>
      <c r="E59" s="19" t="s">
        <v>44</v>
      </c>
      <c r="F59" s="19" t="s">
        <v>44</v>
      </c>
      <c r="G59" s="19" t="s">
        <v>44</v>
      </c>
      <c r="H59" s="19" t="s">
        <v>44</v>
      </c>
      <c r="I59" s="19" t="s">
        <v>44</v>
      </c>
      <c r="J59" s="18">
        <f t="shared" si="0"/>
        <v>7.7019371745231102E-3</v>
      </c>
      <c r="K59" s="18">
        <f t="shared" si="4"/>
        <v>14.228292423221395</v>
      </c>
      <c r="L59" s="22"/>
    </row>
    <row r="60" spans="2:12" ht="13.5" customHeight="1" outlineLevel="1" x14ac:dyDescent="0.2">
      <c r="B60" s="90" t="s">
        <v>70</v>
      </c>
      <c r="C60" s="73">
        <f>3986818917.82</f>
        <v>3986818917.8200002</v>
      </c>
      <c r="D60" s="73">
        <f>1106092095.49</f>
        <v>1106092095.49</v>
      </c>
      <c r="E60" s="20" t="s">
        <v>44</v>
      </c>
      <c r="F60" s="20" t="s">
        <v>44</v>
      </c>
      <c r="G60" s="20" t="s">
        <v>44</v>
      </c>
      <c r="H60" s="20" t="s">
        <v>44</v>
      </c>
      <c r="I60" s="20" t="s">
        <v>44</v>
      </c>
      <c r="J60" s="23">
        <f t="shared" si="0"/>
        <v>1.3601921480617507</v>
      </c>
      <c r="K60" s="23">
        <f t="shared" si="4"/>
        <v>27.743725468595226</v>
      </c>
      <c r="L60" s="22"/>
    </row>
    <row r="61" spans="2:12" ht="12.95" customHeight="1" outlineLevel="1" x14ac:dyDescent="0.2">
      <c r="B61" s="94" t="s">
        <v>71</v>
      </c>
      <c r="C61" s="72">
        <f>3040904763.13</f>
        <v>3040904763.1300001</v>
      </c>
      <c r="D61" s="72">
        <f>819989961.08</f>
        <v>819989961.08000004</v>
      </c>
      <c r="E61" s="24" t="s">
        <v>44</v>
      </c>
      <c r="F61" s="24" t="s">
        <v>44</v>
      </c>
      <c r="G61" s="24" t="s">
        <v>44</v>
      </c>
      <c r="H61" s="24" t="s">
        <v>44</v>
      </c>
      <c r="I61" s="24" t="s">
        <v>44</v>
      </c>
      <c r="J61" s="25">
        <f t="shared" si="0"/>
        <v>1.0083644129618141</v>
      </c>
      <c r="K61" s="25">
        <f t="shared" si="4"/>
        <v>26.965328576616955</v>
      </c>
      <c r="L61" s="22"/>
    </row>
    <row r="62" spans="2:12" s="26" customFormat="1" ht="25.5" customHeight="1" x14ac:dyDescent="0.2">
      <c r="B62" s="88" t="s">
        <v>107</v>
      </c>
      <c r="C62" s="67">
        <f>8213680963.13</f>
        <v>8213680963.1300001</v>
      </c>
      <c r="D62" s="67">
        <f>4212784029.04</f>
        <v>4212784029.04</v>
      </c>
      <c r="E62" s="20" t="s">
        <v>44</v>
      </c>
      <c r="F62" s="20" t="s">
        <v>44</v>
      </c>
      <c r="G62" s="20" t="s">
        <v>44</v>
      </c>
      <c r="H62" s="20" t="s">
        <v>44</v>
      </c>
      <c r="I62" s="20" t="s">
        <v>44</v>
      </c>
      <c r="J62" s="16">
        <f t="shared" si="0"/>
        <v>5.1805774411955019</v>
      </c>
      <c r="K62" s="16">
        <f t="shared" si="4"/>
        <v>51.289842495107429</v>
      </c>
      <c r="L62" s="27"/>
    </row>
    <row r="63" spans="2:12" outlineLevel="1" x14ac:dyDescent="0.2">
      <c r="B63" s="10" t="s">
        <v>31</v>
      </c>
      <c r="C63" s="69">
        <f>3193822</f>
        <v>3193822</v>
      </c>
      <c r="D63" s="69">
        <f>0</f>
        <v>0</v>
      </c>
      <c r="E63" s="19" t="s">
        <v>44</v>
      </c>
      <c r="F63" s="19" t="s">
        <v>44</v>
      </c>
      <c r="G63" s="19" t="s">
        <v>44</v>
      </c>
      <c r="H63" s="19" t="s">
        <v>44</v>
      </c>
      <c r="I63" s="19" t="s">
        <v>44</v>
      </c>
      <c r="J63" s="18">
        <f t="shared" si="0"/>
        <v>0</v>
      </c>
      <c r="K63" s="18">
        <f t="shared" si="4"/>
        <v>0</v>
      </c>
      <c r="L63" s="22"/>
    </row>
    <row r="64" spans="2:12" ht="22.5" outlineLevel="1" x14ac:dyDescent="0.2">
      <c r="B64" s="10" t="s">
        <v>108</v>
      </c>
      <c r="C64" s="69">
        <f>307092237.66</f>
        <v>307092237.66000003</v>
      </c>
      <c r="D64" s="69">
        <f>261086578.48</f>
        <v>261086578.47999999</v>
      </c>
      <c r="E64" s="19" t="s">
        <v>44</v>
      </c>
      <c r="F64" s="19" t="s">
        <v>44</v>
      </c>
      <c r="G64" s="19" t="s">
        <v>44</v>
      </c>
      <c r="H64" s="19" t="s">
        <v>44</v>
      </c>
      <c r="I64" s="19" t="s">
        <v>44</v>
      </c>
      <c r="J64" s="18">
        <f t="shared" si="0"/>
        <v>0.32106541169655678</v>
      </c>
      <c r="K64" s="18">
        <f>IF(C64=0,"",100*D64/C64)</f>
        <v>85.018944298118143</v>
      </c>
      <c r="L64" s="22"/>
    </row>
    <row r="65" spans="1:26" s="26" customFormat="1" outlineLevel="1" x14ac:dyDescent="0.2">
      <c r="B65" s="93" t="s">
        <v>6</v>
      </c>
      <c r="C65" s="69">
        <f>14763917</f>
        <v>14763917</v>
      </c>
      <c r="D65" s="69">
        <f>0</f>
        <v>0</v>
      </c>
      <c r="E65" s="19" t="s">
        <v>44</v>
      </c>
      <c r="F65" s="19" t="s">
        <v>44</v>
      </c>
      <c r="G65" s="19" t="s">
        <v>44</v>
      </c>
      <c r="H65" s="19" t="s">
        <v>44</v>
      </c>
      <c r="I65" s="19" t="s">
        <v>44</v>
      </c>
      <c r="J65" s="18">
        <f t="shared" si="0"/>
        <v>0</v>
      </c>
      <c r="K65" s="18">
        <f>IF(C65=0,"",100*D65/C65)</f>
        <v>0</v>
      </c>
      <c r="L65" s="27"/>
    </row>
    <row r="66" spans="1:26" ht="11.25" customHeight="1" x14ac:dyDescent="0.2">
      <c r="B66" s="28"/>
      <c r="C66" s="29"/>
      <c r="D66" s="29"/>
      <c r="E66" s="29"/>
      <c r="F66" s="29"/>
      <c r="G66" s="29"/>
      <c r="H66" s="29"/>
      <c r="I66" s="29"/>
      <c r="J66" s="21"/>
      <c r="K66" s="21"/>
      <c r="L66" s="22"/>
    </row>
    <row r="67" spans="1:26" ht="13.5" customHeight="1" x14ac:dyDescent="0.2">
      <c r="B67" s="65" t="s">
        <v>5</v>
      </c>
      <c r="C67" s="20">
        <f t="shared" ref="C67:I67" si="5">+C5</f>
        <v>146291684884.87</v>
      </c>
      <c r="D67" s="20">
        <f t="shared" si="5"/>
        <v>81318811983.009995</v>
      </c>
      <c r="E67" s="20">
        <f t="shared" si="5"/>
        <v>400607586.81999999</v>
      </c>
      <c r="F67" s="20">
        <f t="shared" si="5"/>
        <v>72011929.480000004</v>
      </c>
      <c r="G67" s="20">
        <f t="shared" si="5"/>
        <v>14079574.470000001</v>
      </c>
      <c r="H67" s="20">
        <f t="shared" si="5"/>
        <v>51875551.899999999</v>
      </c>
      <c r="I67" s="20">
        <f t="shared" si="5"/>
        <v>231135.11</v>
      </c>
      <c r="J67" s="16">
        <f t="shared" si="0"/>
        <v>100</v>
      </c>
      <c r="K67" s="16">
        <f>IF(C67=0,"",100*D67/C67)</f>
        <v>55.586762875147031</v>
      </c>
      <c r="L67" s="22"/>
    </row>
    <row r="68" spans="1:26" x14ac:dyDescent="0.2">
      <c r="B68" s="99" t="s">
        <v>57</v>
      </c>
      <c r="C68" s="19">
        <f>11503262167.4</f>
        <v>11503262167.4</v>
      </c>
      <c r="D68" s="19">
        <f>3203194258.35</f>
        <v>3203194258.3499999</v>
      </c>
      <c r="E68" s="19">
        <f>0</f>
        <v>0</v>
      </c>
      <c r="F68" s="19">
        <f>0</f>
        <v>0</v>
      </c>
      <c r="G68" s="19">
        <f>0</f>
        <v>0</v>
      </c>
      <c r="H68" s="19">
        <f>0</f>
        <v>0</v>
      </c>
      <c r="I68" s="19">
        <f>0</f>
        <v>0</v>
      </c>
      <c r="J68" s="18">
        <f t="shared" si="0"/>
        <v>3.9390568802446917</v>
      </c>
      <c r="K68" s="18">
        <f>IF(C68=0,"",100*D68/C68)</f>
        <v>27.845964142482856</v>
      </c>
      <c r="L68" s="22"/>
    </row>
    <row r="69" spans="1:26" s="26" customFormat="1" x14ac:dyDescent="0.2">
      <c r="A69" s="9"/>
      <c r="B69" s="99" t="s">
        <v>58</v>
      </c>
      <c r="C69" s="19">
        <f>C67-C68</f>
        <v>134788422717.47</v>
      </c>
      <c r="D69" s="19">
        <f t="shared" ref="D69:I69" si="6">D67-D68</f>
        <v>78115617724.659988</v>
      </c>
      <c r="E69" s="19">
        <f t="shared" si="6"/>
        <v>400607586.81999999</v>
      </c>
      <c r="F69" s="19">
        <f t="shared" si="6"/>
        <v>72011929.480000004</v>
      </c>
      <c r="G69" s="19">
        <f t="shared" si="6"/>
        <v>14079574.470000001</v>
      </c>
      <c r="H69" s="19">
        <f t="shared" si="6"/>
        <v>51875551.899999999</v>
      </c>
      <c r="I69" s="19">
        <f t="shared" si="6"/>
        <v>231135.11</v>
      </c>
      <c r="J69" s="18">
        <f t="shared" si="0"/>
        <v>96.060943119755308</v>
      </c>
      <c r="K69" s="18">
        <f>IF(C69=0,"",100*D69/C69)</f>
        <v>57.954248703093832</v>
      </c>
      <c r="L69" s="30"/>
    </row>
    <row r="70" spans="1:26" s="26" customFormat="1" x14ac:dyDescent="0.2">
      <c r="A70" s="9"/>
      <c r="B70" s="105" t="s">
        <v>96</v>
      </c>
      <c r="C70" s="29"/>
      <c r="D70" s="29"/>
      <c r="E70" s="29"/>
      <c r="F70" s="29"/>
      <c r="G70" s="29"/>
      <c r="H70" s="29"/>
      <c r="I70" s="29"/>
      <c r="J70" s="21"/>
      <c r="K70" s="21"/>
      <c r="L70" s="30"/>
    </row>
    <row r="71" spans="1:26" s="26" customFormat="1" x14ac:dyDescent="0.2">
      <c r="A71" s="9"/>
      <c r="B71" s="104" t="s">
        <v>95</v>
      </c>
      <c r="C71" s="29"/>
      <c r="D71" s="29"/>
      <c r="E71" s="29"/>
      <c r="F71" s="29"/>
      <c r="G71" s="29"/>
      <c r="H71" s="29"/>
      <c r="I71" s="29"/>
      <c r="J71" s="21"/>
      <c r="K71" s="21"/>
      <c r="L71" s="30"/>
    </row>
    <row r="72" spans="1:26" ht="18" x14ac:dyDescent="0.2">
      <c r="B72" s="87" t="str">
        <f>CONCATENATE("Informacja z wykonania budżetów miast na prawach powiatu za ",$D$145," ",$C$146," rok    ",$C$148,"")</f>
        <v xml:space="preserve">Informacja z wykonania budżetów miast na prawach powiatu za II Kwartały 2025 rok    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spans="1:26" s="26" customFormat="1" x14ac:dyDescent="0.2">
      <c r="B73" s="31"/>
      <c r="C73" s="32"/>
      <c r="D73" s="32"/>
      <c r="E73" s="32"/>
      <c r="F73" s="33"/>
      <c r="G73" s="33"/>
      <c r="H73" s="33"/>
      <c r="I73" s="33"/>
      <c r="J73" s="33"/>
      <c r="K73" s="1"/>
      <c r="L73" s="1"/>
      <c r="M73" s="34"/>
    </row>
    <row r="74" spans="1:26" ht="29.25" customHeight="1" x14ac:dyDescent="0.2">
      <c r="B74" s="136" t="s">
        <v>0</v>
      </c>
      <c r="C74" s="134" t="s">
        <v>37</v>
      </c>
      <c r="D74" s="134" t="s">
        <v>39</v>
      </c>
      <c r="E74" s="134" t="s">
        <v>38</v>
      </c>
      <c r="F74" s="134" t="s">
        <v>10</v>
      </c>
      <c r="G74" s="134"/>
      <c r="H74" s="134"/>
      <c r="I74" s="138" t="s">
        <v>67</v>
      </c>
      <c r="J74" s="134" t="s">
        <v>2</v>
      </c>
      <c r="K74" s="137" t="s">
        <v>16</v>
      </c>
      <c r="M74" s="35"/>
      <c r="N74" s="52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" customHeight="1" x14ac:dyDescent="0.2">
      <c r="B75" s="136"/>
      <c r="C75" s="134"/>
      <c r="D75" s="134"/>
      <c r="E75" s="132"/>
      <c r="F75" s="119" t="s">
        <v>40</v>
      </c>
      <c r="G75" s="131" t="s">
        <v>23</v>
      </c>
      <c r="H75" s="132"/>
      <c r="I75" s="139"/>
      <c r="J75" s="134"/>
      <c r="K75" s="137"/>
      <c r="L75" s="2"/>
      <c r="M75" s="3"/>
      <c r="N75" s="52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58.5" customHeight="1" x14ac:dyDescent="0.2">
      <c r="B76" s="136"/>
      <c r="C76" s="134"/>
      <c r="D76" s="134"/>
      <c r="E76" s="132"/>
      <c r="F76" s="132"/>
      <c r="G76" s="7" t="s">
        <v>35</v>
      </c>
      <c r="H76" s="7" t="s">
        <v>36</v>
      </c>
      <c r="I76" s="140"/>
      <c r="J76" s="134"/>
      <c r="K76" s="137"/>
      <c r="L76" s="2"/>
      <c r="M76" s="35"/>
      <c r="N76" s="52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B77" s="136"/>
      <c r="C77" s="128" t="s">
        <v>61</v>
      </c>
      <c r="D77" s="129"/>
      <c r="E77" s="129"/>
      <c r="F77" s="129"/>
      <c r="G77" s="129"/>
      <c r="H77" s="129"/>
      <c r="I77" s="130"/>
      <c r="J77" s="125" t="s">
        <v>4</v>
      </c>
      <c r="K77" s="12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1.25" customHeight="1" x14ac:dyDescent="0.2">
      <c r="B78" s="6">
        <v>1</v>
      </c>
      <c r="C78" s="8">
        <v>2</v>
      </c>
      <c r="D78" s="8">
        <v>3</v>
      </c>
      <c r="E78" s="8">
        <v>4</v>
      </c>
      <c r="F78" s="6">
        <v>5</v>
      </c>
      <c r="G78" s="6">
        <v>6</v>
      </c>
      <c r="H78" s="8">
        <v>7</v>
      </c>
      <c r="I78" s="8">
        <v>8</v>
      </c>
      <c r="J78" s="6">
        <v>9</v>
      </c>
      <c r="K78" s="8">
        <v>10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.5" customHeight="1" x14ac:dyDescent="0.2">
      <c r="B79" s="65" t="s">
        <v>47</v>
      </c>
      <c r="C79" s="74">
        <f>160762199638.17</f>
        <v>160762199638.17001</v>
      </c>
      <c r="D79" s="74">
        <f>71191731567.24</f>
        <v>71191731567.240005</v>
      </c>
      <c r="E79" s="74">
        <f>126896257008.44</f>
        <v>126896257008.44</v>
      </c>
      <c r="F79" s="74">
        <f>4672945377.01</f>
        <v>4672945377.0100002</v>
      </c>
      <c r="G79" s="74">
        <f>4624634.4</f>
        <v>4624634.4000000004</v>
      </c>
      <c r="H79" s="74">
        <f>1972532.85</f>
        <v>1972532.85</v>
      </c>
      <c r="I79" s="74">
        <f>0</f>
        <v>0</v>
      </c>
      <c r="J79" s="43">
        <f>IF($D$79=0,"",100*$D79/$D$79)</f>
        <v>100</v>
      </c>
      <c r="K79" s="43">
        <f>IF(C79=0,"",100*D79/C79)</f>
        <v>44.283875020043489</v>
      </c>
      <c r="N79" s="53"/>
      <c r="O79" s="54"/>
    </row>
    <row r="80" spans="1:26" x14ac:dyDescent="0.2">
      <c r="B80" s="88" t="s">
        <v>12</v>
      </c>
      <c r="C80" s="75">
        <f>27459381975.8</f>
        <v>27459381975.799999</v>
      </c>
      <c r="D80" s="75">
        <f>5923806841.42</f>
        <v>5923806841.4200001</v>
      </c>
      <c r="E80" s="75">
        <f>15223289136</f>
        <v>15223289136</v>
      </c>
      <c r="F80" s="75">
        <f>707089486.53</f>
        <v>707089486.52999997</v>
      </c>
      <c r="G80" s="75">
        <f>626780.58</f>
        <v>626780.57999999996</v>
      </c>
      <c r="H80" s="75">
        <f>468.68</f>
        <v>468.68</v>
      </c>
      <c r="I80" s="75">
        <f>0</f>
        <v>0</v>
      </c>
      <c r="J80" s="43">
        <f t="shared" ref="J80:J88" si="7">IF($D$79=0,"",100*$D80/$D$79)</f>
        <v>8.320919734653474</v>
      </c>
      <c r="K80" s="43">
        <f t="shared" ref="K80:K88" si="8">IF(C80=0,"",100*D80/C80)</f>
        <v>21.572979488907148</v>
      </c>
      <c r="N80" s="55"/>
      <c r="O80" s="54"/>
    </row>
    <row r="81" spans="2:15" ht="12.95" customHeight="1" outlineLevel="1" x14ac:dyDescent="0.2">
      <c r="B81" s="10" t="s">
        <v>11</v>
      </c>
      <c r="C81" s="69">
        <f>24761998741.36</f>
        <v>24761998741.360001</v>
      </c>
      <c r="D81" s="69">
        <f>4823297806.11</f>
        <v>4823297806.1099997</v>
      </c>
      <c r="E81" s="69">
        <f>13826765569.11</f>
        <v>13826765569.110001</v>
      </c>
      <c r="F81" s="69">
        <f>688622641.67</f>
        <v>688622641.66999996</v>
      </c>
      <c r="G81" s="69">
        <f>626780.58</f>
        <v>626780.57999999996</v>
      </c>
      <c r="H81" s="69">
        <f>468.68</f>
        <v>468.68</v>
      </c>
      <c r="I81" s="69">
        <f>0</f>
        <v>0</v>
      </c>
      <c r="J81" s="43">
        <f t="shared" si="7"/>
        <v>6.7750814595012825</v>
      </c>
      <c r="K81" s="43">
        <f t="shared" si="8"/>
        <v>19.478628750810969</v>
      </c>
      <c r="N81" s="29"/>
      <c r="O81" s="54"/>
    </row>
    <row r="82" spans="2:15" ht="25.5" customHeight="1" x14ac:dyDescent="0.2">
      <c r="B82" s="88" t="s">
        <v>48</v>
      </c>
      <c r="C82" s="75">
        <f t="shared" ref="C82:I82" si="9">C79-C80</f>
        <v>133302817662.37001</v>
      </c>
      <c r="D82" s="75">
        <f t="shared" si="9"/>
        <v>65267924725.820007</v>
      </c>
      <c r="E82" s="75">
        <f>E79-E80</f>
        <v>111672967872.44</v>
      </c>
      <c r="F82" s="75">
        <f t="shared" si="9"/>
        <v>3965855890.4800005</v>
      </c>
      <c r="G82" s="75">
        <f t="shared" si="9"/>
        <v>3997853.8200000003</v>
      </c>
      <c r="H82" s="75">
        <f t="shared" si="9"/>
        <v>1972064.1700000002</v>
      </c>
      <c r="I82" s="75">
        <f t="shared" si="9"/>
        <v>0</v>
      </c>
      <c r="J82" s="43">
        <f t="shared" si="7"/>
        <v>91.679080265346528</v>
      </c>
      <c r="K82" s="43">
        <f t="shared" si="8"/>
        <v>48.962149390668479</v>
      </c>
      <c r="N82" s="55"/>
      <c r="O82" s="54"/>
    </row>
    <row r="83" spans="2:15" ht="24" customHeight="1" outlineLevel="1" x14ac:dyDescent="0.2">
      <c r="B83" s="10" t="s">
        <v>88</v>
      </c>
      <c r="C83" s="69">
        <f>56922019594.21</f>
        <v>56922019594.209999</v>
      </c>
      <c r="D83" s="69">
        <f>29854373393.62</f>
        <v>29854373393.619999</v>
      </c>
      <c r="E83" s="69">
        <f>52481972607.2801</f>
        <v>52481972607.280098</v>
      </c>
      <c r="F83" s="69">
        <f>1726956846.88</f>
        <v>1726956846.8800001</v>
      </c>
      <c r="G83" s="69">
        <f>12211.88</f>
        <v>12211.88</v>
      </c>
      <c r="H83" s="69">
        <f>14773.22</f>
        <v>14773.22</v>
      </c>
      <c r="I83" s="69">
        <f>0</f>
        <v>0</v>
      </c>
      <c r="J83" s="43">
        <f t="shared" si="7"/>
        <v>41.935169627701484</v>
      </c>
      <c r="K83" s="43">
        <f t="shared" si="8"/>
        <v>52.44784638079976</v>
      </c>
      <c r="N83" s="29"/>
      <c r="O83" s="54"/>
    </row>
    <row r="84" spans="2:15" ht="12.95" customHeight="1" outlineLevel="1" x14ac:dyDescent="0.2">
      <c r="B84" s="10" t="s">
        <v>34</v>
      </c>
      <c r="C84" s="76">
        <f>19516040519</f>
        <v>19516040519</v>
      </c>
      <c r="D84" s="76">
        <f>10570519284.31</f>
        <v>10570519284.309999</v>
      </c>
      <c r="E84" s="76">
        <f>15579358906.16</f>
        <v>15579358906.16</v>
      </c>
      <c r="F84" s="76">
        <f>350807486.14</f>
        <v>350807486.13999999</v>
      </c>
      <c r="G84" s="76">
        <f>0</f>
        <v>0</v>
      </c>
      <c r="H84" s="76">
        <f>0</f>
        <v>0</v>
      </c>
      <c r="I84" s="76">
        <f>0</f>
        <v>0</v>
      </c>
      <c r="J84" s="43">
        <f t="shared" si="7"/>
        <v>14.847959238533525</v>
      </c>
      <c r="K84" s="43">
        <f t="shared" si="8"/>
        <v>54.163237025558466</v>
      </c>
      <c r="N84" s="56"/>
      <c r="O84" s="54"/>
    </row>
    <row r="85" spans="2:15" ht="12.95" customHeight="1" outlineLevel="1" x14ac:dyDescent="0.2">
      <c r="B85" s="10" t="s">
        <v>33</v>
      </c>
      <c r="C85" s="69">
        <f>3618938172.43</f>
        <v>3618938172.4299998</v>
      </c>
      <c r="D85" s="69">
        <f>1653453188.51</f>
        <v>1653453188.51</v>
      </c>
      <c r="E85" s="69">
        <f>2686414401.48</f>
        <v>2686414401.48</v>
      </c>
      <c r="F85" s="69">
        <f>90418489.2</f>
        <v>90418489.200000003</v>
      </c>
      <c r="G85" s="69">
        <f>0</f>
        <v>0</v>
      </c>
      <c r="H85" s="69">
        <f>0</f>
        <v>0</v>
      </c>
      <c r="I85" s="69">
        <f>0</f>
        <v>0</v>
      </c>
      <c r="J85" s="43">
        <f t="shared" si="7"/>
        <v>2.3225354294807774</v>
      </c>
      <c r="K85" s="43">
        <f t="shared" si="8"/>
        <v>45.688904030094541</v>
      </c>
      <c r="N85" s="29"/>
      <c r="O85" s="54"/>
    </row>
    <row r="86" spans="2:15" ht="22.5" customHeight="1" outlineLevel="1" x14ac:dyDescent="0.2">
      <c r="B86" s="10" t="s">
        <v>54</v>
      </c>
      <c r="C86" s="76">
        <f>152443600.67</f>
        <v>152443600.66999999</v>
      </c>
      <c r="D86" s="76">
        <f>6893221.36</f>
        <v>6893221.3600000003</v>
      </c>
      <c r="E86" s="76">
        <f>14494435.09</f>
        <v>14494435.09</v>
      </c>
      <c r="F86" s="76">
        <f>0</f>
        <v>0</v>
      </c>
      <c r="G86" s="76">
        <f>0</f>
        <v>0</v>
      </c>
      <c r="H86" s="76">
        <f>0</f>
        <v>0</v>
      </c>
      <c r="I86" s="76">
        <f>0</f>
        <v>0</v>
      </c>
      <c r="J86" s="43">
        <f t="shared" si="7"/>
        <v>9.682615113089937E-3</v>
      </c>
      <c r="K86" s="43">
        <f t="shared" si="8"/>
        <v>4.5218174654126662</v>
      </c>
      <c r="N86" s="56"/>
      <c r="O86" s="54"/>
    </row>
    <row r="87" spans="2:15" ht="22.5" customHeight="1" outlineLevel="1" x14ac:dyDescent="0.2">
      <c r="B87" s="10" t="s">
        <v>55</v>
      </c>
      <c r="C87" s="76">
        <f>5924553747.5</f>
        <v>5924553747.5</v>
      </c>
      <c r="D87" s="76">
        <f>3424375413.39</f>
        <v>3424375413.3899999</v>
      </c>
      <c r="E87" s="76">
        <f>5143266542.92</f>
        <v>5143266542.9200001</v>
      </c>
      <c r="F87" s="76">
        <f>54608240.87</f>
        <v>54608240.869999997</v>
      </c>
      <c r="G87" s="76">
        <f>39125.52</f>
        <v>39125.519999999997</v>
      </c>
      <c r="H87" s="76">
        <f>5140.05</f>
        <v>5140.05</v>
      </c>
      <c r="I87" s="77">
        <f>0</f>
        <v>0</v>
      </c>
      <c r="J87" s="43">
        <f t="shared" si="7"/>
        <v>4.810074622438008</v>
      </c>
      <c r="K87" s="43">
        <f t="shared" si="8"/>
        <v>57.799718921192891</v>
      </c>
      <c r="N87" s="56"/>
      <c r="O87" s="54"/>
    </row>
    <row r="88" spans="2:15" ht="12.95" customHeight="1" outlineLevel="1" x14ac:dyDescent="0.2">
      <c r="B88" s="10" t="s">
        <v>32</v>
      </c>
      <c r="C88" s="69">
        <f t="shared" ref="C88:I88" si="10">C82-C83-C84-C85-C86-C87</f>
        <v>47168822028.560005</v>
      </c>
      <c r="D88" s="69">
        <f t="shared" si="10"/>
        <v>19758310224.630016</v>
      </c>
      <c r="E88" s="69">
        <f>E82-E83-E84-E85-E86-E87</f>
        <v>35767460979.509911</v>
      </c>
      <c r="F88" s="69">
        <f t="shared" si="10"/>
        <v>1743064827.3900006</v>
      </c>
      <c r="G88" s="69">
        <f t="shared" si="10"/>
        <v>3946516.4200000004</v>
      </c>
      <c r="H88" s="69">
        <f t="shared" si="10"/>
        <v>1952150.9000000001</v>
      </c>
      <c r="I88" s="77">
        <f t="shared" si="10"/>
        <v>0</v>
      </c>
      <c r="J88" s="43">
        <f t="shared" si="7"/>
        <v>27.753658732079661</v>
      </c>
      <c r="K88" s="43">
        <f t="shared" si="8"/>
        <v>41.88849620341729</v>
      </c>
      <c r="N88" s="29"/>
      <c r="O88" s="54"/>
    </row>
    <row r="89" spans="2:15" x14ac:dyDescent="0.2">
      <c r="B89" s="65" t="s">
        <v>13</v>
      </c>
      <c r="C89" s="75">
        <f>C5-C79</f>
        <v>-14470514753.300018</v>
      </c>
      <c r="D89" s="75">
        <f>D5-D79</f>
        <v>10127080415.769989</v>
      </c>
      <c r="E89" s="61"/>
      <c r="F89" s="55"/>
      <c r="G89" s="55"/>
      <c r="H89" s="55"/>
      <c r="I89" s="133"/>
      <c r="J89" s="133"/>
      <c r="K89" s="37"/>
      <c r="L89" s="37"/>
      <c r="M89" s="4"/>
      <c r="N89" s="54"/>
      <c r="O89" s="55"/>
    </row>
    <row r="90" spans="2:15" ht="25.5" x14ac:dyDescent="0.2">
      <c r="B90" s="112" t="s">
        <v>129</v>
      </c>
      <c r="C90" s="75">
        <f>+C69-C82</f>
        <v>1485605055.0999908</v>
      </c>
      <c r="D90" s="75">
        <f>+D69-D82</f>
        <v>12847692998.839981</v>
      </c>
      <c r="E90" s="61"/>
      <c r="F90" s="55"/>
      <c r="G90" s="55"/>
      <c r="H90" s="55"/>
      <c r="I90" s="55"/>
      <c r="J90" s="55"/>
      <c r="K90" s="37"/>
      <c r="L90" s="37"/>
      <c r="M90" s="4"/>
      <c r="N90" s="54"/>
      <c r="O90" s="55"/>
    </row>
    <row r="91" spans="2:15" outlineLevel="1" x14ac:dyDescent="0.2">
      <c r="B91" s="109"/>
      <c r="C91" s="110"/>
      <c r="D91" s="110"/>
      <c r="E91" s="55"/>
      <c r="F91" s="55"/>
      <c r="G91" s="55"/>
      <c r="H91" s="55"/>
      <c r="I91" s="55"/>
      <c r="J91" s="55"/>
      <c r="K91" s="37"/>
      <c r="L91" s="37"/>
      <c r="M91" s="4"/>
      <c r="N91" s="54"/>
      <c r="O91" s="55"/>
    </row>
    <row r="92" spans="2:15" outlineLevel="1" x14ac:dyDescent="0.2">
      <c r="B92" s="109"/>
      <c r="C92" s="110"/>
      <c r="D92" s="110"/>
      <c r="E92" s="55"/>
      <c r="F92" s="55"/>
      <c r="G92" s="55"/>
      <c r="H92" s="55"/>
      <c r="I92" s="55"/>
      <c r="J92" s="55"/>
      <c r="K92" s="37"/>
      <c r="L92" s="37"/>
      <c r="M92" s="4"/>
      <c r="N92" s="54"/>
      <c r="O92" s="55"/>
    </row>
    <row r="93" spans="2:15" ht="12.75" customHeight="1" outlineLevel="1" x14ac:dyDescent="0.2">
      <c r="B93" s="141" t="s">
        <v>125</v>
      </c>
      <c r="C93" s="142" t="s">
        <v>109</v>
      </c>
      <c r="D93" s="142"/>
      <c r="E93" s="142" t="s">
        <v>110</v>
      </c>
      <c r="F93" s="142"/>
      <c r="G93" s="113" t="s">
        <v>130</v>
      </c>
      <c r="H93" s="55"/>
      <c r="I93" s="55"/>
      <c r="J93" s="55"/>
      <c r="K93" s="37"/>
      <c r="L93" s="37"/>
      <c r="M93" s="4"/>
      <c r="N93" s="54"/>
      <c r="O93" s="55"/>
    </row>
    <row r="94" spans="2:15" outlineLevel="1" x14ac:dyDescent="0.2">
      <c r="B94" s="141"/>
      <c r="C94" s="114" t="s">
        <v>111</v>
      </c>
      <c r="D94" s="114" t="s">
        <v>112</v>
      </c>
      <c r="E94" s="114" t="s">
        <v>111</v>
      </c>
      <c r="F94" s="114" t="s">
        <v>112</v>
      </c>
      <c r="G94" s="114" t="s">
        <v>111</v>
      </c>
      <c r="H94" s="55"/>
      <c r="I94" s="55"/>
      <c r="J94" s="55"/>
      <c r="K94" s="37"/>
      <c r="L94" s="37"/>
      <c r="M94" s="4"/>
      <c r="N94" s="54"/>
      <c r="O94" s="55"/>
    </row>
    <row r="95" spans="2:15" outlineLevel="1" x14ac:dyDescent="0.2">
      <c r="B95" s="117" t="s">
        <v>126</v>
      </c>
      <c r="C95" s="115">
        <f>2</f>
        <v>2</v>
      </c>
      <c r="D95" s="118">
        <f>12424337.21</f>
        <v>12424337.210000001</v>
      </c>
      <c r="E95" s="115">
        <f>64</f>
        <v>64</v>
      </c>
      <c r="F95" s="118">
        <f>+-14482939090.51</f>
        <v>-14482939090.51</v>
      </c>
      <c r="G95" s="115">
        <f>0</f>
        <v>0</v>
      </c>
      <c r="H95" s="55"/>
      <c r="I95" s="55"/>
      <c r="J95" s="55"/>
      <c r="K95" s="37"/>
      <c r="L95" s="37"/>
      <c r="M95" s="4"/>
      <c r="N95" s="54"/>
      <c r="O95" s="55"/>
    </row>
    <row r="96" spans="2:15" outlineLevel="1" x14ac:dyDescent="0.2">
      <c r="B96" s="117" t="s">
        <v>127</v>
      </c>
      <c r="C96" s="115">
        <f>61</f>
        <v>61</v>
      </c>
      <c r="D96" s="118">
        <f>10183431812.17</f>
        <v>10183431812.17</v>
      </c>
      <c r="E96" s="115">
        <f>5</f>
        <v>5</v>
      </c>
      <c r="F96" s="118">
        <f>+-56351396.4</f>
        <v>-56351396.399999999</v>
      </c>
      <c r="G96" s="115">
        <f>0</f>
        <v>0</v>
      </c>
      <c r="H96" s="55"/>
      <c r="I96" s="55"/>
      <c r="J96" s="55"/>
      <c r="K96" s="37"/>
      <c r="L96" s="37"/>
      <c r="M96" s="4"/>
      <c r="N96" s="54"/>
      <c r="O96" s="55"/>
    </row>
    <row r="97" spans="2:15" outlineLevel="1" x14ac:dyDescent="0.2">
      <c r="B97" s="116"/>
      <c r="C97" s="116"/>
      <c r="D97" s="116"/>
      <c r="E97" s="116"/>
      <c r="F97" s="116"/>
      <c r="G97" s="116"/>
      <c r="H97" s="55"/>
      <c r="I97" s="55"/>
      <c r="J97" s="55"/>
      <c r="K97" s="37"/>
      <c r="L97" s="37"/>
      <c r="M97" s="4"/>
      <c r="N97" s="54"/>
      <c r="O97" s="55"/>
    </row>
    <row r="98" spans="2:15" ht="12.75" customHeight="1" outlineLevel="1" x14ac:dyDescent="0.2">
      <c r="B98" s="141" t="s">
        <v>128</v>
      </c>
      <c r="C98" s="142" t="s">
        <v>109</v>
      </c>
      <c r="D98" s="142"/>
      <c r="E98" s="142" t="s">
        <v>110</v>
      </c>
      <c r="F98" s="142"/>
      <c r="G98" s="113" t="s">
        <v>130</v>
      </c>
      <c r="H98" s="55"/>
      <c r="I98" s="55"/>
      <c r="J98" s="55"/>
      <c r="K98" s="37"/>
      <c r="L98" s="37"/>
      <c r="M98" s="4"/>
      <c r="N98" s="54"/>
      <c r="O98" s="55"/>
    </row>
    <row r="99" spans="2:15" outlineLevel="1" x14ac:dyDescent="0.2">
      <c r="B99" s="141"/>
      <c r="C99" s="114" t="s">
        <v>111</v>
      </c>
      <c r="D99" s="114" t="s">
        <v>112</v>
      </c>
      <c r="E99" s="114" t="s">
        <v>111</v>
      </c>
      <c r="F99" s="114" t="s">
        <v>112</v>
      </c>
      <c r="G99" s="114" t="s">
        <v>111</v>
      </c>
      <c r="H99" s="55"/>
      <c r="I99" s="55"/>
      <c r="J99" s="55"/>
      <c r="K99" s="37"/>
      <c r="L99" s="37"/>
      <c r="M99" s="4"/>
      <c r="N99" s="54"/>
      <c r="O99" s="55"/>
    </row>
    <row r="100" spans="2:15" outlineLevel="1" x14ac:dyDescent="0.2">
      <c r="B100" s="117" t="s">
        <v>126</v>
      </c>
      <c r="C100" s="115">
        <f>45</f>
        <v>45</v>
      </c>
      <c r="D100" s="118">
        <f>2457597288.19</f>
        <v>2457597288.1900001</v>
      </c>
      <c r="E100" s="115">
        <f>21</f>
        <v>21</v>
      </c>
      <c r="F100" s="118">
        <f>+-971992233.09</f>
        <v>-971992233.09000003</v>
      </c>
      <c r="G100" s="115">
        <f>0</f>
        <v>0</v>
      </c>
      <c r="H100" s="55"/>
      <c r="I100" s="55"/>
      <c r="J100" s="55"/>
      <c r="K100" s="37"/>
      <c r="L100" s="37"/>
      <c r="M100" s="4"/>
      <c r="N100" s="54"/>
      <c r="O100" s="55"/>
    </row>
    <row r="101" spans="2:15" outlineLevel="1" x14ac:dyDescent="0.2">
      <c r="B101" s="117" t="s">
        <v>127</v>
      </c>
      <c r="C101" s="115">
        <f>65</f>
        <v>65</v>
      </c>
      <c r="D101" s="118">
        <f>12858680578.59</f>
        <v>12858680578.59</v>
      </c>
      <c r="E101" s="115">
        <f>1</f>
        <v>1</v>
      </c>
      <c r="F101" s="118">
        <f>+-10987579.75</f>
        <v>-10987579.75</v>
      </c>
      <c r="G101" s="115">
        <f>0</f>
        <v>0</v>
      </c>
      <c r="H101" s="55"/>
      <c r="I101" s="55"/>
      <c r="J101" s="55"/>
      <c r="K101" s="37"/>
      <c r="L101" s="37"/>
      <c r="M101" s="4"/>
      <c r="N101" s="54"/>
      <c r="O101" s="55"/>
    </row>
    <row r="102" spans="2:15" outlineLevel="1" x14ac:dyDescent="0.2">
      <c r="B102" s="111"/>
      <c r="C102" s="111"/>
      <c r="D102" s="111"/>
      <c r="E102" s="111"/>
      <c r="F102" s="111"/>
      <c r="G102" s="55"/>
      <c r="H102" s="55"/>
      <c r="I102" s="55"/>
      <c r="J102" s="55"/>
      <c r="K102" s="37"/>
      <c r="L102" s="37"/>
      <c r="M102" s="4"/>
      <c r="N102" s="54"/>
      <c r="O102" s="55"/>
    </row>
    <row r="103" spans="2:15" x14ac:dyDescent="0.2">
      <c r="B103" s="38"/>
      <c r="C103" s="39"/>
      <c r="D103" s="39"/>
      <c r="E103" s="39"/>
      <c r="F103" s="40"/>
      <c r="G103" s="40"/>
      <c r="H103" s="40"/>
      <c r="I103" s="40"/>
      <c r="J103" s="41"/>
      <c r="K103" s="41"/>
      <c r="L103" s="42"/>
      <c r="M103" s="35"/>
    </row>
    <row r="104" spans="2:15" x14ac:dyDescent="0.2">
      <c r="B104" s="103" t="s">
        <v>91</v>
      </c>
      <c r="C104" s="57"/>
      <c r="D104" s="57"/>
      <c r="E104" s="57"/>
      <c r="F104" s="58"/>
      <c r="G104" s="58"/>
      <c r="H104" s="58"/>
      <c r="I104" s="58"/>
      <c r="J104" s="59"/>
      <c r="K104" s="59"/>
      <c r="L104" s="42"/>
      <c r="M104" s="35"/>
    </row>
    <row r="105" spans="2:15" ht="26.25" customHeight="1" x14ac:dyDescent="0.2">
      <c r="B105" s="65" t="s">
        <v>72</v>
      </c>
      <c r="C105" s="78">
        <f>6273734032.1</f>
        <v>6273734032.1000004</v>
      </c>
      <c r="D105" s="79">
        <f>1306723891.46</f>
        <v>1306723891.46</v>
      </c>
      <c r="E105" s="79">
        <f>3017336148.56</f>
        <v>3017336148.5599999</v>
      </c>
      <c r="F105" s="79">
        <f>80677770.52</f>
        <v>80677770.519999996</v>
      </c>
      <c r="G105" s="79">
        <f>0</f>
        <v>0</v>
      </c>
      <c r="H105" s="79">
        <f>1296</f>
        <v>1296</v>
      </c>
      <c r="I105" s="79">
        <f>0</f>
        <v>0</v>
      </c>
      <c r="J105" s="62">
        <f>IF($D$105=0,"",100*$D105/$D$105)</f>
        <v>100</v>
      </c>
      <c r="K105" s="43">
        <f>IF(C105=0,"",100*D105/C105)</f>
        <v>20.828487225853941</v>
      </c>
      <c r="L105" s="35"/>
    </row>
    <row r="106" spans="2:15" ht="15" customHeight="1" x14ac:dyDescent="0.2">
      <c r="B106" s="100" t="s">
        <v>59</v>
      </c>
      <c r="C106" s="80">
        <f>4984906643.6</f>
        <v>4984906643.6000004</v>
      </c>
      <c r="D106" s="76">
        <f>998290003.95</f>
        <v>998290003.95000005</v>
      </c>
      <c r="E106" s="76">
        <f>2490347292.01</f>
        <v>2490347292.0100002</v>
      </c>
      <c r="F106" s="76">
        <f>72378478.11</f>
        <v>72378478.109999999</v>
      </c>
      <c r="G106" s="76">
        <f>0</f>
        <v>0</v>
      </c>
      <c r="H106" s="76">
        <f>0</f>
        <v>0</v>
      </c>
      <c r="I106" s="76">
        <f>0</f>
        <v>0</v>
      </c>
      <c r="J106" s="62">
        <f>IF($D$105=0,"",100*$D106/$D$105)</f>
        <v>76.396399459308313</v>
      </c>
      <c r="K106" s="62">
        <f>IF(C106=0,"",100*D106/C106)</f>
        <v>20.026252753031596</v>
      </c>
      <c r="L106" s="35"/>
    </row>
    <row r="107" spans="2:15" x14ac:dyDescent="0.2">
      <c r="B107" s="101" t="s">
        <v>60</v>
      </c>
      <c r="C107" s="80">
        <f>C105-C106</f>
        <v>1288827388.5</v>
      </c>
      <c r="D107" s="76">
        <f t="shared" ref="D107:I107" si="11">D105-D106</f>
        <v>308433887.50999999</v>
      </c>
      <c r="E107" s="76">
        <f t="shared" si="11"/>
        <v>526988856.54999971</v>
      </c>
      <c r="F107" s="76">
        <f t="shared" si="11"/>
        <v>8299292.4099999964</v>
      </c>
      <c r="G107" s="76">
        <f t="shared" si="11"/>
        <v>0</v>
      </c>
      <c r="H107" s="76">
        <f t="shared" si="11"/>
        <v>1296</v>
      </c>
      <c r="I107" s="76">
        <f t="shared" si="11"/>
        <v>0</v>
      </c>
      <c r="J107" s="62">
        <f>IF($D$105=0,"",100*$D107/$D$105)</f>
        <v>23.603600540691684</v>
      </c>
      <c r="K107" s="62">
        <f>IF(C107=0,"",100*D107/C107)</f>
        <v>23.931357314571841</v>
      </c>
    </row>
    <row r="108" spans="2:15" ht="6" customHeight="1" x14ac:dyDescent="0.2"/>
    <row r="109" spans="2:15" ht="18" x14ac:dyDescent="0.2">
      <c r="B109" s="87" t="str">
        <f>CONCATENATE("Informacja z wykonania budżetów miast na prawach powiatu za ",$D$145," ",$C$146," rok    ",$C$148,"")</f>
        <v xml:space="preserve">Informacja z wykonania budżetów miast na prawach powiatu za II Kwartały 2025 rok    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</row>
    <row r="110" spans="2:15" ht="6.75" customHeight="1" x14ac:dyDescent="0.2"/>
    <row r="111" spans="2:15" x14ac:dyDescent="0.2">
      <c r="B111" s="13" t="s">
        <v>14</v>
      </c>
      <c r="C111" s="51" t="s">
        <v>15</v>
      </c>
      <c r="D111" s="8" t="s">
        <v>1</v>
      </c>
      <c r="E111" s="8" t="s">
        <v>20</v>
      </c>
      <c r="F111" s="8" t="s">
        <v>21</v>
      </c>
    </row>
    <row r="112" spans="2:15" x14ac:dyDescent="0.2">
      <c r="B112" s="13"/>
      <c r="C112" s="119" t="s">
        <v>61</v>
      </c>
      <c r="D112" s="120"/>
      <c r="E112" s="123" t="s">
        <v>4</v>
      </c>
      <c r="F112" s="124"/>
    </row>
    <row r="113" spans="2:6" x14ac:dyDescent="0.2">
      <c r="B113" s="11">
        <v>1</v>
      </c>
      <c r="C113" s="14">
        <v>2</v>
      </c>
      <c r="D113" s="12">
        <v>3</v>
      </c>
      <c r="E113" s="12">
        <v>4</v>
      </c>
      <c r="F113" s="12">
        <v>5</v>
      </c>
    </row>
    <row r="114" spans="2:6" ht="25.5" x14ac:dyDescent="0.2">
      <c r="B114" s="63" t="s">
        <v>49</v>
      </c>
      <c r="C114" s="81">
        <f>20100014630.26</f>
        <v>20100014630.259998</v>
      </c>
      <c r="D114" s="74">
        <f>10227185754.76</f>
        <v>10227185754.76</v>
      </c>
      <c r="E114" s="44">
        <f>IF($D$114=0,"",100*$D114/$D$114)</f>
        <v>100</v>
      </c>
      <c r="F114" s="36">
        <f t="shared" ref="F114:F121" si="12">IF(C114=0,"",100*D114/C114)</f>
        <v>50.881484132669556</v>
      </c>
    </row>
    <row r="115" spans="2:6" ht="22.5" x14ac:dyDescent="0.2">
      <c r="B115" s="96" t="s">
        <v>73</v>
      </c>
      <c r="C115" s="82">
        <f>13732144539.83</f>
        <v>13732144539.83</v>
      </c>
      <c r="D115" s="71">
        <f>1054708000.97</f>
        <v>1054708000.97</v>
      </c>
      <c r="E115" s="45">
        <f t="shared" ref="E115:E124" si="13">IF($D$114=0,"",100*$D115/$D$114)</f>
        <v>10.312788153663009</v>
      </c>
      <c r="F115" s="46">
        <f t="shared" si="12"/>
        <v>7.6805774794375781</v>
      </c>
    </row>
    <row r="116" spans="2:6" ht="11.25" customHeight="1" x14ac:dyDescent="0.2">
      <c r="B116" s="98" t="s">
        <v>74</v>
      </c>
      <c r="C116" s="83">
        <f>1148608000</f>
        <v>1148608000</v>
      </c>
      <c r="D116" s="70">
        <f>22264000</f>
        <v>22264000</v>
      </c>
      <c r="E116" s="47">
        <f t="shared" si="13"/>
        <v>0.21769429571216845</v>
      </c>
      <c r="F116" s="43">
        <f t="shared" si="12"/>
        <v>1.9383462417117068</v>
      </c>
    </row>
    <row r="117" spans="2:6" ht="12.95" customHeight="1" x14ac:dyDescent="0.2">
      <c r="B117" s="97" t="s">
        <v>75</v>
      </c>
      <c r="C117" s="83">
        <f>36011323.15</f>
        <v>36011323.149999999</v>
      </c>
      <c r="D117" s="70">
        <f>8981658.33</f>
        <v>8981658.3300000001</v>
      </c>
      <c r="E117" s="47">
        <f t="shared" si="13"/>
        <v>8.7821406058061491E-2</v>
      </c>
      <c r="F117" s="43">
        <f t="shared" si="12"/>
        <v>24.941206110611908</v>
      </c>
    </row>
    <row r="118" spans="2:6" ht="45.75" customHeight="1" x14ac:dyDescent="0.2">
      <c r="B118" s="97" t="s">
        <v>84</v>
      </c>
      <c r="C118" s="83">
        <f>51808169.12</f>
        <v>51808169.119999997</v>
      </c>
      <c r="D118" s="70">
        <f>156397366.15</f>
        <v>156397366.15000001</v>
      </c>
      <c r="E118" s="47">
        <f t="shared" si="13"/>
        <v>1.5292316957987055</v>
      </c>
      <c r="F118" s="43">
        <f t="shared" si="12"/>
        <v>301.87780963219649</v>
      </c>
    </row>
    <row r="119" spans="2:6" ht="35.25" customHeight="1" x14ac:dyDescent="0.2">
      <c r="B119" s="97" t="s">
        <v>80</v>
      </c>
      <c r="C119" s="83">
        <f>875124827.97</f>
        <v>875124827.97000003</v>
      </c>
      <c r="D119" s="70">
        <f>1508974687.51</f>
        <v>1508974687.51</v>
      </c>
      <c r="E119" s="47">
        <f t="shared" si="13"/>
        <v>14.754544639102537</v>
      </c>
      <c r="F119" s="43">
        <f t="shared" si="12"/>
        <v>172.42965109449835</v>
      </c>
    </row>
    <row r="120" spans="2:6" ht="12.95" customHeight="1" x14ac:dyDescent="0.2">
      <c r="B120" s="97" t="s">
        <v>76</v>
      </c>
      <c r="C120" s="83">
        <f>0</f>
        <v>0</v>
      </c>
      <c r="D120" s="70">
        <f>0</f>
        <v>0</v>
      </c>
      <c r="E120" s="47">
        <f t="shared" si="13"/>
        <v>0</v>
      </c>
      <c r="F120" s="43" t="str">
        <f t="shared" si="12"/>
        <v/>
      </c>
    </row>
    <row r="121" spans="2:6" ht="35.25" customHeight="1" x14ac:dyDescent="0.2">
      <c r="B121" s="97" t="s">
        <v>79</v>
      </c>
      <c r="C121" s="83">
        <f>4665911955.25</f>
        <v>4665911955.25</v>
      </c>
      <c r="D121" s="70">
        <f>6000636531.86</f>
        <v>6000636531.8599997</v>
      </c>
      <c r="E121" s="47">
        <f t="shared" si="13"/>
        <v>58.673389491015612</v>
      </c>
      <c r="F121" s="43">
        <f t="shared" si="12"/>
        <v>128.60586717904508</v>
      </c>
    </row>
    <row r="122" spans="2:6" ht="56.25" x14ac:dyDescent="0.2">
      <c r="B122" s="106" t="s">
        <v>103</v>
      </c>
      <c r="C122" s="83">
        <f>0</f>
        <v>0</v>
      </c>
      <c r="D122" s="70">
        <f>103473695.57</f>
        <v>103473695.56999999</v>
      </c>
      <c r="E122" s="47">
        <f t="shared" si="13"/>
        <v>1.011751405041613</v>
      </c>
      <c r="F122" s="43" t="str">
        <f t="shared" ref="F122:F130" si="14">IF(C122=0,"",100*D122/C122)</f>
        <v/>
      </c>
    </row>
    <row r="123" spans="2:6" x14ac:dyDescent="0.2">
      <c r="B123" s="106" t="s">
        <v>99</v>
      </c>
      <c r="C123" s="83">
        <f>739013814.94</f>
        <v>739013814.94000006</v>
      </c>
      <c r="D123" s="70">
        <f>1394013814.37</f>
        <v>1394013814.3699999</v>
      </c>
      <c r="E123" s="47">
        <f t="shared" si="13"/>
        <v>13.630473209320456</v>
      </c>
      <c r="F123" s="43">
        <f t="shared" si="14"/>
        <v>188.63163126161299</v>
      </c>
    </row>
    <row r="124" spans="2:6" ht="22.5" x14ac:dyDescent="0.2">
      <c r="B124" s="107" t="s">
        <v>100</v>
      </c>
      <c r="C124" s="83">
        <f>725377857.75</f>
        <v>725377857.75</v>
      </c>
      <c r="D124" s="70">
        <f>725377857.18</f>
        <v>725377857.17999995</v>
      </c>
      <c r="E124" s="47">
        <f t="shared" si="13"/>
        <v>7.0926438081208225</v>
      </c>
      <c r="F124" s="43">
        <f t="shared" si="14"/>
        <v>99.999999921420269</v>
      </c>
    </row>
    <row r="125" spans="2:6" ht="25.5" x14ac:dyDescent="0.2">
      <c r="B125" s="66" t="s">
        <v>50</v>
      </c>
      <c r="C125" s="84">
        <f>5629499876.96</f>
        <v>5629499876.96</v>
      </c>
      <c r="D125" s="74">
        <f>3117667208.98</f>
        <v>3117667208.98</v>
      </c>
      <c r="E125" s="48">
        <f t="shared" ref="E125:E130" si="15">IF($D$125=0,"",100*$D125/$D$125)</f>
        <v>100</v>
      </c>
      <c r="F125" s="36">
        <f t="shared" si="14"/>
        <v>55.380891324640707</v>
      </c>
    </row>
    <row r="126" spans="2:6" ht="22.5" x14ac:dyDescent="0.2">
      <c r="B126" s="97" t="s">
        <v>77</v>
      </c>
      <c r="C126" s="83">
        <f>5539291414.33</f>
        <v>5539291414.3299999</v>
      </c>
      <c r="D126" s="70">
        <f>2364163239.01</f>
        <v>2364163239.0100002</v>
      </c>
      <c r="E126" s="47">
        <f t="shared" si="15"/>
        <v>75.831160946247309</v>
      </c>
      <c r="F126" s="43">
        <f t="shared" si="14"/>
        <v>42.679885605837107</v>
      </c>
    </row>
    <row r="127" spans="2:6" ht="12.95" customHeight="1" x14ac:dyDescent="0.2">
      <c r="B127" s="98" t="s">
        <v>78</v>
      </c>
      <c r="C127" s="83">
        <f>299645000</f>
        <v>299645000</v>
      </c>
      <c r="D127" s="70">
        <f>10000000</f>
        <v>10000000</v>
      </c>
      <c r="E127" s="47">
        <f t="shared" si="15"/>
        <v>0.32075264387412528</v>
      </c>
      <c r="F127" s="43">
        <f t="shared" si="14"/>
        <v>3.3372824509002319</v>
      </c>
    </row>
    <row r="128" spans="2:6" ht="12.95" customHeight="1" x14ac:dyDescent="0.2">
      <c r="B128" s="97" t="s">
        <v>90</v>
      </c>
      <c r="C128" s="83">
        <f>72222869</f>
        <v>72222869</v>
      </c>
      <c r="D128" s="70">
        <f>34140833.53</f>
        <v>34140833.530000001</v>
      </c>
      <c r="E128" s="47">
        <f t="shared" si="15"/>
        <v>1.0950762618813885</v>
      </c>
      <c r="F128" s="43">
        <f t="shared" si="14"/>
        <v>47.271500014766794</v>
      </c>
    </row>
    <row r="129" spans="2:8" ht="12.95" customHeight="1" x14ac:dyDescent="0.2">
      <c r="B129" s="97" t="s">
        <v>101</v>
      </c>
      <c r="C129" s="83">
        <f>17985593.63</f>
        <v>17985593.629999999</v>
      </c>
      <c r="D129" s="70">
        <f>719363136.44</f>
        <v>719363136.44000006</v>
      </c>
      <c r="E129" s="47">
        <f t="shared" si="15"/>
        <v>23.07376279187131</v>
      </c>
      <c r="F129" s="43">
        <f t="shared" si="14"/>
        <v>3999.6630149593793</v>
      </c>
    </row>
    <row r="130" spans="2:8" ht="22.5" x14ac:dyDescent="0.2">
      <c r="B130" s="107" t="s">
        <v>102</v>
      </c>
      <c r="C130" s="83">
        <f>4363136.44</f>
        <v>4363136.4400000004</v>
      </c>
      <c r="D130" s="70">
        <f>4363136.44</f>
        <v>4363136.4400000004</v>
      </c>
      <c r="E130" s="47">
        <f t="shared" si="15"/>
        <v>0.13994875487135389</v>
      </c>
      <c r="F130" s="43">
        <f t="shared" si="14"/>
        <v>100</v>
      </c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13" t="s">
        <v>14</v>
      </c>
      <c r="C132" s="11" t="s">
        <v>15</v>
      </c>
      <c r="D132" s="11" t="s">
        <v>1</v>
      </c>
      <c r="E132" s="60"/>
    </row>
    <row r="133" spans="2:8" x14ac:dyDescent="0.2">
      <c r="B133" s="13"/>
      <c r="C133" s="121" t="s">
        <v>61</v>
      </c>
      <c r="D133" s="122"/>
      <c r="E133" s="60"/>
    </row>
    <row r="134" spans="2:8" x14ac:dyDescent="0.2">
      <c r="B134" s="11">
        <v>1</v>
      </c>
      <c r="C134" s="11">
        <v>2</v>
      </c>
      <c r="D134" s="11">
        <v>3</v>
      </c>
      <c r="E134" s="60"/>
    </row>
    <row r="135" spans="2:8" ht="36" customHeight="1" x14ac:dyDescent="0.2">
      <c r="B135" s="64" t="s">
        <v>104</v>
      </c>
      <c r="C135" s="83">
        <f>14482939090.51</f>
        <v>14482939090.51</v>
      </c>
      <c r="D135" s="70">
        <f>0</f>
        <v>0</v>
      </c>
      <c r="E135" s="60"/>
    </row>
    <row r="136" spans="2:8" ht="33.75" x14ac:dyDescent="0.2">
      <c r="B136" s="102" t="s">
        <v>63</v>
      </c>
      <c r="C136" s="83">
        <f>752764858</f>
        <v>752764858</v>
      </c>
      <c r="D136" s="70">
        <f>0</f>
        <v>0</v>
      </c>
      <c r="E136" s="60"/>
    </row>
    <row r="137" spans="2:8" ht="12.95" customHeight="1" x14ac:dyDescent="0.2">
      <c r="B137" s="102" t="s">
        <v>64</v>
      </c>
      <c r="C137" s="83">
        <f>8151578672.79</f>
        <v>8151578672.79</v>
      </c>
      <c r="D137" s="70">
        <f>0</f>
        <v>0</v>
      </c>
      <c r="E137" s="60"/>
    </row>
    <row r="138" spans="2:8" ht="22.5" x14ac:dyDescent="0.2">
      <c r="B138" s="102" t="s">
        <v>65</v>
      </c>
      <c r="C138" s="83">
        <f>0</f>
        <v>0</v>
      </c>
      <c r="D138" s="70">
        <f>0</f>
        <v>0</v>
      </c>
      <c r="E138" s="60"/>
    </row>
    <row r="139" spans="2:8" ht="58.5" customHeight="1" x14ac:dyDescent="0.2">
      <c r="B139" s="102" t="s">
        <v>87</v>
      </c>
      <c r="C139" s="83">
        <f>51808169.12</f>
        <v>51808169.119999997</v>
      </c>
      <c r="D139" s="70">
        <f>0</f>
        <v>0</v>
      </c>
      <c r="E139" s="60"/>
    </row>
    <row r="140" spans="2:8" ht="78.75" x14ac:dyDescent="0.2">
      <c r="B140" s="102" t="s">
        <v>66</v>
      </c>
      <c r="C140" s="83">
        <f>3944664278.64</f>
        <v>3944664278.6399999</v>
      </c>
      <c r="D140" s="70">
        <f>0</f>
        <v>0</v>
      </c>
      <c r="E140" s="60"/>
    </row>
    <row r="141" spans="2:8" ht="147" customHeight="1" x14ac:dyDescent="0.2">
      <c r="B141" s="102" t="s">
        <v>85</v>
      </c>
      <c r="C141" s="83">
        <f>860635541.58</f>
        <v>860635541.58000004</v>
      </c>
      <c r="D141" s="70">
        <f>0</f>
        <v>0</v>
      </c>
      <c r="E141" s="35"/>
    </row>
    <row r="142" spans="2:8" ht="22.5" x14ac:dyDescent="0.2">
      <c r="B142" s="102" t="s">
        <v>86</v>
      </c>
      <c r="C142" s="83">
        <f>5757078.02</f>
        <v>5757078.0199999996</v>
      </c>
      <c r="D142" s="70">
        <f>0</f>
        <v>0</v>
      </c>
      <c r="E142" s="35"/>
    </row>
    <row r="143" spans="2:8" ht="22.5" x14ac:dyDescent="0.2">
      <c r="B143" s="108" t="s">
        <v>100</v>
      </c>
      <c r="C143" s="83">
        <f>715730492.36</f>
        <v>715730492.36000001</v>
      </c>
      <c r="D143" s="70">
        <f>0</f>
        <v>0</v>
      </c>
      <c r="E143" s="35"/>
    </row>
    <row r="144" spans="2:8" x14ac:dyDescent="0.2">
      <c r="B144" s="49"/>
      <c r="C144" s="41"/>
      <c r="D144" s="41"/>
      <c r="E144" s="41"/>
      <c r="F144" s="41"/>
      <c r="G144" s="41"/>
      <c r="H144" s="41"/>
    </row>
    <row r="145" spans="2:4" ht="12" customHeight="1" x14ac:dyDescent="0.2">
      <c r="B145" s="50" t="s">
        <v>51</v>
      </c>
      <c r="C145" s="50">
        <f>2</f>
        <v>2</v>
      </c>
      <c r="D145" s="50" t="str">
        <f>IF(C145=1,"I Kwartał",IF(C145=2,"II Kwartały",IF(C145=3,"III Kwartały",IF(C145=4,"IV Kwartały",IF(C145="M1","Styczeń",IF(C145="M11","Listopad",IF(C145="M12","Grudzień","-")))))))</f>
        <v>II Kwartały</v>
      </c>
    </row>
    <row r="146" spans="2:4" x14ac:dyDescent="0.2">
      <c r="B146" s="50" t="s">
        <v>52</v>
      </c>
      <c r="C146" s="85">
        <f>2025</f>
        <v>2025</v>
      </c>
      <c r="D146" s="49"/>
    </row>
    <row r="147" spans="2:4" x14ac:dyDescent="0.2">
      <c r="B147" s="50" t="s">
        <v>53</v>
      </c>
      <c r="C147" s="126" t="str">
        <f>"Aug 15 2025 12:00AM"</f>
        <v>Aug 15 2025 12:00AM</v>
      </c>
      <c r="D147" s="127"/>
    </row>
    <row r="148" spans="2:4" hidden="1" x14ac:dyDescent="0.2">
      <c r="B148" s="50" t="s">
        <v>56</v>
      </c>
      <c r="C148" s="86" t="str">
        <f>""</f>
        <v/>
      </c>
      <c r="D148" s="49"/>
    </row>
  </sheetData>
  <mergeCells count="26">
    <mergeCell ref="B93:B94"/>
    <mergeCell ref="C93:D93"/>
    <mergeCell ref="E93:F93"/>
    <mergeCell ref="B98:B99"/>
    <mergeCell ref="C98:D98"/>
    <mergeCell ref="E98:F98"/>
    <mergeCell ref="B2:B3"/>
    <mergeCell ref="C74:C76"/>
    <mergeCell ref="B74:B77"/>
    <mergeCell ref="J74:J76"/>
    <mergeCell ref="K74:K76"/>
    <mergeCell ref="F75:F76"/>
    <mergeCell ref="F74:H74"/>
    <mergeCell ref="I74:I76"/>
    <mergeCell ref="C77:I77"/>
    <mergeCell ref="J3:L3"/>
    <mergeCell ref="C3:I3"/>
    <mergeCell ref="G75:H75"/>
    <mergeCell ref="I89:J89"/>
    <mergeCell ref="D74:D76"/>
    <mergeCell ref="E74:E76"/>
    <mergeCell ref="C112:D112"/>
    <mergeCell ref="C133:D133"/>
    <mergeCell ref="E112:F112"/>
    <mergeCell ref="J77:K77"/>
    <mergeCell ref="C147:D147"/>
  </mergeCells>
  <phoneticPr fontId="0" type="noConversion"/>
  <printOptions horizontalCentered="1"/>
  <pageMargins left="0" right="0" top="0" bottom="0" header="0" footer="0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4" max="16383" man="1"/>
    <brk id="61" min="1" max="11" man="1"/>
    <brk id="71" max="16383" man="1"/>
    <brk id="108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2025-02-07T10:12:17Z</cp:lastPrinted>
  <dcterms:created xsi:type="dcterms:W3CDTF">2001-05-17T08:58:03Z</dcterms:created>
  <dcterms:modified xsi:type="dcterms:W3CDTF">2025-08-21T11:43:10Z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