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<sst xmlns="http://schemas.openxmlformats.org/spreadsheetml/2006/main" count="119" uniqueCount="97">
  <si>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</si>
  <si>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</si>
  <si>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</si>
  <si>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</si>
  <si>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</si>
  <si>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</si>
  <si>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</si>
  <si>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</si>
  <si>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</si>
  <si>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</si>
  <si>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</si>
  <si>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</si>
  <si>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</si>
  <si>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</si>
  <si>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</si>
  <si>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</si>
  <si>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</si>
  <si>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</si>
  <si>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</si>
  <si>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</si>
  <si>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</si>
  <si>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</si>
  <si>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</si>
  <si>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</si>
  <si>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</si>
  <si>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</si>
  <si>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</si>
  <si>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</si>
  <si>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</si>
  <si>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</si>
  <si>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</si>
  <si>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</si>
  <si>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</si>
  <si>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</si>
  <si>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</si>
  <si>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</si>
  <si>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</si>
  <si>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</si>
  <si>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</si>
  <si>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</si>
  <si>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</si>
  <si>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</si>
  <si>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</si>
  <si>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</si>
  <si>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</si>
  <si>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</si>
  <si>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</si>
  <si>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</si>
  <si>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</si>
  <si>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</si>
  <si>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</si>
  <si>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</si>
  <si>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Dotacje §§ 200 i 620</t>
  </si>
  <si>
    <t>w tym: inwestycyjne § 620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</si>
  <si>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</si>
  <si>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</si>
  <si>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</si>
  <si>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</si>
  <si>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</si>
  <si>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</si>
  <si>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</si>
  <si>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</si>
  <si>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</si>
  <si>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</si>
  <si>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</si>
  <si>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</si>
  <si>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</si>
  <si>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</si>
  <si>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</si>
  <si>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</si>
  <si>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</si>
  <si>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</si>
  <si>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</si>
  <si>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</si>
  <si>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</si>
  <si>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</si>
  <si>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</si>
  <si>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</si>
  <si>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</si>
  <si>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</si>
  <si>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</si>
  <si>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</si>
  <si>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</si>
  <si>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</si>
  <si>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</si>
  <si>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</si>
  <si>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</si>
  <si>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</si>
  <si>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</si>
  <si>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</si>
  <si>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</si>
  <si>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</si>
  <si>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</si>
  <si>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</si>
  <si>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</si>
  <si>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</si>
  <si>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 xml:space="preserve">Informacja z wykonania budżetów województw za II Kwartały 2020 rok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</si>
</sst>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12" fillId="40" borderId="19" xfId="71" applyNumberFormat="1" applyFont="1" applyFill="1" applyBorder="1" applyAlignment="1">
      <alignment horizontal="right" vertic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0" fontId="55" fillId="0" borderId="19" xfId="89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4" fontId="7" fillId="50" borderId="20" xfId="0" applyNumberFormat="1" applyFont="1" applyFill="1" applyBorder="1" applyAlignment="1">
      <alignment horizontal="right" vertical="center"/>
    </xf>
    <xf numFmtId="4" fontId="12" fillId="51" borderId="20" xfId="0" applyNumberFormat="1" applyFont="1" applyFill="1" applyBorder="1" applyAlignment="1">
      <alignment horizontal="right" vertical="center"/>
    </xf>
    <xf numFmtId="4" fontId="12" fillId="51" borderId="21" xfId="0" applyNumberFormat="1" applyFont="1" applyFill="1" applyBorder="1" applyAlignment="1">
      <alignment horizontal="right" vertical="center"/>
    </xf>
    <xf numFmtId="0" fontId="55" fillId="51" borderId="19" xfId="89" applyFont="1" applyFill="1" applyBorder="1" applyAlignment="1">
      <alignment horizontal="left" vertical="center" wrapText="1"/>
      <protection/>
    </xf>
    <xf numFmtId="164" fontId="12" fillId="50" borderId="19" xfId="71" applyNumberFormat="1" applyFont="1" applyFill="1" applyBorder="1" applyAlignment="1">
      <alignment horizontal="right" vertical="center"/>
    </xf>
    <xf numFmtId="164" fontId="12" fillId="50" borderId="19" xfId="0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2" fillId="40" borderId="19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3" fillId="51" borderId="19" xfId="0" applyFont="1" applyFill="1" applyBorder="1" applyAlignment="1">
      <alignment horizontal="left" vertical="center" wrapText="1"/>
    </xf>
    <xf numFmtId="4" fontId="13" fillId="51" borderId="19" xfId="0" applyNumberFormat="1" applyFont="1" applyFill="1" applyBorder="1" applyAlignment="1">
      <alignment horizontal="right" vertical="center"/>
    </xf>
    <xf numFmtId="164" fontId="13" fillId="51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1" borderId="19" xfId="0" applyNumberFormat="1" applyFont="1" applyFill="1" applyBorder="1" applyAlignment="1">
      <alignment horizontal="right" vertical="center"/>
    </xf>
    <xf numFmtId="164" fontId="5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1" borderId="19" xfId="0" applyFont="1" applyFill="1" applyBorder="1" applyAlignment="1">
      <alignment horizontal="left" vertical="center" wrapText="1" indent="1"/>
    </xf>
    <xf numFmtId="4" fontId="12" fillId="51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1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 inden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5" fillId="0" borderId="19" xfId="89" applyFont="1" applyFill="1" applyBorder="1" applyAlignment="1">
      <alignment horizontal="left" vertical="center" wrapText="1"/>
      <protection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2" fillId="51" borderId="19" xfId="0" applyNumberFormat="1" applyFont="1" applyFill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7" fillId="0" borderId="20" xfId="0" applyNumberFormat="1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4" fontId="5" fillId="40" borderId="20" xfId="0" applyNumberFormat="1" applyFont="1" applyFill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7" fillId="40" borderId="2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1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107" t="s">
        <v>96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8" ht="60" customHeight="1">
      <c r="B2" s="99" t="s">
        <v>0</v>
      </c>
      <c r="C2" s="13" t="s">
        <v>28</v>
      </c>
      <c r="D2" s="13" t="s">
        <v>29</v>
      </c>
      <c r="E2" s="13" t="s">
        <v>30</v>
      </c>
      <c r="F2" s="14" t="s">
        <v>2</v>
      </c>
      <c r="G2" s="13" t="s">
        <v>18</v>
      </c>
      <c r="H2" s="13" t="s">
        <v>3</v>
      </c>
    </row>
    <row r="3" spans="2:8" ht="9.75" customHeight="1">
      <c r="B3" s="99"/>
      <c r="C3" s="92" t="s">
        <v>59</v>
      </c>
      <c r="D3" s="92"/>
      <c r="E3" s="92"/>
      <c r="F3" s="92" t="s">
        <v>4</v>
      </c>
      <c r="G3" s="92"/>
      <c r="H3" s="92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71" t="s">
        <v>5</v>
      </c>
      <c r="C5" s="72">
        <f>21208704526.33</f>
        <v>21208704526.33</v>
      </c>
      <c r="D5" s="72">
        <f>10596262778.13</f>
        <v>10596262778.13</v>
      </c>
      <c r="E5" s="72">
        <f>10460088033.31</f>
        <v>10460088033.31</v>
      </c>
      <c r="F5" s="73">
        <f aca="true" t="shared" si="0" ref="F5:F33">IF($D$5=0,"",100*$D5/$D$5)</f>
        <v>100</v>
      </c>
      <c r="G5" s="73">
        <f>IF(C5=0,"",100*D5/C5)</f>
        <v>49.961857712596455</v>
      </c>
      <c r="H5" s="73"/>
      <c r="I5" s="34"/>
      <c r="J5" s="34"/>
      <c r="K5" s="34"/>
      <c r="L5" s="34"/>
      <c r="M5" s="34"/>
    </row>
    <row r="6" spans="2:13" ht="25.5" customHeight="1">
      <c r="B6" s="55" t="s">
        <v>44</v>
      </c>
      <c r="C6" s="22">
        <f>C5-C11-C29</f>
        <v>9690028159.95</v>
      </c>
      <c r="D6" s="22">
        <f>D5-D11-D29</f>
        <v>5388343603.4</v>
      </c>
      <c r="E6" s="22">
        <f>E5-E11-E29</f>
        <v>5303716617.57</v>
      </c>
      <c r="F6" s="30">
        <f t="shared" si="0"/>
        <v>50.85135878775291</v>
      </c>
      <c r="G6" s="30">
        <f aca="true" t="shared" si="1" ref="G6:G36">IF(C6=0,"",100*D6/C6)</f>
        <v>55.60709953011945</v>
      </c>
      <c r="H6" s="30">
        <f>IF($D$6=0,"",100*$D6/$D$6)</f>
        <v>100</v>
      </c>
      <c r="I6" s="34"/>
      <c r="J6" s="34"/>
      <c r="K6" s="34"/>
      <c r="L6" s="34"/>
      <c r="M6" s="34"/>
    </row>
    <row r="7" spans="2:13" ht="22.5" customHeight="1">
      <c r="B7" s="17" t="s">
        <v>26</v>
      </c>
      <c r="C7" s="20">
        <f>6687212161</f>
        <v>6687212161</v>
      </c>
      <c r="D7" s="20">
        <f>3930553349.75</f>
        <v>3930553349.75</v>
      </c>
      <c r="E7" s="20">
        <f>3945946090.82</f>
        <v>3945946090.82</v>
      </c>
      <c r="F7" s="31">
        <f t="shared" si="0"/>
        <v>37.093770058840065</v>
      </c>
      <c r="G7" s="31">
        <f t="shared" si="1"/>
        <v>58.77715937701352</v>
      </c>
      <c r="H7" s="31">
        <f>IF($D$6=0,"",100*$D7/$D$6)</f>
        <v>72.94548453201563</v>
      </c>
      <c r="I7" s="34"/>
      <c r="J7" s="34"/>
      <c r="K7" s="34"/>
      <c r="L7" s="34"/>
      <c r="M7" s="34"/>
    </row>
    <row r="8" spans="2:13" ht="22.5" customHeight="1">
      <c r="B8" s="29" t="s">
        <v>19</v>
      </c>
      <c r="C8" s="21">
        <f>1783404059</f>
        <v>1783404059</v>
      </c>
      <c r="D8" s="21">
        <f>776032712</f>
        <v>776032712</v>
      </c>
      <c r="E8" s="21">
        <f>676013329</f>
        <v>676013329</v>
      </c>
      <c r="F8" s="31">
        <f t="shared" si="0"/>
        <v>7.323645404506967</v>
      </c>
      <c r="G8" s="31">
        <f t="shared" si="1"/>
        <v>43.51412727159213</v>
      </c>
      <c r="H8" s="31">
        <f>IF($D$6=0,"",100*$D8/$D$6)</f>
        <v>14.402064328457634</v>
      </c>
      <c r="I8" s="34"/>
      <c r="J8" s="34"/>
      <c r="K8" s="34"/>
      <c r="L8" s="34"/>
      <c r="M8" s="34"/>
    </row>
    <row r="9" spans="2:13" ht="12.75">
      <c r="B9" s="29" t="s">
        <v>20</v>
      </c>
      <c r="C9" s="21">
        <f>235156266</f>
        <v>235156266</v>
      </c>
      <c r="D9" s="74">
        <f>91671529.52</f>
        <v>91671529.52</v>
      </c>
      <c r="E9" s="21">
        <f>91671529.52</f>
        <v>91671529.52</v>
      </c>
      <c r="F9" s="31">
        <f t="shared" si="0"/>
        <v>0.8651307677005152</v>
      </c>
      <c r="G9" s="31">
        <f t="shared" si="1"/>
        <v>38.98323913682147</v>
      </c>
      <c r="H9" s="31">
        <f>IF($D$6=0,"",100*$D9/$D$6)</f>
        <v>1.7012933151136842</v>
      </c>
      <c r="I9" s="34"/>
      <c r="J9" s="34"/>
      <c r="K9" s="34"/>
      <c r="L9" s="34"/>
      <c r="M9" s="34"/>
    </row>
    <row r="10" spans="2:13" ht="12.75">
      <c r="B10" s="29" t="s">
        <v>21</v>
      </c>
      <c r="C10" s="21">
        <f>C6-C7-C8-C9</f>
        <v>984255673.9500008</v>
      </c>
      <c r="D10" s="21">
        <f>D6-D7-D8-D9</f>
        <v>590086012.1299996</v>
      </c>
      <c r="E10" s="21">
        <f>E6-E7-E8-E9</f>
        <v>590085668.2299995</v>
      </c>
      <c r="F10" s="31">
        <f t="shared" si="0"/>
        <v>5.56881255670536</v>
      </c>
      <c r="G10" s="31">
        <f t="shared" si="1"/>
        <v>59.952513127191324</v>
      </c>
      <c r="H10" s="31">
        <f>IF($D$6=0,"",100*$D10/$D$6)</f>
        <v>10.951157824413059</v>
      </c>
      <c r="I10" s="34"/>
      <c r="J10" s="34"/>
      <c r="K10" s="34"/>
      <c r="L10" s="34"/>
      <c r="M10" s="34"/>
    </row>
    <row r="11" spans="2:13" ht="12.75">
      <c r="B11" s="71" t="s">
        <v>81</v>
      </c>
      <c r="C11" s="72">
        <f>C12+C25+C27</f>
        <v>8477815796.38</v>
      </c>
      <c r="D11" s="72">
        <f>D12+D25+D27</f>
        <v>3488104039.73</v>
      </c>
      <c r="E11" s="72">
        <f>E12+E25+E27</f>
        <v>3483254431.7400002</v>
      </c>
      <c r="F11" s="73">
        <f t="shared" si="0"/>
        <v>32.918247808361464</v>
      </c>
      <c r="G11" s="73">
        <f t="shared" si="1"/>
        <v>41.143899838203716</v>
      </c>
      <c r="H11" s="75"/>
      <c r="I11" s="34"/>
      <c r="J11" s="34"/>
      <c r="K11" s="34"/>
      <c r="L11" s="34"/>
      <c r="M11" s="34"/>
    </row>
    <row r="12" spans="2:13" ht="12.75">
      <c r="B12" s="71" t="s">
        <v>82</v>
      </c>
      <c r="C12" s="72">
        <f>C13+C15+C17+C19+C21+C23</f>
        <v>1185719182.0400002</v>
      </c>
      <c r="D12" s="72">
        <f>D13+D15+D17+D19+D21+D23</f>
        <v>502518316.64000005</v>
      </c>
      <c r="E12" s="72">
        <f>E13+E15+E17+E19+E21+E23</f>
        <v>502490098.99</v>
      </c>
      <c r="F12" s="73">
        <f t="shared" si="0"/>
        <v>4.742410859016873</v>
      </c>
      <c r="G12" s="73">
        <f t="shared" si="1"/>
        <v>42.38088784019079</v>
      </c>
      <c r="H12" s="26"/>
      <c r="I12" s="34"/>
      <c r="J12" s="34"/>
      <c r="K12" s="34"/>
      <c r="L12" s="34"/>
      <c r="M12" s="34"/>
    </row>
    <row r="13" spans="2:13" ht="22.5" customHeight="1">
      <c r="B13" s="29" t="s">
        <v>9</v>
      </c>
      <c r="C13" s="21">
        <f>789833765.81</f>
        <v>789833765.81</v>
      </c>
      <c r="D13" s="21">
        <f>362408430.36</f>
        <v>362408430.36</v>
      </c>
      <c r="E13" s="21">
        <f>362400850.36</f>
        <v>362400850.36</v>
      </c>
      <c r="F13" s="31">
        <f t="shared" si="0"/>
        <v>3.4201532931779264</v>
      </c>
      <c r="G13" s="31">
        <f t="shared" si="1"/>
        <v>45.884139935235424</v>
      </c>
      <c r="H13" s="26"/>
      <c r="I13" s="34"/>
      <c r="J13" s="34"/>
      <c r="K13" s="34"/>
      <c r="L13" s="34"/>
      <c r="M13" s="34"/>
    </row>
    <row r="14" spans="2:13" ht="11.25" customHeight="1">
      <c r="B14" s="78" t="s">
        <v>6</v>
      </c>
      <c r="C14" s="21">
        <f>39901017</f>
        <v>39901017</v>
      </c>
      <c r="D14" s="21">
        <f>35305387.36</f>
        <v>35305387.36</v>
      </c>
      <c r="E14" s="21">
        <f>35305387.36</f>
        <v>35305387.36</v>
      </c>
      <c r="F14" s="31">
        <f t="shared" si="0"/>
        <v>0.3331871632408743</v>
      </c>
      <c r="G14" s="31">
        <f t="shared" si="1"/>
        <v>88.48242479634041</v>
      </c>
      <c r="H14" s="26"/>
      <c r="I14" s="34"/>
      <c r="J14" s="34"/>
      <c r="K14" s="34"/>
      <c r="L14" s="34"/>
      <c r="M14" s="34"/>
    </row>
    <row r="15" spans="2:13" ht="11.25" customHeight="1">
      <c r="B15" s="29" t="s">
        <v>7</v>
      </c>
      <c r="C15" s="21">
        <f>41762739.46</f>
        <v>41762739.46</v>
      </c>
      <c r="D15" s="21">
        <f>17237247.82</f>
        <v>17237247.82</v>
      </c>
      <c r="E15" s="21">
        <f>17236977.42</f>
        <v>17236977.42</v>
      </c>
      <c r="F15" s="31">
        <f t="shared" si="0"/>
        <v>0.1626728987466842</v>
      </c>
      <c r="G15" s="31">
        <f t="shared" si="1"/>
        <v>41.27422684163162</v>
      </c>
      <c r="H15" s="26"/>
      <c r="I15" s="34"/>
      <c r="J15" s="34"/>
      <c r="K15" s="34"/>
      <c r="L15" s="34"/>
      <c r="M15" s="34"/>
    </row>
    <row r="16" spans="2:13" ht="10.5" customHeight="1">
      <c r="B16" s="78" t="s">
        <v>6</v>
      </c>
      <c r="C16" s="21">
        <f>14474592.46</f>
        <v>14474592.46</v>
      </c>
      <c r="D16" s="21">
        <f>3827320.77</f>
        <v>3827320.77</v>
      </c>
      <c r="E16" s="21">
        <f>3827320.77</f>
        <v>3827320.77</v>
      </c>
      <c r="F16" s="31">
        <f t="shared" si="0"/>
        <v>0.03611953431260069</v>
      </c>
      <c r="G16" s="31">
        <f t="shared" si="1"/>
        <v>26.441647877663286</v>
      </c>
      <c r="H16" s="26"/>
      <c r="I16" s="34"/>
      <c r="J16" s="34"/>
      <c r="K16" s="34"/>
      <c r="L16" s="34"/>
      <c r="M16" s="34"/>
    </row>
    <row r="17" spans="2:13" ht="35.25" customHeight="1">
      <c r="B17" s="29" t="s">
        <v>10</v>
      </c>
      <c r="C17" s="21">
        <f>66631957</f>
        <v>66631957</v>
      </c>
      <c r="D17" s="21">
        <f>9456794.85</f>
        <v>9456794.85</v>
      </c>
      <c r="E17" s="21">
        <f>9448285.08</f>
        <v>9448285.08</v>
      </c>
      <c r="F17" s="31">
        <f t="shared" si="0"/>
        <v>0.08924651122769636</v>
      </c>
      <c r="G17" s="31">
        <f t="shared" si="1"/>
        <v>14.192581571632363</v>
      </c>
      <c r="H17" s="26"/>
      <c r="I17" s="34"/>
      <c r="J17" s="34"/>
      <c r="K17" s="34"/>
      <c r="L17" s="34"/>
      <c r="M17" s="34"/>
    </row>
    <row r="18" spans="2:13" ht="9.75" customHeight="1">
      <c r="B18" s="78" t="s">
        <v>6</v>
      </c>
      <c r="C18" s="21">
        <f>22953034</f>
        <v>22953034</v>
      </c>
      <c r="D18" s="21">
        <f>0</f>
        <v>0</v>
      </c>
      <c r="E18" s="21">
        <f>0</f>
        <v>0</v>
      </c>
      <c r="F18" s="31">
        <f t="shared" si="0"/>
        <v>0</v>
      </c>
      <c r="G18" s="31">
        <f t="shared" si="1"/>
        <v>0</v>
      </c>
      <c r="H18" s="26"/>
      <c r="I18" s="34"/>
      <c r="J18" s="34"/>
      <c r="K18" s="34"/>
      <c r="L18" s="34"/>
      <c r="M18" s="34"/>
    </row>
    <row r="19" spans="2:13" ht="33.75" customHeight="1">
      <c r="B19" s="29" t="s">
        <v>11</v>
      </c>
      <c r="C19" s="21">
        <f>68753837.12</f>
        <v>68753837.12</v>
      </c>
      <c r="D19" s="21">
        <f>31676952.93</f>
        <v>31676952.93</v>
      </c>
      <c r="E19" s="21">
        <f>31665095.45</f>
        <v>31665095.45</v>
      </c>
      <c r="F19" s="31">
        <f t="shared" si="0"/>
        <v>0.298944576906673</v>
      </c>
      <c r="G19" s="31">
        <f t="shared" si="1"/>
        <v>46.072996441947524</v>
      </c>
      <c r="H19" s="26"/>
      <c r="I19" s="34"/>
      <c r="J19" s="34"/>
      <c r="K19" s="34"/>
      <c r="L19" s="34"/>
      <c r="M19" s="34"/>
    </row>
    <row r="20" spans="2:13" ht="11.25" customHeight="1">
      <c r="B20" s="78" t="s">
        <v>6</v>
      </c>
      <c r="C20" s="21">
        <f>16927308.12</f>
        <v>16927308.12</v>
      </c>
      <c r="D20" s="21">
        <f>7122085.18</f>
        <v>7122085.18</v>
      </c>
      <c r="E20" s="21">
        <f>7122085.18</f>
        <v>7122085.18</v>
      </c>
      <c r="F20" s="31">
        <f t="shared" si="0"/>
        <v>0.06721318005343849</v>
      </c>
      <c r="G20" s="31">
        <f t="shared" si="1"/>
        <v>42.074529095297166</v>
      </c>
      <c r="H20" s="26"/>
      <c r="I20" s="34"/>
      <c r="J20" s="34"/>
      <c r="K20" s="34"/>
      <c r="L20" s="34"/>
      <c r="M20" s="34"/>
    </row>
    <row r="21" spans="2:13" ht="45" customHeight="1">
      <c r="B21" s="29" t="s">
        <v>61</v>
      </c>
      <c r="C21" s="21">
        <f>161513355.24</f>
        <v>161513355.24</v>
      </c>
      <c r="D21" s="21">
        <f>53401837.89</f>
        <v>53401837.89</v>
      </c>
      <c r="E21" s="21">
        <f>53401837.89</f>
        <v>53401837.89</v>
      </c>
      <c r="F21" s="31">
        <f t="shared" si="0"/>
        <v>0.5039686067451813</v>
      </c>
      <c r="G21" s="31">
        <f t="shared" si="1"/>
        <v>33.06341931331176</v>
      </c>
      <c r="H21" s="26"/>
      <c r="I21" s="34"/>
      <c r="J21" s="34"/>
      <c r="K21" s="34"/>
      <c r="L21" s="34"/>
      <c r="M21" s="34"/>
    </row>
    <row r="22" spans="2:13" ht="12.75">
      <c r="B22" s="78" t="s">
        <v>6</v>
      </c>
      <c r="C22" s="21">
        <f>120866181.82</f>
        <v>120866181.82</v>
      </c>
      <c r="D22" s="21">
        <f>35382820.2</f>
        <v>35382820.2</v>
      </c>
      <c r="E22" s="21">
        <f>35382820.2</f>
        <v>35382820.2</v>
      </c>
      <c r="F22" s="31">
        <f t="shared" si="0"/>
        <v>0.333917919372742</v>
      </c>
      <c r="G22" s="31">
        <f t="shared" si="1"/>
        <v>29.274375732902595</v>
      </c>
      <c r="H22" s="26"/>
      <c r="I22" s="34"/>
      <c r="J22" s="34"/>
      <c r="K22" s="34"/>
      <c r="L22" s="34"/>
      <c r="M22" s="34"/>
    </row>
    <row r="23" spans="2:13" ht="21.75" customHeight="1">
      <c r="B23" s="29" t="s">
        <v>8</v>
      </c>
      <c r="C23" s="21">
        <f>57223527.41</f>
        <v>57223527.41</v>
      </c>
      <c r="D23" s="21">
        <f>28337052.79</f>
        <v>28337052.79</v>
      </c>
      <c r="E23" s="21">
        <f>28337052.79</f>
        <v>28337052.79</v>
      </c>
      <c r="F23" s="31">
        <f t="shared" si="0"/>
        <v>0.2674249722127111</v>
      </c>
      <c r="G23" s="31">
        <f t="shared" si="1"/>
        <v>49.519933622700805</v>
      </c>
      <c r="H23" s="26"/>
      <c r="I23" s="34"/>
      <c r="J23" s="34"/>
      <c r="K23" s="34"/>
      <c r="L23" s="34"/>
      <c r="M23" s="34"/>
    </row>
    <row r="24" spans="2:13" ht="12.75">
      <c r="B24" s="78" t="s">
        <v>6</v>
      </c>
      <c r="C24" s="21">
        <f>0</f>
        <v>0</v>
      </c>
      <c r="D24" s="21">
        <f>0</f>
        <v>0</v>
      </c>
      <c r="E24" s="21">
        <f>0</f>
        <v>0</v>
      </c>
      <c r="F24" s="31">
        <f t="shared" si="0"/>
        <v>0</v>
      </c>
      <c r="G24" s="31">
        <f t="shared" si="1"/>
      </c>
      <c r="H24" s="26"/>
      <c r="I24" s="34"/>
      <c r="J24" s="34"/>
      <c r="K24" s="34"/>
      <c r="L24" s="34"/>
      <c r="M24" s="34"/>
    </row>
    <row r="25" spans="2:13" ht="13.5" customHeight="1">
      <c r="B25" s="71" t="s">
        <v>52</v>
      </c>
      <c r="C25" s="72">
        <f>1388374030.88</f>
        <v>1388374030.88</v>
      </c>
      <c r="D25" s="72">
        <f>654550377.76</f>
        <v>654550377.76</v>
      </c>
      <c r="E25" s="72">
        <f>652438325.24</f>
        <v>652438325.24</v>
      </c>
      <c r="F25" s="73">
        <f t="shared" si="0"/>
        <v>6.177181440903388</v>
      </c>
      <c r="G25" s="73">
        <f t="shared" si="1"/>
        <v>47.145103783389196</v>
      </c>
      <c r="H25" s="26"/>
      <c r="I25" s="34"/>
      <c r="J25" s="34"/>
      <c r="K25" s="34"/>
      <c r="L25" s="34"/>
      <c r="M25" s="34"/>
    </row>
    <row r="26" spans="2:13" ht="14.25" customHeight="1">
      <c r="B26" s="28" t="s">
        <v>53</v>
      </c>
      <c r="C26" s="20">
        <f>588299443.94</f>
        <v>588299443.94</v>
      </c>
      <c r="D26" s="20">
        <f>244761999.74</f>
        <v>244761999.74</v>
      </c>
      <c r="E26" s="20">
        <f>244742462.56</f>
        <v>244742462.56</v>
      </c>
      <c r="F26" s="31">
        <f t="shared" si="0"/>
        <v>2.3098898627275735</v>
      </c>
      <c r="G26" s="31">
        <f t="shared" si="1"/>
        <v>41.60500273479146</v>
      </c>
      <c r="H26" s="26"/>
      <c r="I26" s="34"/>
      <c r="J26" s="34"/>
      <c r="K26" s="34"/>
      <c r="L26" s="34"/>
      <c r="M26" s="34"/>
    </row>
    <row r="27" spans="2:13" ht="14.25" customHeight="1">
      <c r="B27" s="71" t="s">
        <v>76</v>
      </c>
      <c r="C27" s="72">
        <f>5903722583.46</f>
        <v>5903722583.46</v>
      </c>
      <c r="D27" s="72">
        <f>2331035345.33</f>
        <v>2331035345.33</v>
      </c>
      <c r="E27" s="72">
        <f>2328326007.51</f>
        <v>2328326007.51</v>
      </c>
      <c r="F27" s="77">
        <f t="shared" si="0"/>
        <v>21.998655508441203</v>
      </c>
      <c r="G27" s="77">
        <f t="shared" si="1"/>
        <v>39.48416126226324</v>
      </c>
      <c r="H27" s="26"/>
      <c r="I27" s="34"/>
      <c r="J27" s="34"/>
      <c r="K27" s="34"/>
      <c r="L27" s="34"/>
      <c r="M27" s="34"/>
    </row>
    <row r="28" spans="2:13" ht="14.25" customHeight="1">
      <c r="B28" s="28" t="s">
        <v>77</v>
      </c>
      <c r="C28" s="20">
        <f>3616971653.29</f>
        <v>3616971653.29</v>
      </c>
      <c r="D28" s="20">
        <f>1272758148.22</f>
        <v>1272758148.22</v>
      </c>
      <c r="E28" s="20">
        <f>1272630046.6</f>
        <v>1272630046.6</v>
      </c>
      <c r="F28" s="31">
        <f t="shared" si="0"/>
        <v>12.011387173663628</v>
      </c>
      <c r="G28" s="31">
        <f>IF(C27=0,"",100*D28/C28)</f>
        <v>35.18850215655681</v>
      </c>
      <c r="H28" s="26"/>
      <c r="I28" s="34"/>
      <c r="J28" s="34"/>
      <c r="K28" s="34"/>
      <c r="L28" s="34"/>
      <c r="M28" s="34"/>
    </row>
    <row r="29" spans="2:13" s="5" customFormat="1" ht="22.5" customHeight="1">
      <c r="B29" s="55" t="s">
        <v>45</v>
      </c>
      <c r="C29" s="22">
        <f>C30+C31+C32+C33</f>
        <v>3040860570</v>
      </c>
      <c r="D29" s="22">
        <f>D30+D31+D32+D33</f>
        <v>1719815135</v>
      </c>
      <c r="E29" s="22">
        <f>E30+E31+E32+E33</f>
        <v>1673116984</v>
      </c>
      <c r="F29" s="30">
        <f t="shared" si="0"/>
        <v>16.230393403885635</v>
      </c>
      <c r="G29" s="30">
        <f t="shared" si="1"/>
        <v>56.55685604157773</v>
      </c>
      <c r="H29" s="27"/>
      <c r="I29" s="56"/>
      <c r="J29" s="56"/>
      <c r="K29" s="56"/>
      <c r="L29" s="56"/>
      <c r="M29" s="56"/>
    </row>
    <row r="30" spans="2:13" ht="12.75">
      <c r="B30" s="29" t="s">
        <v>32</v>
      </c>
      <c r="C30" s="21">
        <f>638730265</f>
        <v>638730265</v>
      </c>
      <c r="D30" s="21">
        <f>393064768</f>
        <v>393064768</v>
      </c>
      <c r="E30" s="21">
        <f>346366617</f>
        <v>346366617</v>
      </c>
      <c r="F30" s="31">
        <f t="shared" si="0"/>
        <v>3.709466028072277</v>
      </c>
      <c r="G30" s="31">
        <f t="shared" si="1"/>
        <v>61.53845990059669</v>
      </c>
      <c r="H30" s="27"/>
      <c r="I30" s="34"/>
      <c r="J30" s="34"/>
      <c r="K30" s="34"/>
      <c r="L30" s="34"/>
      <c r="M30" s="34"/>
    </row>
    <row r="31" spans="2:13" ht="12.75">
      <c r="B31" s="29" t="s">
        <v>43</v>
      </c>
      <c r="C31" s="21">
        <f>533337231</f>
        <v>533337231</v>
      </c>
      <c r="D31" s="21">
        <f>266668620</f>
        <v>266668620</v>
      </c>
      <c r="E31" s="21">
        <f>266668620</f>
        <v>266668620</v>
      </c>
      <c r="F31" s="31">
        <f t="shared" si="0"/>
        <v>2.5166289812138936</v>
      </c>
      <c r="G31" s="31">
        <f t="shared" si="1"/>
        <v>50.000000843743834</v>
      </c>
      <c r="H31" s="27"/>
      <c r="I31" s="34"/>
      <c r="J31" s="34"/>
      <c r="K31" s="34"/>
      <c r="L31" s="34"/>
      <c r="M31" s="34"/>
    </row>
    <row r="32" spans="2:13" ht="12.75">
      <c r="B32" s="29" t="s">
        <v>33</v>
      </c>
      <c r="C32" s="21">
        <f>1576054926</f>
        <v>1576054926</v>
      </c>
      <c r="D32" s="21">
        <f>788027466</f>
        <v>788027466</v>
      </c>
      <c r="E32" s="21">
        <f>788027466</f>
        <v>788027466</v>
      </c>
      <c r="F32" s="31">
        <f t="shared" si="0"/>
        <v>7.436843371102855</v>
      </c>
      <c r="G32" s="31">
        <f t="shared" si="1"/>
        <v>50.00000019034869</v>
      </c>
      <c r="H32" s="27"/>
      <c r="I32" s="34"/>
      <c r="J32" s="34"/>
      <c r="K32" s="34"/>
      <c r="L32" s="34"/>
      <c r="M32" s="34"/>
    </row>
    <row r="33" spans="2:13" s="5" customFormat="1" ht="14.25" customHeight="1">
      <c r="B33" s="29" t="s">
        <v>31</v>
      </c>
      <c r="C33" s="21">
        <f>292738148</f>
        <v>292738148</v>
      </c>
      <c r="D33" s="21">
        <f>272054281</f>
        <v>272054281</v>
      </c>
      <c r="E33" s="21">
        <f>272054281</f>
        <v>272054281</v>
      </c>
      <c r="F33" s="31">
        <f t="shared" si="0"/>
        <v>2.567455023496609</v>
      </c>
      <c r="G33" s="31">
        <f t="shared" si="1"/>
        <v>92.93434520191062</v>
      </c>
      <c r="H33" s="27"/>
      <c r="I33" s="56"/>
      <c r="J33" s="56"/>
      <c r="K33" s="56"/>
      <c r="L33" s="56"/>
      <c r="M33" s="56"/>
    </row>
    <row r="34" spans="2:13" s="5" customFormat="1" ht="12.75">
      <c r="B34" s="79" t="s">
        <v>60</v>
      </c>
      <c r="C34" s="76">
        <f>+C5</f>
        <v>21208704526.33</v>
      </c>
      <c r="D34" s="76">
        <f>+D5</f>
        <v>10596262778.13</v>
      </c>
      <c r="E34" s="76">
        <f>+E5</f>
        <v>10460088033.31</v>
      </c>
      <c r="F34" s="77">
        <f>IF($D$5=0,"",100*$D34/$D$34)</f>
        <v>100</v>
      </c>
      <c r="G34" s="77">
        <f t="shared" si="1"/>
        <v>49.961857712596455</v>
      </c>
      <c r="H34" s="77"/>
      <c r="I34" s="56"/>
      <c r="J34" s="56"/>
      <c r="K34" s="56"/>
      <c r="L34" s="56"/>
      <c r="M34" s="56"/>
    </row>
    <row r="35" spans="2:13" s="5" customFormat="1" ht="12.75">
      <c r="B35" s="29" t="s">
        <v>54</v>
      </c>
      <c r="C35" s="21">
        <f>4759864373.16</f>
        <v>4759864373.16</v>
      </c>
      <c r="D35" s="21">
        <f>1672990668.18</f>
        <v>1672990668.18</v>
      </c>
      <c r="E35" s="21">
        <f>1672843029.38</f>
        <v>1672843029.38</v>
      </c>
      <c r="F35" s="31">
        <f>IF($D$5=0,"",100*$D35/$D$34)</f>
        <v>15.788497352415085</v>
      </c>
      <c r="G35" s="31">
        <f t="shared" si="1"/>
        <v>35.14786424616816</v>
      </c>
      <c r="H35" s="31">
        <f>IF($D$6=0,"",100*$D35/$D$6)</f>
        <v>31.048329344185788</v>
      </c>
      <c r="I35" s="56"/>
      <c r="J35" s="56"/>
      <c r="K35" s="56"/>
      <c r="L35" s="56"/>
      <c r="M35" s="56"/>
    </row>
    <row r="36" spans="1:13" s="5" customFormat="1" ht="12.75">
      <c r="A36" s="2"/>
      <c r="B36" s="29" t="s">
        <v>55</v>
      </c>
      <c r="C36" s="21">
        <f>C34-C35</f>
        <v>16448840153.170002</v>
      </c>
      <c r="D36" s="21">
        <f>D34-D35</f>
        <v>8923272109.949999</v>
      </c>
      <c r="E36" s="21">
        <f>E34-E35</f>
        <v>8787245003.93</v>
      </c>
      <c r="F36" s="31">
        <f>IF($D$5=0,"",100*$D36/$D$34)</f>
        <v>84.21150264758491</v>
      </c>
      <c r="G36" s="31">
        <f t="shared" si="1"/>
        <v>54.24864018895774</v>
      </c>
      <c r="H36" s="31">
        <f>IF($D$6=0,"",100*$D36/$D$6)</f>
        <v>165.60324965764042</v>
      </c>
      <c r="I36" s="57"/>
      <c r="J36" s="57"/>
      <c r="K36" s="58"/>
      <c r="L36" s="58"/>
      <c r="M36" s="19"/>
    </row>
    <row r="37" spans="2:13" ht="21.75" customHeight="1">
      <c r="B37" s="107" t="s">
        <v>96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2:13" s="5" customFormat="1" ht="4.5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99" t="s">
        <v>0</v>
      </c>
      <c r="C39" s="100" t="s">
        <v>39</v>
      </c>
      <c r="D39" s="100" t="s">
        <v>40</v>
      </c>
      <c r="E39" s="100" t="s">
        <v>41</v>
      </c>
      <c r="F39" s="100" t="s">
        <v>12</v>
      </c>
      <c r="G39" s="100"/>
      <c r="H39" s="100"/>
      <c r="I39" s="100" t="s">
        <v>78</v>
      </c>
      <c r="J39" s="100"/>
      <c r="K39" s="100" t="s">
        <v>2</v>
      </c>
      <c r="L39" s="98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99"/>
      <c r="C40" s="100"/>
      <c r="D40" s="101"/>
      <c r="E40" s="100"/>
      <c r="F40" s="93" t="s">
        <v>42</v>
      </c>
      <c r="G40" s="108" t="s">
        <v>25</v>
      </c>
      <c r="H40" s="101"/>
      <c r="I40" s="100"/>
      <c r="J40" s="100"/>
      <c r="K40" s="100"/>
      <c r="L40" s="98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99"/>
      <c r="C41" s="100"/>
      <c r="D41" s="101"/>
      <c r="E41" s="100"/>
      <c r="F41" s="101"/>
      <c r="G41" s="15" t="s">
        <v>37</v>
      </c>
      <c r="H41" s="15" t="s">
        <v>38</v>
      </c>
      <c r="I41" s="100"/>
      <c r="J41" s="100"/>
      <c r="K41" s="100"/>
      <c r="L41" s="98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99"/>
      <c r="C42" s="92" t="s">
        <v>59</v>
      </c>
      <c r="D42" s="92"/>
      <c r="E42" s="92"/>
      <c r="F42" s="92"/>
      <c r="G42" s="92"/>
      <c r="H42" s="92"/>
      <c r="I42" s="92"/>
      <c r="J42" s="92"/>
      <c r="K42" s="92" t="s">
        <v>4</v>
      </c>
      <c r="L42" s="9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4">
        <v>1</v>
      </c>
      <c r="C43" s="16">
        <v>2</v>
      </c>
      <c r="D43" s="16">
        <v>3</v>
      </c>
      <c r="E43" s="16">
        <v>4</v>
      </c>
      <c r="F43" s="14">
        <v>5</v>
      </c>
      <c r="G43" s="14">
        <v>6</v>
      </c>
      <c r="H43" s="16">
        <v>7</v>
      </c>
      <c r="I43" s="101">
        <v>8</v>
      </c>
      <c r="J43" s="101"/>
      <c r="K43" s="14">
        <v>9</v>
      </c>
      <c r="L43" s="16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3" ht="25.5" customHeight="1">
      <c r="B44" s="71" t="s">
        <v>46</v>
      </c>
      <c r="C44" s="80">
        <f>23372721105.96</f>
        <v>23372721105.96</v>
      </c>
      <c r="D44" s="80">
        <f>16019125360.84</f>
        <v>16019125360.84</v>
      </c>
      <c r="E44" s="80">
        <f>7408302286.08</f>
        <v>7408302286.08</v>
      </c>
      <c r="F44" s="80">
        <f>472437830.68</f>
        <v>472437830.68</v>
      </c>
      <c r="G44" s="80">
        <f>54282.85</f>
        <v>54282.85</v>
      </c>
      <c r="H44" s="80">
        <f>854094.62</f>
        <v>854094.62</v>
      </c>
      <c r="I44" s="105">
        <f>0</f>
        <v>0</v>
      </c>
      <c r="J44" s="105"/>
      <c r="K44" s="54">
        <f aca="true" t="shared" si="2" ref="K44:K53">IF($E$44=0,"",100*$E44/$E$44)</f>
        <v>100</v>
      </c>
      <c r="L44" s="54">
        <f aca="true" t="shared" si="3" ref="L44:L53">IF(C44=0,"",100*E44/C44)</f>
        <v>31.696361978969136</v>
      </c>
      <c r="M44" s="34"/>
    </row>
    <row r="45" spans="2:13" ht="12.75">
      <c r="B45" s="55" t="s">
        <v>14</v>
      </c>
      <c r="C45" s="23">
        <f>9229486510.48</f>
        <v>9229486510.48</v>
      </c>
      <c r="D45" s="23">
        <f>6282519391.7</f>
        <v>6282519391.7</v>
      </c>
      <c r="E45" s="23">
        <f>1928434254.22</f>
        <v>1928434254.22</v>
      </c>
      <c r="F45" s="23">
        <f>183183764.87</f>
        <v>183183764.87</v>
      </c>
      <c r="G45" s="23">
        <f>54282.85</f>
        <v>54282.85</v>
      </c>
      <c r="H45" s="23">
        <f>852035</f>
        <v>852035</v>
      </c>
      <c r="I45" s="104">
        <f>0</f>
        <v>0</v>
      </c>
      <c r="J45" s="106"/>
      <c r="K45" s="32">
        <f t="shared" si="2"/>
        <v>26.030717696866606</v>
      </c>
      <c r="L45" s="32">
        <f t="shared" si="3"/>
        <v>20.89427458429329</v>
      </c>
      <c r="M45" s="34"/>
    </row>
    <row r="46" spans="2:13" ht="22.5" customHeight="1">
      <c r="B46" s="17" t="s">
        <v>13</v>
      </c>
      <c r="C46" s="20">
        <f>8951304067.48</f>
        <v>8951304067.48</v>
      </c>
      <c r="D46" s="20">
        <f>6168790453.94</f>
        <v>6168790453.94</v>
      </c>
      <c r="E46" s="20">
        <f>1859380809.67</f>
        <v>1859380809.67</v>
      </c>
      <c r="F46" s="20">
        <f>181383764.87</f>
        <v>181383764.87</v>
      </c>
      <c r="G46" s="20">
        <f>54282.85</f>
        <v>54282.85</v>
      </c>
      <c r="H46" s="20">
        <f>852035</f>
        <v>852035</v>
      </c>
      <c r="I46" s="102">
        <f>0</f>
        <v>0</v>
      </c>
      <c r="J46" s="103"/>
      <c r="K46" s="33">
        <f t="shared" si="2"/>
        <v>25.098608802231603</v>
      </c>
      <c r="L46" s="33">
        <f t="shared" si="3"/>
        <v>20.772177949189686</v>
      </c>
      <c r="M46" s="34"/>
    </row>
    <row r="47" spans="2:13" ht="25.5" customHeight="1">
      <c r="B47" s="55" t="s">
        <v>47</v>
      </c>
      <c r="C47" s="23">
        <f aca="true" t="shared" si="4" ref="C47:I47">C44-C45</f>
        <v>14143234595.48</v>
      </c>
      <c r="D47" s="23">
        <f t="shared" si="4"/>
        <v>9736605969.14</v>
      </c>
      <c r="E47" s="23">
        <f t="shared" si="4"/>
        <v>5479868031.86</v>
      </c>
      <c r="F47" s="23">
        <f t="shared" si="4"/>
        <v>289254065.81</v>
      </c>
      <c r="G47" s="23">
        <f t="shared" si="4"/>
        <v>0</v>
      </c>
      <c r="H47" s="23">
        <f t="shared" si="4"/>
        <v>2059.6199999999953</v>
      </c>
      <c r="I47" s="104">
        <f t="shared" si="4"/>
        <v>0</v>
      </c>
      <c r="J47" s="104"/>
      <c r="K47" s="32">
        <f t="shared" si="2"/>
        <v>73.96928230313338</v>
      </c>
      <c r="L47" s="32">
        <f t="shared" si="3"/>
        <v>38.74550757725037</v>
      </c>
      <c r="M47" s="34"/>
    </row>
    <row r="48" spans="2:13" ht="22.5">
      <c r="B48" s="17" t="s">
        <v>95</v>
      </c>
      <c r="C48" s="20">
        <f>3372960572.43</f>
        <v>3372960572.43</v>
      </c>
      <c r="D48" s="20">
        <f>2884833600.49</f>
        <v>2884833600.49</v>
      </c>
      <c r="E48" s="20">
        <f>1543684024.03</f>
        <v>1543684024.03</v>
      </c>
      <c r="F48" s="20">
        <f>35721054.65</f>
        <v>35721054.65</v>
      </c>
      <c r="G48" s="20">
        <f>0</f>
        <v>0</v>
      </c>
      <c r="H48" s="20">
        <f>0</f>
        <v>0</v>
      </c>
      <c r="I48" s="102">
        <f>0</f>
        <v>0</v>
      </c>
      <c r="J48" s="103"/>
      <c r="K48" s="33">
        <f t="shared" si="2"/>
        <v>20.837217008956838</v>
      </c>
      <c r="L48" s="33">
        <f t="shared" si="3"/>
        <v>45.76644140603978</v>
      </c>
      <c r="M48" s="34"/>
    </row>
    <row r="49" spans="2:13" ht="12.75">
      <c r="B49" s="29" t="s">
        <v>36</v>
      </c>
      <c r="C49" s="81">
        <f>6183032258.87</f>
        <v>6183032258.87</v>
      </c>
      <c r="D49" s="81">
        <f>4601306451.2</f>
        <v>4601306451.2</v>
      </c>
      <c r="E49" s="81">
        <f>2597812717.87</f>
        <v>2597812717.87</v>
      </c>
      <c r="F49" s="81">
        <f>43233029.96</f>
        <v>43233029.96</v>
      </c>
      <c r="G49" s="81">
        <f>0</f>
        <v>0</v>
      </c>
      <c r="H49" s="81">
        <f>0</f>
        <v>0</v>
      </c>
      <c r="I49" s="109">
        <f>0</f>
        <v>0</v>
      </c>
      <c r="J49" s="109"/>
      <c r="K49" s="82">
        <f t="shared" si="2"/>
        <v>35.06623538771116</v>
      </c>
      <c r="L49" s="82">
        <f t="shared" si="3"/>
        <v>42.015189458913994</v>
      </c>
      <c r="M49" s="34"/>
    </row>
    <row r="50" spans="2:13" ht="12.75">
      <c r="B50" s="29" t="s">
        <v>35</v>
      </c>
      <c r="C50" s="21">
        <f>166065958.47</f>
        <v>166065958.47</v>
      </c>
      <c r="D50" s="21">
        <f>81572562.65</f>
        <v>81572562.65</v>
      </c>
      <c r="E50" s="21">
        <f>65594216.68</f>
        <v>65594216.68</v>
      </c>
      <c r="F50" s="21">
        <f>973466.13</f>
        <v>973466.13</v>
      </c>
      <c r="G50" s="21">
        <f>0</f>
        <v>0</v>
      </c>
      <c r="H50" s="21">
        <f>0</f>
        <v>0</v>
      </c>
      <c r="I50" s="110">
        <f>0</f>
        <v>0</v>
      </c>
      <c r="J50" s="110"/>
      <c r="K50" s="82">
        <f t="shared" si="2"/>
        <v>0.8854149594199168</v>
      </c>
      <c r="L50" s="82">
        <f t="shared" si="3"/>
        <v>39.49889386381958</v>
      </c>
      <c r="M50" s="34"/>
    </row>
    <row r="51" spans="2:13" ht="22.5" customHeight="1">
      <c r="B51" s="29" t="s">
        <v>50</v>
      </c>
      <c r="C51" s="81">
        <f>135611077.4</f>
        <v>135611077.4</v>
      </c>
      <c r="D51" s="81">
        <f>20063866.18</f>
        <v>20063866.18</v>
      </c>
      <c r="E51" s="81">
        <f>4721485.49</f>
        <v>4721485.49</v>
      </c>
      <c r="F51" s="81">
        <f>0</f>
        <v>0</v>
      </c>
      <c r="G51" s="81">
        <f>0</f>
        <v>0</v>
      </c>
      <c r="H51" s="81">
        <f>0</f>
        <v>0</v>
      </c>
      <c r="I51" s="109">
        <f>0</f>
        <v>0</v>
      </c>
      <c r="J51" s="109"/>
      <c r="K51" s="82">
        <f t="shared" si="2"/>
        <v>0.0637323546971287</v>
      </c>
      <c r="L51" s="82">
        <f t="shared" si="3"/>
        <v>3.4816370318137446</v>
      </c>
      <c r="M51" s="34"/>
    </row>
    <row r="52" spans="2:13" ht="22.5">
      <c r="B52" s="29" t="s">
        <v>51</v>
      </c>
      <c r="C52" s="81">
        <f>144406530.92</f>
        <v>144406530.92</v>
      </c>
      <c r="D52" s="81">
        <f>87773608.43</f>
        <v>87773608.43</v>
      </c>
      <c r="E52" s="81">
        <f>52243170.28</f>
        <v>52243170.28</v>
      </c>
      <c r="F52" s="81">
        <f>1566683.65</f>
        <v>1566683.65</v>
      </c>
      <c r="G52" s="81">
        <f>0</f>
        <v>0</v>
      </c>
      <c r="H52" s="81">
        <f>0</f>
        <v>0</v>
      </c>
      <c r="I52" s="111">
        <f>0</f>
        <v>0</v>
      </c>
      <c r="J52" s="112"/>
      <c r="K52" s="82">
        <f t="shared" si="2"/>
        <v>0.7051976048299691</v>
      </c>
      <c r="L52" s="82">
        <f t="shared" si="3"/>
        <v>36.1778445525724</v>
      </c>
      <c r="M52" s="34"/>
    </row>
    <row r="53" spans="2:13" ht="12.75">
      <c r="B53" s="29" t="s">
        <v>34</v>
      </c>
      <c r="C53" s="21">
        <f aca="true" t="shared" si="5" ref="C53:I53">C47-C48-C49-C50-C51-C52</f>
        <v>4141158197.389999</v>
      </c>
      <c r="D53" s="21">
        <f t="shared" si="5"/>
        <v>2061055880.1899998</v>
      </c>
      <c r="E53" s="21">
        <f t="shared" si="5"/>
        <v>1215812417.51</v>
      </c>
      <c r="F53" s="21">
        <f t="shared" si="5"/>
        <v>207759831.42</v>
      </c>
      <c r="G53" s="21">
        <f t="shared" si="5"/>
        <v>0</v>
      </c>
      <c r="H53" s="21">
        <f t="shared" si="5"/>
        <v>2059.6199999999953</v>
      </c>
      <c r="I53" s="111">
        <f t="shared" si="5"/>
        <v>0</v>
      </c>
      <c r="J53" s="112"/>
      <c r="K53" s="82">
        <f t="shared" si="2"/>
        <v>16.411484987518378</v>
      </c>
      <c r="L53" s="82">
        <f t="shared" si="3"/>
        <v>29.359236222278984</v>
      </c>
      <c r="M53" s="34"/>
    </row>
    <row r="54" spans="2:13" ht="12.75">
      <c r="B54" s="55" t="s">
        <v>15</v>
      </c>
      <c r="C54" s="23">
        <f>C5-C44</f>
        <v>-2164016579.6299973</v>
      </c>
      <c r="D54" s="23"/>
      <c r="E54" s="23">
        <f>D5-E44</f>
        <v>3187960492.049999</v>
      </c>
      <c r="F54" s="24"/>
      <c r="G54" s="24"/>
      <c r="H54" s="24"/>
      <c r="I54" s="113"/>
      <c r="J54" s="113"/>
      <c r="K54" s="25"/>
      <c r="L54" s="25"/>
      <c r="M54" s="59"/>
    </row>
    <row r="55" spans="2:13" ht="33.75">
      <c r="B55" s="60" t="s">
        <v>79</v>
      </c>
      <c r="C55" s="23">
        <f>+C36-C47</f>
        <v>2305605557.6900024</v>
      </c>
      <c r="D55" s="61"/>
      <c r="E55" s="23">
        <f>+D36-E47</f>
        <v>3443404078.089999</v>
      </c>
      <c r="F55" s="62"/>
      <c r="G55" s="62"/>
      <c r="H55" s="62"/>
      <c r="I55" s="117"/>
      <c r="J55" s="118"/>
      <c r="K55" s="34"/>
      <c r="L55" s="63"/>
      <c r="M55" s="63"/>
    </row>
    <row r="56" spans="2:13" ht="6.75" customHeight="1" thickBot="1">
      <c r="B56" s="64"/>
      <c r="C56" s="65"/>
      <c r="D56" s="65"/>
      <c r="E56" s="65"/>
      <c r="F56" s="18"/>
      <c r="G56" s="18"/>
      <c r="H56" s="18"/>
      <c r="I56" s="18"/>
      <c r="J56" s="34"/>
      <c r="K56" s="34"/>
      <c r="L56" s="63"/>
      <c r="M56" s="63"/>
    </row>
    <row r="57" spans="2:13" ht="12" customHeight="1" thickBot="1">
      <c r="B57" s="66" t="s">
        <v>56</v>
      </c>
      <c r="C57" s="65"/>
      <c r="D57" s="65"/>
      <c r="E57" s="65"/>
      <c r="F57" s="18"/>
      <c r="G57" s="18"/>
      <c r="H57" s="18"/>
      <c r="I57" s="18"/>
      <c r="J57" s="34"/>
      <c r="K57" s="34"/>
      <c r="L57" s="63"/>
      <c r="M57" s="63"/>
    </row>
    <row r="58" spans="2:13" ht="23.25" customHeight="1">
      <c r="B58" s="84" t="s">
        <v>80</v>
      </c>
      <c r="C58" s="23">
        <f>9104202227.54</f>
        <v>9104202227.54</v>
      </c>
      <c r="D58" s="23">
        <f>6144832015.73</f>
        <v>6144832015.73</v>
      </c>
      <c r="E58" s="23">
        <f>2488875693.07</f>
        <v>2488875693.07</v>
      </c>
      <c r="F58" s="23">
        <f>194031669.18</f>
        <v>194031669.18</v>
      </c>
      <c r="G58" s="23">
        <f>216.66</f>
        <v>216.66</v>
      </c>
      <c r="H58" s="23">
        <f>484500</f>
        <v>484500</v>
      </c>
      <c r="I58" s="119">
        <f>0</f>
        <v>0</v>
      </c>
      <c r="J58" s="120"/>
      <c r="K58" s="33">
        <f>IF($E$44=0,"",100*$E58/$E$58)</f>
        <v>100</v>
      </c>
      <c r="L58" s="33">
        <f>IF(C58=0,"",100*E58/C58)</f>
        <v>27.337658268850937</v>
      </c>
      <c r="M58" s="63"/>
    </row>
    <row r="59" spans="2:13" ht="12.75">
      <c r="B59" s="83" t="s">
        <v>57</v>
      </c>
      <c r="C59" s="81">
        <f>5658775782.56</f>
        <v>5658775782.56</v>
      </c>
      <c r="D59" s="81">
        <f>4076761413.89</f>
        <v>4076761413.89</v>
      </c>
      <c r="E59" s="81">
        <f>1376598938.58</f>
        <v>1376598938.58</v>
      </c>
      <c r="F59" s="81">
        <f>139744598.35</f>
        <v>139744598.35</v>
      </c>
      <c r="G59" s="81">
        <f>216.66</f>
        <v>216.66</v>
      </c>
      <c r="H59" s="81">
        <f>484500</f>
        <v>484500</v>
      </c>
      <c r="I59" s="111">
        <f>0</f>
        <v>0</v>
      </c>
      <c r="J59" s="112"/>
      <c r="K59" s="82">
        <f>IF($E$44=0,"",100*$E59/$E$58)</f>
        <v>55.31007203023389</v>
      </c>
      <c r="L59" s="82">
        <f>IF(C59=0,"",100*E59/C59)</f>
        <v>24.326797729335617</v>
      </c>
      <c r="M59" s="34"/>
    </row>
    <row r="60" spans="2:13" ht="12.75" customHeight="1">
      <c r="B60" s="83" t="s">
        <v>58</v>
      </c>
      <c r="C60" s="81">
        <f aca="true" t="shared" si="6" ref="C60:I60">C58-C59</f>
        <v>3445426444.9800005</v>
      </c>
      <c r="D60" s="81">
        <f t="shared" si="6"/>
        <v>2068070601.8399997</v>
      </c>
      <c r="E60" s="81">
        <f t="shared" si="6"/>
        <v>1112276754.4900002</v>
      </c>
      <c r="F60" s="81">
        <f t="shared" si="6"/>
        <v>54287070.83000001</v>
      </c>
      <c r="G60" s="81">
        <f t="shared" si="6"/>
        <v>0</v>
      </c>
      <c r="H60" s="81">
        <f t="shared" si="6"/>
        <v>0</v>
      </c>
      <c r="I60" s="121">
        <f t="shared" si="6"/>
        <v>0</v>
      </c>
      <c r="J60" s="122"/>
      <c r="K60" s="82">
        <f>IF($E$44=0,"",100*$E60/$E$58)</f>
        <v>44.68992796976612</v>
      </c>
      <c r="L60" s="82">
        <f>IF(C60=0,"",100*E60/C60)</f>
        <v>32.2827020762725</v>
      </c>
      <c r="M60" s="34"/>
    </row>
    <row r="61" spans="2:13" ht="23.25" customHeight="1">
      <c r="B61" s="107" t="s">
        <v>96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</row>
    <row r="62" ht="6" customHeight="1"/>
    <row r="63" spans="2:8" ht="12.75">
      <c r="B63" s="37" t="s">
        <v>16</v>
      </c>
      <c r="C63" s="114" t="s">
        <v>17</v>
      </c>
      <c r="D63" s="115"/>
      <c r="E63" s="114" t="s">
        <v>1</v>
      </c>
      <c r="F63" s="115"/>
      <c r="G63" s="16" t="s">
        <v>22</v>
      </c>
      <c r="H63" s="16" t="s">
        <v>23</v>
      </c>
    </row>
    <row r="64" spans="2:8" ht="12.75">
      <c r="B64" s="37"/>
      <c r="C64" s="93" t="s">
        <v>59</v>
      </c>
      <c r="D64" s="94"/>
      <c r="E64" s="94"/>
      <c r="F64" s="95"/>
      <c r="G64" s="96" t="s">
        <v>4</v>
      </c>
      <c r="H64" s="97"/>
    </row>
    <row r="65" spans="2:8" ht="12.75">
      <c r="B65" s="35">
        <v>1</v>
      </c>
      <c r="C65" s="67">
        <v>2</v>
      </c>
      <c r="D65" s="68"/>
      <c r="E65" s="67">
        <v>3</v>
      </c>
      <c r="F65" s="68"/>
      <c r="G65" s="36">
        <v>4</v>
      </c>
      <c r="H65" s="36">
        <v>5</v>
      </c>
    </row>
    <row r="66" spans="2:8" ht="22.5">
      <c r="B66" s="69" t="s">
        <v>48</v>
      </c>
      <c r="C66" s="40">
        <f>3177580660.63</f>
        <v>3177580660.63</v>
      </c>
      <c r="D66" s="41"/>
      <c r="E66" s="40">
        <f>1666257134.01</f>
        <v>1666257134.01</v>
      </c>
      <c r="F66" s="41"/>
      <c r="G66" s="39">
        <f>IF($E$66=0,"",100*$E66/$E$66)</f>
        <v>100</v>
      </c>
      <c r="H66" s="32">
        <f>IF(C66=0,"",100*E66/C66)</f>
        <v>52.43791777356931</v>
      </c>
    </row>
    <row r="67" spans="2:8" ht="33.75">
      <c r="B67" s="38" t="s">
        <v>83</v>
      </c>
      <c r="C67" s="42">
        <f>1916443372.61</f>
        <v>1916443372.61</v>
      </c>
      <c r="D67" s="43"/>
      <c r="E67" s="42">
        <f>62870172.89</f>
        <v>62870172.89</v>
      </c>
      <c r="F67" s="43"/>
      <c r="G67" s="52">
        <f aca="true" t="shared" si="7" ref="G67:G73">IF($E$66=0,"",100*$E67/$E$66)</f>
        <v>3.7731375072163793</v>
      </c>
      <c r="H67" s="53">
        <f aca="true" t="shared" si="8" ref="H67:H78">IF(C67=0,"",100*E67/C67)</f>
        <v>3.280565123318893</v>
      </c>
    </row>
    <row r="68" spans="2:8" ht="22.5">
      <c r="B68" s="85" t="s">
        <v>84</v>
      </c>
      <c r="C68" s="86">
        <f>0</f>
        <v>0</v>
      </c>
      <c r="D68" s="87"/>
      <c r="E68" s="86">
        <f>0</f>
        <v>0</v>
      </c>
      <c r="F68" s="87"/>
      <c r="G68" s="88">
        <f t="shared" si="7"/>
        <v>0</v>
      </c>
      <c r="H68" s="89">
        <f t="shared" si="8"/>
      </c>
    </row>
    <row r="69" spans="2:8" ht="12.75">
      <c r="B69" s="90" t="s">
        <v>85</v>
      </c>
      <c r="C69" s="86">
        <f>78801297</f>
        <v>78801297</v>
      </c>
      <c r="D69" s="87"/>
      <c r="E69" s="86">
        <f>26985858.77</f>
        <v>26985858.77</v>
      </c>
      <c r="F69" s="87"/>
      <c r="G69" s="88">
        <f t="shared" si="7"/>
        <v>1.6195494812409934</v>
      </c>
      <c r="H69" s="89">
        <f t="shared" si="8"/>
        <v>34.24545000826573</v>
      </c>
    </row>
    <row r="70" spans="2:8" ht="12.75">
      <c r="B70" s="90" t="s">
        <v>86</v>
      </c>
      <c r="C70" s="86">
        <f>9456960</f>
        <v>9456960</v>
      </c>
      <c r="D70" s="87"/>
      <c r="E70" s="86">
        <f>13813343.39</f>
        <v>13813343.39</v>
      </c>
      <c r="F70" s="87"/>
      <c r="G70" s="88">
        <f t="shared" si="7"/>
        <v>0.829004306001495</v>
      </c>
      <c r="H70" s="89">
        <f t="shared" si="8"/>
        <v>146.06536762342233</v>
      </c>
    </row>
    <row r="71" spans="2:8" ht="12.75">
      <c r="B71" s="90" t="s">
        <v>87</v>
      </c>
      <c r="C71" s="86">
        <f>0</f>
        <v>0</v>
      </c>
      <c r="D71" s="87"/>
      <c r="E71" s="86">
        <f>0</f>
        <v>0</v>
      </c>
      <c r="F71" s="87"/>
      <c r="G71" s="88">
        <f t="shared" si="7"/>
        <v>0</v>
      </c>
      <c r="H71" s="89">
        <f t="shared" si="8"/>
      </c>
    </row>
    <row r="72" spans="2:8" ht="33.75">
      <c r="B72" s="90" t="s">
        <v>91</v>
      </c>
      <c r="C72" s="86">
        <f>702343484.02</f>
        <v>702343484.02</v>
      </c>
      <c r="D72" s="87"/>
      <c r="E72" s="86">
        <f>1263812529.89</f>
        <v>1263812529.89</v>
      </c>
      <c r="F72" s="87"/>
      <c r="G72" s="88">
        <f t="shared" si="7"/>
        <v>75.84738898302687</v>
      </c>
      <c r="H72" s="89">
        <f t="shared" si="8"/>
        <v>179.94223035377541</v>
      </c>
    </row>
    <row r="73" spans="2:8" ht="12.75">
      <c r="B73" s="85" t="s">
        <v>62</v>
      </c>
      <c r="C73" s="86">
        <f>300000000</f>
        <v>300000000</v>
      </c>
      <c r="D73" s="87"/>
      <c r="E73" s="86">
        <f>100000000</f>
        <v>100000000</v>
      </c>
      <c r="F73" s="87"/>
      <c r="G73" s="88">
        <f t="shared" si="7"/>
        <v>6.001474679921752</v>
      </c>
      <c r="H73" s="89">
        <f t="shared" si="8"/>
        <v>33.333333333333336</v>
      </c>
    </row>
    <row r="74" spans="2:8" ht="22.5">
      <c r="B74" s="69" t="s">
        <v>49</v>
      </c>
      <c r="C74" s="49">
        <f>1013514601</f>
        <v>1013514601</v>
      </c>
      <c r="D74" s="50"/>
      <c r="E74" s="49">
        <f>382786897.84</f>
        <v>382786897.84</v>
      </c>
      <c r="F74" s="50"/>
      <c r="G74" s="39">
        <f>IF($E$74=0,"",100*$E74/$E$74)</f>
        <v>100</v>
      </c>
      <c r="H74" s="32">
        <f t="shared" si="8"/>
        <v>37.76826672870004</v>
      </c>
    </row>
    <row r="75" spans="2:8" ht="33.75">
      <c r="B75" s="38" t="s">
        <v>88</v>
      </c>
      <c r="C75" s="42">
        <f>698287377</f>
        <v>698287377</v>
      </c>
      <c r="D75" s="47"/>
      <c r="E75" s="48">
        <f>268176697.84</f>
        <v>268176697.84</v>
      </c>
      <c r="F75" s="47"/>
      <c r="G75" s="52">
        <f>IF($E$74=0,"",100*$E75/$E$74)</f>
        <v>70.05900655254257</v>
      </c>
      <c r="H75" s="53">
        <f t="shared" si="8"/>
        <v>38.404918472412824</v>
      </c>
    </row>
    <row r="76" spans="2:8" ht="22.5">
      <c r="B76" s="90" t="s">
        <v>89</v>
      </c>
      <c r="C76" s="86">
        <f>1750000</f>
        <v>1750000</v>
      </c>
      <c r="D76" s="87"/>
      <c r="E76" s="86">
        <f>0</f>
        <v>0</v>
      </c>
      <c r="F76" s="87"/>
      <c r="G76" s="88">
        <f>IF($E$74=0,"",100*$E76/$E$74)</f>
        <v>0</v>
      </c>
      <c r="H76" s="89">
        <f t="shared" si="8"/>
        <v>0</v>
      </c>
    </row>
    <row r="77" spans="2:8" ht="12.75">
      <c r="B77" s="90" t="s">
        <v>90</v>
      </c>
      <c r="C77" s="86">
        <f>15227224</f>
        <v>15227224</v>
      </c>
      <c r="D77" s="87"/>
      <c r="E77" s="86">
        <f>14610200</f>
        <v>14610200</v>
      </c>
      <c r="F77" s="87"/>
      <c r="G77" s="88">
        <f>IF($E$74=0,"",100*$E77/$E$74)</f>
        <v>3.8167973048301347</v>
      </c>
      <c r="H77" s="89">
        <f t="shared" si="8"/>
        <v>95.94788912279743</v>
      </c>
    </row>
    <row r="78" spans="2:8" ht="12.75">
      <c r="B78" s="90" t="s">
        <v>24</v>
      </c>
      <c r="C78" s="86">
        <f>300000000</f>
        <v>300000000</v>
      </c>
      <c r="D78" s="87"/>
      <c r="E78" s="86">
        <f>100000000</f>
        <v>100000000</v>
      </c>
      <c r="F78" s="87"/>
      <c r="G78" s="88">
        <f>IF($E$74=0,"",100*$E78/$E$74)</f>
        <v>26.124196142627305</v>
      </c>
      <c r="H78" s="89">
        <f t="shared" si="8"/>
        <v>33.333333333333336</v>
      </c>
    </row>
    <row r="80" spans="2:8" ht="12.75">
      <c r="B80" s="37" t="s">
        <v>16</v>
      </c>
      <c r="C80" s="114" t="s">
        <v>17</v>
      </c>
      <c r="D80" s="115"/>
      <c r="E80" s="114" t="s">
        <v>1</v>
      </c>
      <c r="F80" s="115"/>
      <c r="G80" s="16" t="s">
        <v>22</v>
      </c>
      <c r="H80" s="16" t="s">
        <v>23</v>
      </c>
    </row>
    <row r="81" spans="2:8" ht="12.75">
      <c r="B81" s="37"/>
      <c r="C81" s="93" t="s">
        <v>59</v>
      </c>
      <c r="D81" s="94"/>
      <c r="E81" s="94"/>
      <c r="F81" s="95"/>
      <c r="G81" s="96" t="s">
        <v>4</v>
      </c>
      <c r="H81" s="97"/>
    </row>
    <row r="82" spans="2:8" ht="12.75">
      <c r="B82" s="35">
        <v>1</v>
      </c>
      <c r="C82" s="67">
        <v>2</v>
      </c>
      <c r="D82" s="68"/>
      <c r="E82" s="67">
        <v>3</v>
      </c>
      <c r="F82" s="68"/>
      <c r="G82" s="36">
        <v>4</v>
      </c>
      <c r="H82" s="36">
        <v>5</v>
      </c>
    </row>
    <row r="83" spans="2:8" ht="22.5">
      <c r="B83" s="51" t="s">
        <v>63</v>
      </c>
      <c r="C83" s="46">
        <f>2167318580.63</f>
        <v>2167318580.63</v>
      </c>
      <c r="D83" s="44"/>
      <c r="E83" s="46">
        <f>0</f>
        <v>0</v>
      </c>
      <c r="F83" s="41"/>
      <c r="G83" s="39"/>
      <c r="H83" s="32"/>
    </row>
    <row r="84" spans="2:8" ht="56.25">
      <c r="B84" s="91" t="s">
        <v>64</v>
      </c>
      <c r="C84" s="86">
        <f>0</f>
        <v>0</v>
      </c>
      <c r="D84" s="87"/>
      <c r="E84" s="86">
        <f>0</f>
        <v>0</v>
      </c>
      <c r="F84" s="87"/>
      <c r="G84" s="88"/>
      <c r="H84" s="89"/>
    </row>
    <row r="85" spans="2:8" ht="12.75">
      <c r="B85" s="91" t="s">
        <v>65</v>
      </c>
      <c r="C85" s="86">
        <f>1400669688.63</f>
        <v>1400669688.63</v>
      </c>
      <c r="D85" s="87"/>
      <c r="E85" s="86">
        <f>0</f>
        <v>0</v>
      </c>
      <c r="F85" s="87"/>
      <c r="G85" s="88"/>
      <c r="H85" s="89"/>
    </row>
    <row r="86" spans="2:8" ht="22.5">
      <c r="B86" s="91" t="s">
        <v>66</v>
      </c>
      <c r="C86" s="86">
        <f>0</f>
        <v>0</v>
      </c>
      <c r="D86" s="87"/>
      <c r="E86" s="86">
        <f>0</f>
        <v>0</v>
      </c>
      <c r="F86" s="87"/>
      <c r="G86" s="88"/>
      <c r="H86" s="89"/>
    </row>
    <row r="87" spans="2:8" ht="33.75">
      <c r="B87" s="91" t="s">
        <v>67</v>
      </c>
      <c r="C87" s="86">
        <f>0</f>
        <v>0</v>
      </c>
      <c r="D87" s="87"/>
      <c r="E87" s="86">
        <f>0</f>
        <v>0</v>
      </c>
      <c r="F87" s="87"/>
      <c r="G87" s="88"/>
      <c r="H87" s="89"/>
    </row>
    <row r="88" spans="2:8" ht="101.25">
      <c r="B88" s="91" t="s">
        <v>68</v>
      </c>
      <c r="C88" s="86">
        <f>605280872</f>
        <v>605280872</v>
      </c>
      <c r="D88" s="87"/>
      <c r="E88" s="86">
        <f>0</f>
        <v>0</v>
      </c>
      <c r="F88" s="87"/>
      <c r="G88" s="88"/>
      <c r="H88" s="89"/>
    </row>
    <row r="90" spans="2:6" ht="12.75">
      <c r="B90" s="70" t="s">
        <v>16</v>
      </c>
      <c r="C90" s="114" t="s">
        <v>94</v>
      </c>
      <c r="D90" s="116"/>
      <c r="E90" s="116"/>
      <c r="F90" s="115"/>
    </row>
    <row r="91" spans="2:6" ht="12.75">
      <c r="B91" s="37"/>
      <c r="C91" s="93" t="s">
        <v>59</v>
      </c>
      <c r="D91" s="94"/>
      <c r="E91" s="94"/>
      <c r="F91" s="95"/>
    </row>
    <row r="92" spans="2:6" ht="12.75">
      <c r="B92" s="35">
        <v>1</v>
      </c>
      <c r="C92" s="124">
        <v>2</v>
      </c>
      <c r="D92" s="125"/>
      <c r="E92" s="125"/>
      <c r="F92" s="126"/>
    </row>
    <row r="93" spans="2:6" ht="56.25">
      <c r="B93" s="51" t="s">
        <v>69</v>
      </c>
      <c r="C93" s="123">
        <f>0</f>
        <v>0</v>
      </c>
      <c r="D93" s="116"/>
      <c r="E93" s="116"/>
      <c r="F93" s="115"/>
    </row>
    <row r="94" spans="2:6" ht="41.25" customHeight="1">
      <c r="B94" s="45" t="s">
        <v>70</v>
      </c>
      <c r="C94" s="123">
        <f>0</f>
        <v>0</v>
      </c>
      <c r="D94" s="116"/>
      <c r="E94" s="116"/>
      <c r="F94" s="115"/>
    </row>
    <row r="95" spans="2:6" ht="45">
      <c r="B95" s="45" t="s">
        <v>71</v>
      </c>
      <c r="C95" s="123">
        <f>0</f>
        <v>0</v>
      </c>
      <c r="D95" s="116"/>
      <c r="E95" s="116"/>
      <c r="F95" s="115"/>
    </row>
    <row r="96" spans="2:6" ht="69" customHeight="1">
      <c r="B96" s="45" t="s">
        <v>72</v>
      </c>
      <c r="C96" s="123">
        <f>0</f>
        <v>0</v>
      </c>
      <c r="D96" s="116"/>
      <c r="E96" s="116"/>
      <c r="F96" s="115"/>
    </row>
    <row r="97" spans="2:6" ht="56.25">
      <c r="B97" s="45" t="s">
        <v>73</v>
      </c>
      <c r="C97" s="123">
        <f>0</f>
        <v>0</v>
      </c>
      <c r="D97" s="116"/>
      <c r="E97" s="116"/>
      <c r="F97" s="115"/>
    </row>
    <row r="98" spans="2:6" ht="56.25">
      <c r="B98" s="91" t="s">
        <v>74</v>
      </c>
      <c r="C98" s="123">
        <f>0</f>
        <v>0</v>
      </c>
      <c r="D98" s="116"/>
      <c r="E98" s="116"/>
      <c r="F98" s="115"/>
    </row>
    <row r="99" spans="2:6" ht="45">
      <c r="B99" s="91" t="s">
        <v>75</v>
      </c>
      <c r="C99" s="123">
        <f>0</f>
        <v>0</v>
      </c>
      <c r="D99" s="116"/>
      <c r="E99" s="116"/>
      <c r="F99" s="115"/>
    </row>
    <row r="100" spans="2:6" ht="90">
      <c r="B100" s="91" t="s">
        <v>92</v>
      </c>
      <c r="C100" s="123">
        <f>0</f>
        <v>0</v>
      </c>
      <c r="D100" s="116"/>
      <c r="E100" s="116"/>
      <c r="F100" s="115"/>
    </row>
    <row r="101" spans="2:6" ht="90">
      <c r="B101" s="91" t="s">
        <v>93</v>
      </c>
      <c r="C101" s="123">
        <f>0</f>
        <v>0</v>
      </c>
      <c r="D101" s="116"/>
      <c r="E101" s="116"/>
      <c r="F101" s="115"/>
    </row>
  </sheetData>
  <sheetProtection/>
  <mergeCells count="54"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97:F97"/>
    <mergeCell ref="I55:J55"/>
    <mergeCell ref="I58:J58"/>
    <mergeCell ref="I59:J59"/>
    <mergeCell ref="I60:J60"/>
    <mergeCell ref="C63:D63"/>
    <mergeCell ref="E63:F63"/>
    <mergeCell ref="C91:F91"/>
    <mergeCell ref="C80:D80"/>
    <mergeCell ref="E80:F80"/>
    <mergeCell ref="C81:F81"/>
    <mergeCell ref="G81:H81"/>
    <mergeCell ref="C90:F90"/>
    <mergeCell ref="I49:J49"/>
    <mergeCell ref="I50:J50"/>
    <mergeCell ref="I51:J51"/>
    <mergeCell ref="I53:J53"/>
    <mergeCell ref="I54:J54"/>
    <mergeCell ref="I52:J52"/>
    <mergeCell ref="B1:M1"/>
    <mergeCell ref="B61:M61"/>
    <mergeCell ref="I39:J41"/>
    <mergeCell ref="D39:D41"/>
    <mergeCell ref="E39:E41"/>
    <mergeCell ref="F40:F41"/>
    <mergeCell ref="F39:H39"/>
    <mergeCell ref="G40:H40"/>
    <mergeCell ref="F3:H3"/>
    <mergeCell ref="B37:M37"/>
    <mergeCell ref="I43:J43"/>
    <mergeCell ref="I46:J46"/>
    <mergeCell ref="I47:J47"/>
    <mergeCell ref="I44:J44"/>
    <mergeCell ref="I45:J45"/>
    <mergeCell ref="I48:J48"/>
    <mergeCell ref="C42:J42"/>
    <mergeCell ref="C3:E3"/>
    <mergeCell ref="C64:F64"/>
    <mergeCell ref="G64:H64"/>
    <mergeCell ref="L39:L41"/>
    <mergeCell ref="B2:B3"/>
    <mergeCell ref="C39:C41"/>
    <mergeCell ref="B39:B42"/>
    <mergeCell ref="K39:K41"/>
    <mergeCell ref="K42:L42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0" max="255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2015-04-29T09:53:24Z</cp:lastPrinted>
  <dcterms:created xsi:type="dcterms:W3CDTF">2001-05-17T08:58:03Z</dcterms:created>
  <dcterms:modified xsi:type="dcterms:W3CDTF">2020-08-24T20:39:20Z</dcterms:modified>
  <cp:category/>
  <cp:version/>
  <cp:contentType/>
  <cp:contentStatus/>
</cp:coreProperties>
</file>