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4\IV kwartał\2025.03.18 dane ostateczne\Zbiorówki_2024_k4_2025.03.18\Publikacja\"/>
    </mc:Choice>
  </mc:AlternateContent>
  <xr:revisionPtr revIDLastSave="0" documentId="13_ncr:1_{7A876ADF-86F0-414D-A3A6-19D1D1AA99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ob_nal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6" i="7" l="1"/>
  <c r="B95" i="7"/>
  <c r="B94" i="7"/>
  <c r="I91" i="7"/>
  <c r="G91" i="7"/>
  <c r="I90" i="7"/>
  <c r="G90" i="7"/>
  <c r="I89" i="7"/>
  <c r="G89" i="7"/>
  <c r="L83" i="7"/>
  <c r="K83" i="7"/>
  <c r="J83" i="7"/>
  <c r="I83" i="7"/>
  <c r="H83" i="7"/>
  <c r="G83" i="7"/>
  <c r="F83" i="7"/>
  <c r="L82" i="7"/>
  <c r="K82" i="7"/>
  <c r="J82" i="7"/>
  <c r="I82" i="7"/>
  <c r="H82" i="7"/>
  <c r="G82" i="7"/>
  <c r="F82" i="7"/>
  <c r="L81" i="7"/>
  <c r="K81" i="7"/>
  <c r="J81" i="7"/>
  <c r="I81" i="7"/>
  <c r="H81" i="7"/>
  <c r="G81" i="7"/>
  <c r="F81" i="7"/>
  <c r="L80" i="7"/>
  <c r="K80" i="7"/>
  <c r="J80" i="7"/>
  <c r="I80" i="7"/>
  <c r="H80" i="7"/>
  <c r="G80" i="7"/>
  <c r="F80" i="7"/>
  <c r="L79" i="7"/>
  <c r="K79" i="7"/>
  <c r="J79" i="7"/>
  <c r="I79" i="7"/>
  <c r="H79" i="7"/>
  <c r="G79" i="7"/>
  <c r="F79" i="7"/>
  <c r="L78" i="7"/>
  <c r="K78" i="7"/>
  <c r="J78" i="7"/>
  <c r="I78" i="7"/>
  <c r="H78" i="7"/>
  <c r="G78" i="7"/>
  <c r="F78" i="7"/>
  <c r="L77" i="7"/>
  <c r="K77" i="7"/>
  <c r="J77" i="7"/>
  <c r="I77" i="7"/>
  <c r="H77" i="7"/>
  <c r="G77" i="7"/>
  <c r="F7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B40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94" i="7" l="1"/>
  <c r="A67" i="7" l="1"/>
  <c r="A86" i="7"/>
  <c r="A30" i="7"/>
  <c r="A1" i="7"/>
</calcChain>
</file>

<file path=xl/sharedStrings.xml><?xml version="1.0" encoding="utf-8"?>
<sst xmlns="http://schemas.openxmlformats.org/spreadsheetml/2006/main" count="93" uniqueCount="79">
  <si>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</si>
  <si>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</si>
  <si>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</si>
  <si>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</si>
  <si>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</si>
  <si>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</si>
  <si>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</si>
  <si>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</si>
  <si>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</si>
  <si>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</si>
  <si>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</si>
  <si>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</si>
  <si>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</si>
  <si>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</si>
  <si>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</si>
  <si>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</si>
  <si>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</si>
  <si>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</si>
  <si>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</si>
  <si>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</si>
  <si>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</si>
  <si>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</si>
  <si>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</si>
  <si>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</si>
  <si>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</si>
  <si>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</si>
  <si>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</si>
  <si>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</si>
  <si>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</si>
  <si>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</si>
  <si>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</si>
  <si>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</si>
  <si>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</si>
  <si>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</si>
  <si>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</si>
  <si>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</si>
  <si>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</si>
  <si>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</si>
  <si>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</si>
  <si>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</si>
  <si>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</si>
  <si>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</si>
  <si>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</si>
  <si>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</si>
  <si>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</si>
  <si>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</si>
  <si>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E1.1 krótkotermionowe</t>
  </si>
  <si>
    <t>E1.2 długoterminowe</t>
  </si>
  <si>
    <t>E2.1 krótkotermionowe</t>
  </si>
  <si>
    <t>E2.2 długoterminowe</t>
  </si>
  <si>
    <t>E3 przyjęte depozyty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</si>
  <si>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</si>
  <si>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</si>
  <si>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</si>
  <si>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</si>
  <si>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</si>
  <si>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</si>
  <si>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</si>
  <si>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</si>
  <si>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</si>
  <si>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</si>
  <si>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</si>
  <si>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</si>
  <si>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</si>
  <si>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</si>
  <si>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</si>
  <si>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</si>
  <si>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</si>
  <si>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</si>
  <si>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</si>
  <si>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</si>
  <si>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</si>
  <si>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</si>
  <si>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</si>
  <si>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</si>
  <si>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E1 papiery wartościowe (E1.1+E1.2)</t>
  </si>
  <si>
    <t>E2 kredyty i pożyczki (E2.1+E2.2)</t>
  </si>
  <si>
    <t>E4  wymagalne zobowiązania (E4.1+E4.2)</t>
  </si>
  <si>
    <t>N5.2 z tytułu podatków i składek na ubezpieczenia społ.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</si>
</sst>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31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75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2" fillId="0" borderId="10" xfId="37" applyFont="1" applyBorder="1" applyAlignment="1">
      <alignment horizontal="left" vertical="center" wrapText="1"/>
    </xf>
    <xf numFmtId="0" fontId="2" fillId="0" borderId="10" xfId="37" applyFont="1" applyBorder="1" applyAlignment="1">
      <alignment horizontal="left" vertical="top" wrapText="1"/>
    </xf>
    <xf numFmtId="0" fontId="29" fillId="0" borderId="17" xfId="0" applyFont="1" applyFill="1" applyBorder="1" applyAlignment="1">
      <alignment vertical="top" wrapText="1"/>
    </xf>
    <xf numFmtId="0" fontId="8" fillId="20" borderId="10" xfId="37" applyFont="1" applyFill="1" applyBorder="1" applyAlignment="1">
      <alignment horizontal="left" vertical="top" wrapText="1"/>
    </xf>
    <xf numFmtId="0" fontId="2" fillId="20" borderId="10" xfId="37" applyFont="1" applyFill="1" applyBorder="1" applyAlignment="1">
      <alignment horizontal="left" vertical="top" wrapText="1"/>
    </xf>
    <xf numFmtId="4" fontId="7" fillId="20" borderId="10" xfId="37" applyNumberFormat="1" applyFont="1" applyFill="1" applyBorder="1" applyAlignment="1">
      <alignment horizontal="right" vertical="center" wrapText="1"/>
    </xf>
    <xf numFmtId="4" fontId="7" fillId="0" borderId="10" xfId="37" applyNumberFormat="1" applyFont="1" applyBorder="1" applyAlignment="1">
      <alignment horizontal="right" vertical="center" wrapText="1"/>
    </xf>
    <xf numFmtId="4" fontId="7" fillId="2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vertical="center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8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28" fillId="21" borderId="17" xfId="0" applyFont="1" applyFill="1" applyBorder="1" applyAlignment="1">
      <alignment vertical="top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30" fillId="0" borderId="0" xfId="37" applyFont="1" applyAlignment="1">
      <alignment horizontal="center" vertical="center" wrapText="1"/>
    </xf>
    <xf numFmtId="0" fontId="2" fillId="19" borderId="19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6" fillId="0" borderId="0" xfId="37" applyFont="1" applyAlignment="1">
      <alignment horizontal="left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8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" fillId="19" borderId="23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0" fontId="8" fillId="19" borderId="15" xfId="37" applyFont="1" applyFill="1" applyBorder="1" applyAlignment="1">
      <alignment horizontal="center" vertical="center" wrapText="1"/>
    </xf>
    <xf numFmtId="0" fontId="8" fillId="19" borderId="14" xfId="37" applyFont="1" applyFill="1" applyBorder="1" applyAlignment="1">
      <alignment horizontal="center" vertical="center" wrapText="1"/>
    </xf>
    <xf numFmtId="0" fontId="8" fillId="19" borderId="11" xfId="37" applyFont="1" applyFill="1" applyBorder="1" applyAlignment="1">
      <alignment horizontal="center" vertical="center" wrapText="1"/>
    </xf>
  </cellXfs>
  <cellStyles count="4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ny" xfId="0" builtinId="0"/>
    <cellStyle name="Normalny_Zeszyt1" xfId="37" xr:uid="{00000000-0005-0000-0000-000025000000}"/>
    <cellStyle name="Note" xfId="38" xr:uid="{00000000-0005-0000-0000-000026000000}"/>
    <cellStyle name="Output" xfId="39" xr:uid="{00000000-0005-0000-0000-000027000000}"/>
    <cellStyle name="Title" xfId="40" xr:uid="{00000000-0005-0000-0000-000028000000}"/>
    <cellStyle name="Total" xfId="41" xr:uid="{00000000-0005-0000-0000-000029000000}"/>
    <cellStyle name="Warning Text" xfId="42" xr:uid="{00000000-0005-0000-0000-00002A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Q96"/>
  <sheetViews>
    <sheetView tabSelected="1" zoomScaleNormal="100" zoomScaleSheetLayoutView="50" workbookViewId="0">
      <selection sqref="A1:M1"/>
    </sheetView>
  </sheetViews>
  <sheetFormatPr defaultRowHeight="13.5" customHeight="1" x14ac:dyDescent="0.2"/>
  <cols>
    <col min="1" max="1" width="16.42578125" style="2" customWidth="1"/>
    <col min="2" max="2" width="14.7109375" style="2" customWidth="1"/>
    <col min="3" max="3" width="15.140625" style="2" customWidth="1"/>
    <col min="4" max="4" width="12.5703125" style="2" customWidth="1"/>
    <col min="5" max="5" width="11.42578125" style="2" customWidth="1"/>
    <col min="6" max="7" width="12.5703125" style="2" customWidth="1"/>
    <col min="8" max="8" width="12" style="2" customWidth="1"/>
    <col min="9" max="9" width="11.7109375" style="2" customWidth="1"/>
    <col min="10" max="10" width="13" style="2" customWidth="1"/>
    <col min="11" max="11" width="12.140625" style="2" customWidth="1"/>
    <col min="12" max="12" width="13.28515625" style="2" customWidth="1"/>
    <col min="13" max="13" width="12.85546875" style="2" customWidth="1"/>
    <col min="14" max="14" width="12" style="2" customWidth="1"/>
    <col min="15" max="17" width="11.7109375" style="2" customWidth="1"/>
    <col min="18" max="16384" width="9.140625" style="2"/>
  </cols>
  <sheetData>
    <row r="1" spans="1:17" ht="75" customHeight="1" x14ac:dyDescent="0.2">
      <c r="A1" s="33" t="str">
        <f>CONCATENATE("Informacja z wykonania budżetów jednostek samorządu terytorialnego za ",$C$94," ",$B$95," roku")</f>
        <v>Informacja z wykonania budżetów jednostek samorządu terytorialnego za IV Kwartały 2024 roku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43" t="s">
        <v>60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5" spans="1:17" ht="13.5" customHeight="1" x14ac:dyDescent="0.2">
      <c r="B5" s="11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0"/>
      <c r="O5" s="10"/>
      <c r="P5" s="10"/>
      <c r="Q5" s="10"/>
    </row>
    <row r="6" spans="1:17" ht="13.5" customHeight="1" x14ac:dyDescent="0.2">
      <c r="A6" s="69" t="s">
        <v>0</v>
      </c>
      <c r="B6" s="34" t="s">
        <v>61</v>
      </c>
      <c r="C6" s="29" t="s">
        <v>65</v>
      </c>
      <c r="D6" s="30"/>
      <c r="E6" s="30"/>
      <c r="F6" s="30"/>
      <c r="G6" s="30"/>
      <c r="H6" s="30"/>
      <c r="I6" s="30"/>
      <c r="J6" s="30"/>
      <c r="K6" s="30"/>
      <c r="L6" s="30"/>
      <c r="M6" s="30"/>
      <c r="N6" s="31"/>
      <c r="O6" s="29" t="s">
        <v>64</v>
      </c>
      <c r="P6" s="30"/>
      <c r="Q6" s="31"/>
    </row>
    <row r="7" spans="1:17" ht="13.5" customHeight="1" x14ac:dyDescent="0.2">
      <c r="A7" s="70"/>
      <c r="B7" s="35"/>
      <c r="C7" s="36" t="s">
        <v>62</v>
      </c>
      <c r="D7" s="36" t="s">
        <v>73</v>
      </c>
      <c r="E7" s="36" t="s">
        <v>66</v>
      </c>
      <c r="F7" s="36" t="s">
        <v>67</v>
      </c>
      <c r="G7" s="36" t="s">
        <v>27</v>
      </c>
      <c r="H7" s="36" t="s">
        <v>28</v>
      </c>
      <c r="I7" s="66" t="s">
        <v>63</v>
      </c>
      <c r="J7" s="36" t="s">
        <v>16</v>
      </c>
      <c r="K7" s="36" t="s">
        <v>17</v>
      </c>
      <c r="L7" s="36" t="s">
        <v>18</v>
      </c>
      <c r="M7" s="36" t="s">
        <v>19</v>
      </c>
      <c r="N7" s="35" t="s">
        <v>20</v>
      </c>
      <c r="O7" s="32" t="s">
        <v>21</v>
      </c>
      <c r="P7" s="32" t="s">
        <v>22</v>
      </c>
      <c r="Q7" s="32" t="s">
        <v>23</v>
      </c>
    </row>
    <row r="8" spans="1:17" ht="13.5" customHeight="1" x14ac:dyDescent="0.2">
      <c r="A8" s="70"/>
      <c r="B8" s="35"/>
      <c r="C8" s="32"/>
      <c r="D8" s="32"/>
      <c r="E8" s="32"/>
      <c r="F8" s="32"/>
      <c r="G8" s="32"/>
      <c r="H8" s="32"/>
      <c r="I8" s="66"/>
      <c r="J8" s="32"/>
      <c r="K8" s="32"/>
      <c r="L8" s="32"/>
      <c r="M8" s="32"/>
      <c r="N8" s="35"/>
      <c r="O8" s="32"/>
      <c r="P8" s="32"/>
      <c r="Q8" s="32"/>
    </row>
    <row r="9" spans="1:17" ht="13.5" customHeight="1" x14ac:dyDescent="0.2">
      <c r="A9" s="70"/>
      <c r="B9" s="35"/>
      <c r="C9" s="32"/>
      <c r="D9" s="32"/>
      <c r="E9" s="32"/>
      <c r="F9" s="32"/>
      <c r="G9" s="32"/>
      <c r="H9" s="32"/>
      <c r="I9" s="66"/>
      <c r="J9" s="32"/>
      <c r="K9" s="32"/>
      <c r="L9" s="32"/>
      <c r="M9" s="32"/>
      <c r="N9" s="35"/>
      <c r="O9" s="32"/>
      <c r="P9" s="32"/>
      <c r="Q9" s="32"/>
    </row>
    <row r="10" spans="1:17" ht="11.25" customHeight="1" x14ac:dyDescent="0.2">
      <c r="A10" s="70"/>
      <c r="B10" s="35"/>
      <c r="C10" s="32"/>
      <c r="D10" s="32"/>
      <c r="E10" s="32"/>
      <c r="F10" s="32"/>
      <c r="G10" s="32"/>
      <c r="H10" s="32"/>
      <c r="I10" s="66"/>
      <c r="J10" s="32"/>
      <c r="K10" s="32"/>
      <c r="L10" s="32"/>
      <c r="M10" s="32"/>
      <c r="N10" s="35"/>
      <c r="O10" s="32"/>
      <c r="P10" s="32"/>
      <c r="Q10" s="32"/>
    </row>
    <row r="11" spans="1:17" ht="27.75" customHeight="1" x14ac:dyDescent="0.2">
      <c r="A11" s="71"/>
      <c r="B11" s="36"/>
      <c r="C11" s="32"/>
      <c r="D11" s="32"/>
      <c r="E11" s="32"/>
      <c r="F11" s="32"/>
      <c r="G11" s="32"/>
      <c r="H11" s="32"/>
      <c r="I11" s="67"/>
      <c r="J11" s="32"/>
      <c r="K11" s="32"/>
      <c r="L11" s="32"/>
      <c r="M11" s="32"/>
      <c r="N11" s="36"/>
      <c r="O11" s="32"/>
      <c r="P11" s="32"/>
      <c r="Q11" s="32"/>
    </row>
    <row r="12" spans="1:17" ht="13.5" customHeight="1" x14ac:dyDescent="0.2">
      <c r="A12" s="12">
        <v>1</v>
      </c>
      <c r="B12" s="12">
        <v>2</v>
      </c>
      <c r="C12" s="12">
        <v>3</v>
      </c>
      <c r="D12" s="12">
        <v>4</v>
      </c>
      <c r="E12" s="12">
        <v>5</v>
      </c>
      <c r="F12" s="12">
        <v>6</v>
      </c>
      <c r="G12" s="12">
        <v>7</v>
      </c>
      <c r="H12" s="12">
        <v>8</v>
      </c>
      <c r="I12" s="12">
        <v>9</v>
      </c>
      <c r="J12" s="12">
        <v>10</v>
      </c>
      <c r="K12" s="12">
        <v>11</v>
      </c>
      <c r="L12" s="12">
        <v>12</v>
      </c>
      <c r="M12" s="12">
        <v>13</v>
      </c>
      <c r="N12" s="12">
        <v>14</v>
      </c>
      <c r="O12" s="12">
        <v>15</v>
      </c>
      <c r="P12" s="12">
        <v>16</v>
      </c>
      <c r="Q12" s="12">
        <v>17</v>
      </c>
    </row>
    <row r="13" spans="1:17" ht="52.5" customHeight="1" x14ac:dyDescent="0.2">
      <c r="A13" s="19" t="s">
        <v>45</v>
      </c>
      <c r="B13" s="21">
        <f>111056898446.24</f>
        <v>111056898446.24001</v>
      </c>
      <c r="C13" s="21">
        <f>85740804310.2</f>
        <v>85740804310.199997</v>
      </c>
      <c r="D13" s="21">
        <f>3771548606.9</f>
        <v>3771548606.9000001</v>
      </c>
      <c r="E13" s="21">
        <f>1114665124.12</f>
        <v>1114665124.1199999</v>
      </c>
      <c r="F13" s="21">
        <f>700531836.63</f>
        <v>700531836.63</v>
      </c>
      <c r="G13" s="21">
        <f>1954097881.92</f>
        <v>1954097881.9200001</v>
      </c>
      <c r="H13" s="21">
        <f>2253764.23</f>
        <v>2253764.23</v>
      </c>
      <c r="I13" s="21">
        <f>0</f>
        <v>0</v>
      </c>
      <c r="J13" s="21">
        <f>77457354797.83</f>
        <v>77457354797.830002</v>
      </c>
      <c r="K13" s="21">
        <f>3256797810.74</f>
        <v>3256797810.7399998</v>
      </c>
      <c r="L13" s="21">
        <f>1204298862.97</f>
        <v>1204298862.97</v>
      </c>
      <c r="M13" s="21">
        <f>33254556.45</f>
        <v>33254556.449999999</v>
      </c>
      <c r="N13" s="21">
        <f>17549675.31</f>
        <v>17549675.309999999</v>
      </c>
      <c r="O13" s="21">
        <f>25316094136.04</f>
        <v>25316094136.040001</v>
      </c>
      <c r="P13" s="21">
        <f>25295961234.39</f>
        <v>25295961234.389999</v>
      </c>
      <c r="Q13" s="21">
        <f>20132901.65</f>
        <v>20132901.649999999</v>
      </c>
    </row>
    <row r="14" spans="1:17" ht="41.25" customHeight="1" x14ac:dyDescent="0.2">
      <c r="A14" s="19" t="s">
        <v>75</v>
      </c>
      <c r="B14" s="21">
        <f>8173813000</f>
        <v>8173813000</v>
      </c>
      <c r="C14" s="21">
        <f>8173813000</f>
        <v>8173813000</v>
      </c>
      <c r="D14" s="21">
        <f>0</f>
        <v>0</v>
      </c>
      <c r="E14" s="21">
        <f>0</f>
        <v>0</v>
      </c>
      <c r="F14" s="21">
        <f>0</f>
        <v>0</v>
      </c>
      <c r="G14" s="21">
        <f>0</f>
        <v>0</v>
      </c>
      <c r="H14" s="21">
        <f>0</f>
        <v>0</v>
      </c>
      <c r="I14" s="21">
        <f>0</f>
        <v>0</v>
      </c>
      <c r="J14" s="21">
        <f>7979863000</f>
        <v>7979863000</v>
      </c>
      <c r="K14" s="21">
        <f>193950000</f>
        <v>193950000</v>
      </c>
      <c r="L14" s="21">
        <f>0</f>
        <v>0</v>
      </c>
      <c r="M14" s="21">
        <f>0</f>
        <v>0</v>
      </c>
      <c r="N14" s="21">
        <f>0</f>
        <v>0</v>
      </c>
      <c r="O14" s="21">
        <f>0</f>
        <v>0</v>
      </c>
      <c r="P14" s="21">
        <f>0</f>
        <v>0</v>
      </c>
      <c r="Q14" s="21">
        <f>0</f>
        <v>0</v>
      </c>
    </row>
    <row r="15" spans="1:17" ht="22.5" x14ac:dyDescent="0.2">
      <c r="A15" s="16" t="s">
        <v>46</v>
      </c>
      <c r="B15" s="22">
        <f>0</f>
        <v>0</v>
      </c>
      <c r="C15" s="22">
        <f>0</f>
        <v>0</v>
      </c>
      <c r="D15" s="22">
        <f>0</f>
        <v>0</v>
      </c>
      <c r="E15" s="22">
        <f>0</f>
        <v>0</v>
      </c>
      <c r="F15" s="22">
        <f>0</f>
        <v>0</v>
      </c>
      <c r="G15" s="22">
        <f>0</f>
        <v>0</v>
      </c>
      <c r="H15" s="22">
        <f>0</f>
        <v>0</v>
      </c>
      <c r="I15" s="22">
        <f>0</f>
        <v>0</v>
      </c>
      <c r="J15" s="22">
        <f>0</f>
        <v>0</v>
      </c>
      <c r="K15" s="22">
        <f>0</f>
        <v>0</v>
      </c>
      <c r="L15" s="22">
        <f>0</f>
        <v>0</v>
      </c>
      <c r="M15" s="22">
        <f>0</f>
        <v>0</v>
      </c>
      <c r="N15" s="22">
        <f>0</f>
        <v>0</v>
      </c>
      <c r="O15" s="22">
        <f>0</f>
        <v>0</v>
      </c>
      <c r="P15" s="22">
        <f>0</f>
        <v>0</v>
      </c>
      <c r="Q15" s="22">
        <f>0</f>
        <v>0</v>
      </c>
    </row>
    <row r="16" spans="1:17" ht="23.25" customHeight="1" x14ac:dyDescent="0.2">
      <c r="A16" s="16" t="s">
        <v>47</v>
      </c>
      <c r="B16" s="22">
        <f>8173813000</f>
        <v>8173813000</v>
      </c>
      <c r="C16" s="22">
        <f>8173813000</f>
        <v>8173813000</v>
      </c>
      <c r="D16" s="22">
        <f>0</f>
        <v>0</v>
      </c>
      <c r="E16" s="22">
        <f>0</f>
        <v>0</v>
      </c>
      <c r="F16" s="22">
        <f>0</f>
        <v>0</v>
      </c>
      <c r="G16" s="22">
        <f>0</f>
        <v>0</v>
      </c>
      <c r="H16" s="22">
        <f>0</f>
        <v>0</v>
      </c>
      <c r="I16" s="22">
        <f>0</f>
        <v>0</v>
      </c>
      <c r="J16" s="22">
        <f>7979863000</f>
        <v>7979863000</v>
      </c>
      <c r="K16" s="22">
        <f>193950000</f>
        <v>193950000</v>
      </c>
      <c r="L16" s="22">
        <f>0</f>
        <v>0</v>
      </c>
      <c r="M16" s="22">
        <f>0</f>
        <v>0</v>
      </c>
      <c r="N16" s="22">
        <f>0</f>
        <v>0</v>
      </c>
      <c r="O16" s="22">
        <f>0</f>
        <v>0</v>
      </c>
      <c r="P16" s="22">
        <f>0</f>
        <v>0</v>
      </c>
      <c r="Q16" s="22">
        <f>0</f>
        <v>0</v>
      </c>
    </row>
    <row r="17" spans="1:17" ht="33" customHeight="1" x14ac:dyDescent="0.2">
      <c r="A17" s="19" t="s">
        <v>76</v>
      </c>
      <c r="B17" s="21">
        <f>102782731588.61</f>
        <v>102782731588.61</v>
      </c>
      <c r="C17" s="21">
        <f>77466638774.22</f>
        <v>77466638774.220001</v>
      </c>
      <c r="D17" s="21">
        <f>3736284655.13</f>
        <v>3736284655.1300001</v>
      </c>
      <c r="E17" s="21">
        <f>1113079306.35</f>
        <v>1113079306.3499999</v>
      </c>
      <c r="F17" s="21">
        <f>700423084.12</f>
        <v>700423084.12</v>
      </c>
      <c r="G17" s="21">
        <f>1922782264.66</f>
        <v>1922782264.6600001</v>
      </c>
      <c r="H17" s="21">
        <f>0</f>
        <v>0</v>
      </c>
      <c r="I17" s="21">
        <f>0</f>
        <v>0</v>
      </c>
      <c r="J17" s="21">
        <f>69477477301.98</f>
        <v>69477477301.979996</v>
      </c>
      <c r="K17" s="21">
        <f>3051312803.79</f>
        <v>3051312803.79</v>
      </c>
      <c r="L17" s="21">
        <f>1178127400.15</f>
        <v>1178127400.1500001</v>
      </c>
      <c r="M17" s="21">
        <f>9596628.91</f>
        <v>9596628.9100000001</v>
      </c>
      <c r="N17" s="21">
        <f>13839984.26</f>
        <v>13839984.26</v>
      </c>
      <c r="O17" s="21">
        <f>25316092814.39</f>
        <v>25316092814.389999</v>
      </c>
      <c r="P17" s="21">
        <f>25295961234.39</f>
        <v>25295961234.389999</v>
      </c>
      <c r="Q17" s="21">
        <f>20131580</f>
        <v>20131580</v>
      </c>
    </row>
    <row r="18" spans="1:17" ht="22.5" x14ac:dyDescent="0.2">
      <c r="A18" s="16" t="s">
        <v>48</v>
      </c>
      <c r="B18" s="22">
        <f>230558650.61</f>
        <v>230558650.61000001</v>
      </c>
      <c r="C18" s="22">
        <f>230558650.61</f>
        <v>230558650.61000001</v>
      </c>
      <c r="D18" s="22">
        <f>71366824.56</f>
        <v>71366824.560000002</v>
      </c>
      <c r="E18" s="22">
        <f>61081581.69</f>
        <v>61081581.689999998</v>
      </c>
      <c r="F18" s="22">
        <f>2516508.55</f>
        <v>2516508.5499999998</v>
      </c>
      <c r="G18" s="22">
        <f>7768734.32</f>
        <v>7768734.3200000003</v>
      </c>
      <c r="H18" s="22">
        <f>0</f>
        <v>0</v>
      </c>
      <c r="I18" s="22">
        <f>0</f>
        <v>0</v>
      </c>
      <c r="J18" s="22">
        <f>152849040.09</f>
        <v>152849040.09</v>
      </c>
      <c r="K18" s="22">
        <f>4265506</f>
        <v>4265506</v>
      </c>
      <c r="L18" s="22">
        <f>984279.96</f>
        <v>984279.96</v>
      </c>
      <c r="M18" s="22">
        <f>893000</f>
        <v>893000</v>
      </c>
      <c r="N18" s="22">
        <f>200000</f>
        <v>200000</v>
      </c>
      <c r="O18" s="22">
        <f>0</f>
        <v>0</v>
      </c>
      <c r="P18" s="22">
        <f>0</f>
        <v>0</v>
      </c>
      <c r="Q18" s="22">
        <f>0</f>
        <v>0</v>
      </c>
    </row>
    <row r="19" spans="1:17" ht="24" customHeight="1" x14ac:dyDescent="0.2">
      <c r="A19" s="16" t="s">
        <v>49</v>
      </c>
      <c r="B19" s="22">
        <f>102552172938</f>
        <v>102552172938</v>
      </c>
      <c r="C19" s="22">
        <f>77236080123.61</f>
        <v>77236080123.610001</v>
      </c>
      <c r="D19" s="22">
        <f>3664917830.57</f>
        <v>3664917830.5700002</v>
      </c>
      <c r="E19" s="22">
        <f>1051997724.66</f>
        <v>1051997724.66</v>
      </c>
      <c r="F19" s="22">
        <f>697906575.57</f>
        <v>697906575.57000005</v>
      </c>
      <c r="G19" s="22">
        <f>1915013530.34</f>
        <v>1915013530.3399999</v>
      </c>
      <c r="H19" s="22">
        <f>0</f>
        <v>0</v>
      </c>
      <c r="I19" s="22">
        <f>0</f>
        <v>0</v>
      </c>
      <c r="J19" s="22">
        <f>69324628261.89</f>
        <v>69324628261.889999</v>
      </c>
      <c r="K19" s="22">
        <f>3047047297.79</f>
        <v>3047047297.79</v>
      </c>
      <c r="L19" s="22">
        <f>1177143120.19</f>
        <v>1177143120.1900001</v>
      </c>
      <c r="M19" s="22">
        <f>8703628.91</f>
        <v>8703628.9100000001</v>
      </c>
      <c r="N19" s="22">
        <f>13639984.26</f>
        <v>13639984.26</v>
      </c>
      <c r="O19" s="22">
        <f>25316092814.39</f>
        <v>25316092814.389999</v>
      </c>
      <c r="P19" s="22">
        <f>25295961234.39</f>
        <v>25295961234.389999</v>
      </c>
      <c r="Q19" s="22">
        <f>20131580</f>
        <v>20131580</v>
      </c>
    </row>
    <row r="20" spans="1:17" ht="24.75" customHeight="1" x14ac:dyDescent="0.2">
      <c r="A20" s="26" t="s">
        <v>50</v>
      </c>
      <c r="B20" s="27">
        <f>16500000</f>
        <v>16500000</v>
      </c>
      <c r="C20" s="27">
        <f>16500000</f>
        <v>16500000</v>
      </c>
      <c r="D20" s="27">
        <f>16500000</f>
        <v>16500000</v>
      </c>
      <c r="E20" s="27">
        <f>0</f>
        <v>0</v>
      </c>
      <c r="F20" s="27">
        <f>0</f>
        <v>0</v>
      </c>
      <c r="G20" s="27">
        <f>16500000</f>
        <v>16500000</v>
      </c>
      <c r="H20" s="27">
        <f>0</f>
        <v>0</v>
      </c>
      <c r="I20" s="27">
        <f>0</f>
        <v>0</v>
      </c>
      <c r="J20" s="27">
        <f>0</f>
        <v>0</v>
      </c>
      <c r="K20" s="27">
        <f>0</f>
        <v>0</v>
      </c>
      <c r="L20" s="27">
        <f>0</f>
        <v>0</v>
      </c>
      <c r="M20" s="27">
        <f>0</f>
        <v>0</v>
      </c>
      <c r="N20" s="27">
        <f>0</f>
        <v>0</v>
      </c>
      <c r="O20" s="27">
        <f>0</f>
        <v>0</v>
      </c>
      <c r="P20" s="27">
        <f>0</f>
        <v>0</v>
      </c>
      <c r="Q20" s="27">
        <f>0</f>
        <v>0</v>
      </c>
    </row>
    <row r="21" spans="1:17" ht="38.25" customHeight="1" x14ac:dyDescent="0.2">
      <c r="A21" s="20" t="s">
        <v>77</v>
      </c>
      <c r="B21" s="21">
        <f>83853857.63</f>
        <v>83853857.629999995</v>
      </c>
      <c r="C21" s="21">
        <f>83852535.98</f>
        <v>83852535.980000004</v>
      </c>
      <c r="D21" s="21">
        <f>18763951.77</f>
        <v>18763951.77</v>
      </c>
      <c r="E21" s="21">
        <f>1585817.77</f>
        <v>1585817.77</v>
      </c>
      <c r="F21" s="21">
        <f>108752.51</f>
        <v>108752.51</v>
      </c>
      <c r="G21" s="21">
        <f>14815617.26</f>
        <v>14815617.26</v>
      </c>
      <c r="H21" s="21">
        <f>2253764.23</f>
        <v>2253764.23</v>
      </c>
      <c r="I21" s="21">
        <f>0</f>
        <v>0</v>
      </c>
      <c r="J21" s="21">
        <f>14495.85</f>
        <v>14495.85</v>
      </c>
      <c r="K21" s="21">
        <f>11535006.95</f>
        <v>11535006.949999999</v>
      </c>
      <c r="L21" s="21">
        <f>26171462.82</f>
        <v>26171462.82</v>
      </c>
      <c r="M21" s="21">
        <f>23657927.54</f>
        <v>23657927.539999999</v>
      </c>
      <c r="N21" s="21">
        <f>3709691.05</f>
        <v>3709691.05</v>
      </c>
      <c r="O21" s="21">
        <f>1321.65</f>
        <v>1321.65</v>
      </c>
      <c r="P21" s="21">
        <f>0</f>
        <v>0</v>
      </c>
      <c r="Q21" s="21">
        <f>1321.65</f>
        <v>1321.65</v>
      </c>
    </row>
    <row r="22" spans="1:17" ht="33" customHeight="1" x14ac:dyDescent="0.2">
      <c r="A22" s="17" t="s">
        <v>51</v>
      </c>
      <c r="B22" s="22">
        <f>51776278.33</f>
        <v>51776278.329999998</v>
      </c>
      <c r="C22" s="22">
        <f>51776278.33</f>
        <v>51776278.329999998</v>
      </c>
      <c r="D22" s="22">
        <f>3259134.15</f>
        <v>3259134.15</v>
      </c>
      <c r="E22" s="22">
        <f>155.48</f>
        <v>155.47999999999999</v>
      </c>
      <c r="F22" s="22">
        <f>1911.7</f>
        <v>1911.7</v>
      </c>
      <c r="G22" s="22">
        <f>3257066.97</f>
        <v>3257066.97</v>
      </c>
      <c r="H22" s="22">
        <f>0</f>
        <v>0</v>
      </c>
      <c r="I22" s="22">
        <f>0</f>
        <v>0</v>
      </c>
      <c r="J22" s="22">
        <f>0</f>
        <v>0</v>
      </c>
      <c r="K22" s="22">
        <f>11535006.95</f>
        <v>11535006.949999999</v>
      </c>
      <c r="L22" s="22">
        <f>17798900.44</f>
        <v>17798900.440000001</v>
      </c>
      <c r="M22" s="22">
        <f>15513001.14</f>
        <v>15513001.140000001</v>
      </c>
      <c r="N22" s="22">
        <f>3670235.65</f>
        <v>3670235.65</v>
      </c>
      <c r="O22" s="22">
        <f>0</f>
        <v>0</v>
      </c>
      <c r="P22" s="22">
        <f>0</f>
        <v>0</v>
      </c>
      <c r="Q22" s="22">
        <f>0</f>
        <v>0</v>
      </c>
    </row>
    <row r="23" spans="1:17" ht="23.25" customHeight="1" x14ac:dyDescent="0.2">
      <c r="A23" s="17" t="s">
        <v>52</v>
      </c>
      <c r="B23" s="22">
        <f>32077579.3</f>
        <v>32077579.300000001</v>
      </c>
      <c r="C23" s="22">
        <f>32076257.65</f>
        <v>32076257.649999999</v>
      </c>
      <c r="D23" s="22">
        <f>15504817.62</f>
        <v>15504817.619999999</v>
      </c>
      <c r="E23" s="22">
        <f>1585662.29</f>
        <v>1585662.29</v>
      </c>
      <c r="F23" s="22">
        <f>106840.81</f>
        <v>106840.81</v>
      </c>
      <c r="G23" s="22">
        <f>11558550.29</f>
        <v>11558550.289999999</v>
      </c>
      <c r="H23" s="22">
        <f>2253764.23</f>
        <v>2253764.23</v>
      </c>
      <c r="I23" s="22">
        <f>0</f>
        <v>0</v>
      </c>
      <c r="J23" s="22">
        <f>14495.85</f>
        <v>14495.85</v>
      </c>
      <c r="K23" s="22">
        <f>0</f>
        <v>0</v>
      </c>
      <c r="L23" s="22">
        <f>8372562.38</f>
        <v>8372562.3799999999</v>
      </c>
      <c r="M23" s="22">
        <f>8144926.4</f>
        <v>8144926.4000000004</v>
      </c>
      <c r="N23" s="22">
        <f>39455.4</f>
        <v>39455.4</v>
      </c>
      <c r="O23" s="22">
        <f>1321.65</f>
        <v>1321.65</v>
      </c>
      <c r="P23" s="22">
        <f>0</f>
        <v>0</v>
      </c>
      <c r="Q23" s="22">
        <f>1321.65</f>
        <v>1321.65</v>
      </c>
    </row>
    <row r="24" spans="1:17" ht="19.5" customHeight="1" x14ac:dyDescent="0.2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</row>
    <row r="25" spans="1:17" ht="19.5" customHeight="1" x14ac:dyDescent="0.2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7" ht="19.5" customHeight="1" x14ac:dyDescent="0.2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</row>
    <row r="27" spans="1:17" ht="19.5" customHeight="1" x14ac:dyDescent="0.2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</row>
    <row r="28" spans="1:17" ht="19.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</row>
    <row r="29" spans="1:17" ht="19.5" customHeight="1" x14ac:dyDescent="0.2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</row>
    <row r="30" spans="1:17" ht="45.75" customHeight="1" x14ac:dyDescent="0.2">
      <c r="A30" s="33" t="str">
        <f>CONCATENATE("Informacja z wykonania budżetów jednostek samorządu terytorialnego za ",$C$94," ",$B$95," roku")</f>
        <v>Informacja z wykonania budżetów jednostek samorządu terytorialnego za IV Kwartały 2024 roku</v>
      </c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</row>
    <row r="32" spans="1:17" ht="13.5" customHeight="1" x14ac:dyDescent="0.2">
      <c r="A32" s="43" t="s">
        <v>11</v>
      </c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</row>
    <row r="34" spans="1:17" ht="13.5" customHeight="1" x14ac:dyDescent="0.2">
      <c r="A34" s="69" t="s">
        <v>0</v>
      </c>
      <c r="B34" s="34" t="s">
        <v>12</v>
      </c>
      <c r="C34" s="72" t="s">
        <v>14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4"/>
      <c r="O34" s="72" t="s">
        <v>24</v>
      </c>
      <c r="P34" s="73"/>
      <c r="Q34" s="74"/>
    </row>
    <row r="35" spans="1:17" ht="13.5" customHeight="1" x14ac:dyDescent="0.2">
      <c r="A35" s="70"/>
      <c r="B35" s="35"/>
      <c r="C35" s="35" t="s">
        <v>13</v>
      </c>
      <c r="D35" s="32" t="s">
        <v>15</v>
      </c>
      <c r="E35" s="32" t="s">
        <v>25</v>
      </c>
      <c r="F35" s="32" t="s">
        <v>26</v>
      </c>
      <c r="G35" s="32" t="s">
        <v>70</v>
      </c>
      <c r="H35" s="32" t="s">
        <v>28</v>
      </c>
      <c r="I35" s="32" t="s">
        <v>1</v>
      </c>
      <c r="J35" s="32" t="s">
        <v>16</v>
      </c>
      <c r="K35" s="32" t="s">
        <v>17</v>
      </c>
      <c r="L35" s="32" t="s">
        <v>18</v>
      </c>
      <c r="M35" s="32" t="s">
        <v>19</v>
      </c>
      <c r="N35" s="37" t="s">
        <v>20</v>
      </c>
      <c r="O35" s="32" t="s">
        <v>21</v>
      </c>
      <c r="P35" s="32" t="s">
        <v>22</v>
      </c>
      <c r="Q35" s="34" t="s">
        <v>23</v>
      </c>
    </row>
    <row r="36" spans="1:17" ht="13.5" customHeight="1" x14ac:dyDescent="0.2">
      <c r="A36" s="70"/>
      <c r="B36" s="35"/>
      <c r="C36" s="35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7"/>
      <c r="O36" s="32"/>
      <c r="P36" s="32"/>
      <c r="Q36" s="35"/>
    </row>
    <row r="37" spans="1:17" ht="11.25" customHeight="1" x14ac:dyDescent="0.2">
      <c r="A37" s="70"/>
      <c r="B37" s="35"/>
      <c r="C37" s="35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7"/>
      <c r="O37" s="32"/>
      <c r="P37" s="32"/>
      <c r="Q37" s="35"/>
    </row>
    <row r="38" spans="1:17" ht="32.25" customHeight="1" x14ac:dyDescent="0.2">
      <c r="A38" s="71"/>
      <c r="B38" s="36"/>
      <c r="C38" s="36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7"/>
      <c r="O38" s="32"/>
      <c r="P38" s="32"/>
      <c r="Q38" s="36"/>
    </row>
    <row r="39" spans="1:17" ht="13.5" customHeight="1" x14ac:dyDescent="0.2">
      <c r="A39" s="12">
        <v>1</v>
      </c>
      <c r="B39" s="12">
        <v>2</v>
      </c>
      <c r="C39" s="12">
        <v>3</v>
      </c>
      <c r="D39" s="12">
        <v>4</v>
      </c>
      <c r="E39" s="12">
        <v>5</v>
      </c>
      <c r="F39" s="12">
        <v>6</v>
      </c>
      <c r="G39" s="12">
        <v>7</v>
      </c>
      <c r="H39" s="12">
        <v>8</v>
      </c>
      <c r="I39" s="12">
        <v>9</v>
      </c>
      <c r="J39" s="12">
        <v>10</v>
      </c>
      <c r="K39" s="12">
        <v>11</v>
      </c>
      <c r="L39" s="12">
        <v>12</v>
      </c>
      <c r="M39" s="12">
        <v>13</v>
      </c>
      <c r="N39" s="12">
        <v>14</v>
      </c>
      <c r="O39" s="12">
        <v>15</v>
      </c>
      <c r="P39" s="12">
        <v>16</v>
      </c>
      <c r="Q39" s="12">
        <v>17</v>
      </c>
    </row>
    <row r="40" spans="1:17" ht="35.25" customHeight="1" x14ac:dyDescent="0.2">
      <c r="A40" s="28" t="s">
        <v>40</v>
      </c>
      <c r="B40" s="23">
        <f>6398602</f>
        <v>6398602</v>
      </c>
      <c r="C40" s="23">
        <f>6398602</f>
        <v>6398602</v>
      </c>
      <c r="D40" s="23">
        <f>130000</f>
        <v>130000</v>
      </c>
      <c r="E40" s="23">
        <f>50000</f>
        <v>50000</v>
      </c>
      <c r="F40" s="23">
        <f>80000</f>
        <v>80000</v>
      </c>
      <c r="G40" s="23">
        <f>0</f>
        <v>0</v>
      </c>
      <c r="H40" s="23">
        <f>0</f>
        <v>0</v>
      </c>
      <c r="I40" s="23">
        <f>0</f>
        <v>0</v>
      </c>
      <c r="J40" s="23">
        <f>236598.6</f>
        <v>236598.6</v>
      </c>
      <c r="K40" s="23">
        <f>4910</f>
        <v>4910</v>
      </c>
      <c r="L40" s="23">
        <f>2758540.67</f>
        <v>2758540.67</v>
      </c>
      <c r="M40" s="23">
        <f>2970468.73</f>
        <v>2970468.73</v>
      </c>
      <c r="N40" s="23">
        <f>298084</f>
        <v>298084</v>
      </c>
      <c r="O40" s="23">
        <f>0</f>
        <v>0</v>
      </c>
      <c r="P40" s="23">
        <f>0</f>
        <v>0</v>
      </c>
      <c r="Q40" s="23">
        <f>0</f>
        <v>0</v>
      </c>
    </row>
    <row r="41" spans="1:17" ht="28.5" customHeight="1" x14ac:dyDescent="0.2">
      <c r="A41" s="18" t="s">
        <v>29</v>
      </c>
      <c r="B41" s="24">
        <f>732502.13</f>
        <v>732502.13</v>
      </c>
      <c r="C41" s="24">
        <f>732502.13</f>
        <v>732502.13</v>
      </c>
      <c r="D41" s="24">
        <f>80000</f>
        <v>80000</v>
      </c>
      <c r="E41" s="24">
        <f>0</f>
        <v>0</v>
      </c>
      <c r="F41" s="24">
        <f>80000</f>
        <v>80000</v>
      </c>
      <c r="G41" s="24">
        <f>0</f>
        <v>0</v>
      </c>
      <c r="H41" s="24">
        <f>0</f>
        <v>0</v>
      </c>
      <c r="I41" s="24">
        <f>0</f>
        <v>0</v>
      </c>
      <c r="J41" s="24">
        <f>0</f>
        <v>0</v>
      </c>
      <c r="K41" s="24">
        <f>0</f>
        <v>0</v>
      </c>
      <c r="L41" s="24">
        <f>136951</f>
        <v>136951</v>
      </c>
      <c r="M41" s="24">
        <f>485551.13</f>
        <v>485551.13</v>
      </c>
      <c r="N41" s="24">
        <f>30000</f>
        <v>30000</v>
      </c>
      <c r="O41" s="24">
        <f>0</f>
        <v>0</v>
      </c>
      <c r="P41" s="24">
        <f>0</f>
        <v>0</v>
      </c>
      <c r="Q41" s="24">
        <f>0</f>
        <v>0</v>
      </c>
    </row>
    <row r="42" spans="1:17" ht="28.5" customHeight="1" x14ac:dyDescent="0.2">
      <c r="A42" s="18" t="s">
        <v>30</v>
      </c>
      <c r="B42" s="24">
        <f>5666099.87</f>
        <v>5666099.8700000001</v>
      </c>
      <c r="C42" s="24">
        <f>5666099.87</f>
        <v>5666099.8700000001</v>
      </c>
      <c r="D42" s="24">
        <f>50000</f>
        <v>50000</v>
      </c>
      <c r="E42" s="24">
        <f>50000</f>
        <v>50000</v>
      </c>
      <c r="F42" s="24">
        <f>0</f>
        <v>0</v>
      </c>
      <c r="G42" s="24">
        <f>0</f>
        <v>0</v>
      </c>
      <c r="H42" s="24">
        <f>0</f>
        <v>0</v>
      </c>
      <c r="I42" s="24">
        <f>0</f>
        <v>0</v>
      </c>
      <c r="J42" s="24">
        <f>236598.6</f>
        <v>236598.6</v>
      </c>
      <c r="K42" s="24">
        <f>4910</f>
        <v>4910</v>
      </c>
      <c r="L42" s="24">
        <f>2621589.67</f>
        <v>2621589.67</v>
      </c>
      <c r="M42" s="24">
        <f>2484917.6</f>
        <v>2484917.6</v>
      </c>
      <c r="N42" s="24">
        <f>268084</f>
        <v>268084</v>
      </c>
      <c r="O42" s="24">
        <f>0</f>
        <v>0</v>
      </c>
      <c r="P42" s="24">
        <f>0</f>
        <v>0</v>
      </c>
      <c r="Q42" s="24">
        <f>0</f>
        <v>0</v>
      </c>
    </row>
    <row r="43" spans="1:17" ht="28.5" customHeight="1" x14ac:dyDescent="0.2">
      <c r="A43" s="28" t="s">
        <v>41</v>
      </c>
      <c r="B43" s="23">
        <f>1662803538.4</f>
        <v>1662803538.4000001</v>
      </c>
      <c r="C43" s="23">
        <f>1662288416.51</f>
        <v>1662288416.51</v>
      </c>
      <c r="D43" s="23">
        <f>811679503.6</f>
        <v>811679503.60000002</v>
      </c>
      <c r="E43" s="23">
        <f>164485.7</f>
        <v>164485.70000000001</v>
      </c>
      <c r="F43" s="23">
        <f>415080.04</f>
        <v>415080.04</v>
      </c>
      <c r="G43" s="23">
        <f>806797201.86</f>
        <v>806797201.86000001</v>
      </c>
      <c r="H43" s="23">
        <f>4302736</f>
        <v>4302736</v>
      </c>
      <c r="I43" s="23">
        <f>0</f>
        <v>0</v>
      </c>
      <c r="J43" s="23">
        <f>33519477.4</f>
        <v>33519477.399999999</v>
      </c>
      <c r="K43" s="23">
        <f>213001.6</f>
        <v>213001.60000000001</v>
      </c>
      <c r="L43" s="23">
        <f>481388071.37</f>
        <v>481388071.37</v>
      </c>
      <c r="M43" s="23">
        <f>290299684.4</f>
        <v>290299684.39999998</v>
      </c>
      <c r="N43" s="23">
        <f>45188678.14</f>
        <v>45188678.140000001</v>
      </c>
      <c r="O43" s="23">
        <f>515121.89</f>
        <v>515121.89</v>
      </c>
      <c r="P43" s="23">
        <f>43197.6</f>
        <v>43197.599999999999</v>
      </c>
      <c r="Q43" s="23">
        <f>471924.29</f>
        <v>471924.29</v>
      </c>
    </row>
    <row r="44" spans="1:17" ht="32.25" customHeight="1" x14ac:dyDescent="0.2">
      <c r="A44" s="18" t="s">
        <v>31</v>
      </c>
      <c r="B44" s="24">
        <f>150682760.41</f>
        <v>150682760.41</v>
      </c>
      <c r="C44" s="24">
        <f>150177821.34</f>
        <v>150177821.34</v>
      </c>
      <c r="D44" s="24">
        <f>63178313.66</f>
        <v>63178313.659999996</v>
      </c>
      <c r="E44" s="24">
        <f>28880</f>
        <v>28880</v>
      </c>
      <c r="F44" s="24">
        <f>0</f>
        <v>0</v>
      </c>
      <c r="G44" s="24">
        <f>63149433.66</f>
        <v>63149433.659999996</v>
      </c>
      <c r="H44" s="24">
        <f>0</f>
        <v>0</v>
      </c>
      <c r="I44" s="24">
        <f>0</f>
        <v>0</v>
      </c>
      <c r="J44" s="24">
        <f>5448500.42</f>
        <v>5448500.4199999999</v>
      </c>
      <c r="K44" s="24">
        <f>0</f>
        <v>0</v>
      </c>
      <c r="L44" s="24">
        <f>46540533.89</f>
        <v>46540533.890000001</v>
      </c>
      <c r="M44" s="24">
        <f>21763584.04</f>
        <v>21763584.039999999</v>
      </c>
      <c r="N44" s="24">
        <f>13246889.33</f>
        <v>13246889.33</v>
      </c>
      <c r="O44" s="24">
        <f>504939.07</f>
        <v>504939.07</v>
      </c>
      <c r="P44" s="24">
        <f>33014.78</f>
        <v>33014.78</v>
      </c>
      <c r="Q44" s="24">
        <f>471924.29</f>
        <v>471924.29</v>
      </c>
    </row>
    <row r="45" spans="1:17" ht="32.25" customHeight="1" x14ac:dyDescent="0.2">
      <c r="A45" s="18" t="s">
        <v>32</v>
      </c>
      <c r="B45" s="24">
        <f>1512120777.99</f>
        <v>1512120777.99</v>
      </c>
      <c r="C45" s="24">
        <f>1512110595.17</f>
        <v>1512110595.1700001</v>
      </c>
      <c r="D45" s="24">
        <f>748501189.94</f>
        <v>748501189.94000006</v>
      </c>
      <c r="E45" s="24">
        <f>135605.7</f>
        <v>135605.70000000001</v>
      </c>
      <c r="F45" s="24">
        <f>415080.04</f>
        <v>415080.04</v>
      </c>
      <c r="G45" s="24">
        <f>743647768.2</f>
        <v>743647768.20000005</v>
      </c>
      <c r="H45" s="24">
        <f>4302736</f>
        <v>4302736</v>
      </c>
      <c r="I45" s="24">
        <f>0</f>
        <v>0</v>
      </c>
      <c r="J45" s="24">
        <f>28070976.98</f>
        <v>28070976.98</v>
      </c>
      <c r="K45" s="24">
        <f>213001.6</f>
        <v>213001.60000000001</v>
      </c>
      <c r="L45" s="24">
        <f>434847537.48</f>
        <v>434847537.48000002</v>
      </c>
      <c r="M45" s="24">
        <f>268536100.36</f>
        <v>268536100.36000001</v>
      </c>
      <c r="N45" s="24">
        <f>31941788.81</f>
        <v>31941788.809999999</v>
      </c>
      <c r="O45" s="24">
        <f>10182.82</f>
        <v>10182.82</v>
      </c>
      <c r="P45" s="24">
        <f>10182.82</f>
        <v>10182.82</v>
      </c>
      <c r="Q45" s="24">
        <f>0</f>
        <v>0</v>
      </c>
    </row>
    <row r="46" spans="1:17" ht="35.25" customHeight="1" x14ac:dyDescent="0.2">
      <c r="A46" s="28" t="s">
        <v>42</v>
      </c>
      <c r="B46" s="23">
        <f>72313901801.94</f>
        <v>72313901801.940002</v>
      </c>
      <c r="C46" s="23">
        <f>72313637266.62</f>
        <v>72313637266.619995</v>
      </c>
      <c r="D46" s="23">
        <f>5382334.77</f>
        <v>5382334.7699999996</v>
      </c>
      <c r="E46" s="23">
        <f>502996.9</f>
        <v>502996.9</v>
      </c>
      <c r="F46" s="23">
        <f>54453.16</f>
        <v>54453.16</v>
      </c>
      <c r="G46" s="23">
        <f>4824884.71</f>
        <v>4824884.71</v>
      </c>
      <c r="H46" s="23">
        <f>0</f>
        <v>0</v>
      </c>
      <c r="I46" s="23">
        <f>6301109.35</f>
        <v>6301109.3499999996</v>
      </c>
      <c r="J46" s="23">
        <f>72284596847.42</f>
        <v>72284596847.419998</v>
      </c>
      <c r="K46" s="23">
        <f>309631.52</f>
        <v>309631.52</v>
      </c>
      <c r="L46" s="23">
        <f>16767499.39</f>
        <v>16767499.390000001</v>
      </c>
      <c r="M46" s="23">
        <f>184912.14</f>
        <v>184912.14</v>
      </c>
      <c r="N46" s="23">
        <f>94932.03</f>
        <v>94932.03</v>
      </c>
      <c r="O46" s="23">
        <f>264535.32</f>
        <v>264535.32</v>
      </c>
      <c r="P46" s="23">
        <f>264535.32</f>
        <v>264535.32</v>
      </c>
      <c r="Q46" s="23">
        <f>0</f>
        <v>0</v>
      </c>
    </row>
    <row r="47" spans="1:17" ht="28.5" customHeight="1" x14ac:dyDescent="0.2">
      <c r="A47" s="18" t="s">
        <v>33</v>
      </c>
      <c r="B47" s="24">
        <f>4592778.03</f>
        <v>4592778.03</v>
      </c>
      <c r="C47" s="24">
        <f>4592778.03</f>
        <v>4592778.03</v>
      </c>
      <c r="D47" s="24">
        <f>4592778.03</f>
        <v>4592778.03</v>
      </c>
      <c r="E47" s="24">
        <f>0</f>
        <v>0</v>
      </c>
      <c r="F47" s="24">
        <f>0</f>
        <v>0</v>
      </c>
      <c r="G47" s="24">
        <f>4592778.03</f>
        <v>4592778.03</v>
      </c>
      <c r="H47" s="24">
        <f>0</f>
        <v>0</v>
      </c>
      <c r="I47" s="24">
        <f>0</f>
        <v>0</v>
      </c>
      <c r="J47" s="24">
        <f>0</f>
        <v>0</v>
      </c>
      <c r="K47" s="24">
        <f>0</f>
        <v>0</v>
      </c>
      <c r="L47" s="24">
        <f>0</f>
        <v>0</v>
      </c>
      <c r="M47" s="24">
        <f>0</f>
        <v>0</v>
      </c>
      <c r="N47" s="24">
        <f>0</f>
        <v>0</v>
      </c>
      <c r="O47" s="24">
        <f>0</f>
        <v>0</v>
      </c>
      <c r="P47" s="24">
        <f>0</f>
        <v>0</v>
      </c>
      <c r="Q47" s="24">
        <f>0</f>
        <v>0</v>
      </c>
    </row>
    <row r="48" spans="1:17" ht="28.5" customHeight="1" x14ac:dyDescent="0.2">
      <c r="A48" s="18" t="s">
        <v>34</v>
      </c>
      <c r="B48" s="24">
        <f>68394122890.63</f>
        <v>68394122890.629997</v>
      </c>
      <c r="C48" s="24">
        <f>68394122890.63</f>
        <v>68394122890.629997</v>
      </c>
      <c r="D48" s="24">
        <f>122710.71</f>
        <v>122710.71</v>
      </c>
      <c r="E48" s="24">
        <f>89540.34</f>
        <v>89540.34</v>
      </c>
      <c r="F48" s="24">
        <f>6863</f>
        <v>6863</v>
      </c>
      <c r="G48" s="24">
        <f>26307.37</f>
        <v>26307.37</v>
      </c>
      <c r="H48" s="24">
        <f>0</f>
        <v>0</v>
      </c>
      <c r="I48" s="24">
        <f>6217324.82</f>
        <v>6217324.8200000003</v>
      </c>
      <c r="J48" s="24">
        <f>68372286368.09</f>
        <v>68372286368.089996</v>
      </c>
      <c r="K48" s="24">
        <f>298610.2</f>
        <v>298610.2</v>
      </c>
      <c r="L48" s="24">
        <f>15092416.9</f>
        <v>15092416.9</v>
      </c>
      <c r="M48" s="24">
        <f>11176.79</f>
        <v>11176.79</v>
      </c>
      <c r="N48" s="24">
        <f>94283.12</f>
        <v>94283.12</v>
      </c>
      <c r="O48" s="24">
        <f>0</f>
        <v>0</v>
      </c>
      <c r="P48" s="24">
        <f>0</f>
        <v>0</v>
      </c>
      <c r="Q48" s="24">
        <f>0</f>
        <v>0</v>
      </c>
    </row>
    <row r="49" spans="1:17" ht="28.5" customHeight="1" x14ac:dyDescent="0.2">
      <c r="A49" s="18" t="s">
        <v>35</v>
      </c>
      <c r="B49" s="24">
        <f>3915186133.28</f>
        <v>3915186133.2800002</v>
      </c>
      <c r="C49" s="24">
        <f>3914921597.96</f>
        <v>3914921597.96</v>
      </c>
      <c r="D49" s="24">
        <f>666846.03</f>
        <v>666846.03</v>
      </c>
      <c r="E49" s="24">
        <f>413456.56</f>
        <v>413456.56</v>
      </c>
      <c r="F49" s="24">
        <f>47590.16</f>
        <v>47590.16</v>
      </c>
      <c r="G49" s="24">
        <f>205799.31</f>
        <v>205799.31</v>
      </c>
      <c r="H49" s="24">
        <f>0</f>
        <v>0</v>
      </c>
      <c r="I49" s="24">
        <f>83784.53</f>
        <v>83784.53</v>
      </c>
      <c r="J49" s="24">
        <f>3912310479.33</f>
        <v>3912310479.3299999</v>
      </c>
      <c r="K49" s="24">
        <f>11021.32</f>
        <v>11021.32</v>
      </c>
      <c r="L49" s="24">
        <f>1675082.49</f>
        <v>1675082.49</v>
      </c>
      <c r="M49" s="24">
        <f>173735.35</f>
        <v>173735.35</v>
      </c>
      <c r="N49" s="24">
        <f>648.91</f>
        <v>648.91</v>
      </c>
      <c r="O49" s="24">
        <f>264535.32</f>
        <v>264535.32</v>
      </c>
      <c r="P49" s="24">
        <f>264535.32</f>
        <v>264535.32</v>
      </c>
      <c r="Q49" s="24">
        <f>0</f>
        <v>0</v>
      </c>
    </row>
    <row r="50" spans="1:17" ht="35.25" customHeight="1" x14ac:dyDescent="0.2">
      <c r="A50" s="28" t="s">
        <v>43</v>
      </c>
      <c r="B50" s="23">
        <f>29134907021.15</f>
        <v>29134907021.150002</v>
      </c>
      <c r="C50" s="23">
        <f>29049142856.79</f>
        <v>29049142856.790001</v>
      </c>
      <c r="D50" s="23">
        <f>474087566.85</f>
        <v>474087566.85000002</v>
      </c>
      <c r="E50" s="23">
        <f>139029686.61</f>
        <v>139029686.61000001</v>
      </c>
      <c r="F50" s="23">
        <f>13987660.94</f>
        <v>13987660.939999999</v>
      </c>
      <c r="G50" s="23">
        <f>318534726.31</f>
        <v>318534726.31</v>
      </c>
      <c r="H50" s="23">
        <f>2535492.99</f>
        <v>2535492.9900000002</v>
      </c>
      <c r="I50" s="23">
        <f>0</f>
        <v>0</v>
      </c>
      <c r="J50" s="23">
        <f>21589291.92</f>
        <v>21589291.920000002</v>
      </c>
      <c r="K50" s="23">
        <f>38203657.21</f>
        <v>38203657.210000001</v>
      </c>
      <c r="L50" s="23">
        <f>7443439848.33</f>
        <v>7443439848.3299999</v>
      </c>
      <c r="M50" s="23">
        <f>20878333628.37</f>
        <v>20878333628.369999</v>
      </c>
      <c r="N50" s="23">
        <f>193488864.11</f>
        <v>193488864.11000001</v>
      </c>
      <c r="O50" s="23">
        <f>85764164.36</f>
        <v>85764164.359999999</v>
      </c>
      <c r="P50" s="23">
        <f>32359637.3</f>
        <v>32359637.300000001</v>
      </c>
      <c r="Q50" s="23">
        <f>53404527.06</f>
        <v>53404527.060000002</v>
      </c>
    </row>
    <row r="51" spans="1:17" ht="28.5" customHeight="1" x14ac:dyDescent="0.2">
      <c r="A51" s="18" t="s">
        <v>36</v>
      </c>
      <c r="B51" s="24">
        <f>7096591422.37</f>
        <v>7096591422.3699999</v>
      </c>
      <c r="C51" s="24">
        <f>7064170848.89</f>
        <v>7064170848.8900003</v>
      </c>
      <c r="D51" s="24">
        <f>83454461.81</f>
        <v>83454461.810000002</v>
      </c>
      <c r="E51" s="24">
        <f>3579891.78</f>
        <v>3579891.78</v>
      </c>
      <c r="F51" s="24">
        <f>5045795.54</f>
        <v>5045795.54</v>
      </c>
      <c r="G51" s="24">
        <f>73566081.05</f>
        <v>73566081.049999997</v>
      </c>
      <c r="H51" s="24">
        <f>1262693.44</f>
        <v>1262693.44</v>
      </c>
      <c r="I51" s="24">
        <f>0</f>
        <v>0</v>
      </c>
      <c r="J51" s="24">
        <f>871364.03</f>
        <v>871364.03</v>
      </c>
      <c r="K51" s="24">
        <f>2314718.4</f>
        <v>2314718.4</v>
      </c>
      <c r="L51" s="24">
        <f>1262839388.71</f>
        <v>1262839388.71</v>
      </c>
      <c r="M51" s="24">
        <f>5635101455.74</f>
        <v>5635101455.7399998</v>
      </c>
      <c r="N51" s="24">
        <f>79589460.2</f>
        <v>79589460.200000003</v>
      </c>
      <c r="O51" s="24">
        <f>32420573.48</f>
        <v>32420573.48</v>
      </c>
      <c r="P51" s="24">
        <f>1114153.02</f>
        <v>1114153.02</v>
      </c>
      <c r="Q51" s="24">
        <f>31306420.46</f>
        <v>31306420.460000001</v>
      </c>
    </row>
    <row r="52" spans="1:17" ht="28.5" customHeight="1" x14ac:dyDescent="0.2">
      <c r="A52" s="18" t="s">
        <v>37</v>
      </c>
      <c r="B52" s="24">
        <f>22038315598.78</f>
        <v>22038315598.779999</v>
      </c>
      <c r="C52" s="24">
        <f>21984972007.9</f>
        <v>21984972007.900002</v>
      </c>
      <c r="D52" s="24">
        <f>390633105.04</f>
        <v>390633105.04000002</v>
      </c>
      <c r="E52" s="24">
        <f>135449794.83</f>
        <v>135449794.83000001</v>
      </c>
      <c r="F52" s="24">
        <f>8941865.4</f>
        <v>8941865.4000000004</v>
      </c>
      <c r="G52" s="24">
        <f>244968645.26</f>
        <v>244968645.25999999</v>
      </c>
      <c r="H52" s="24">
        <f>1272799.55</f>
        <v>1272799.55</v>
      </c>
      <c r="I52" s="24">
        <f>0</f>
        <v>0</v>
      </c>
      <c r="J52" s="24">
        <f>20717927.89</f>
        <v>20717927.890000001</v>
      </c>
      <c r="K52" s="24">
        <f>35888938.81</f>
        <v>35888938.810000002</v>
      </c>
      <c r="L52" s="24">
        <f>6180600459.62</f>
        <v>6180600459.6199999</v>
      </c>
      <c r="M52" s="24">
        <f>15243232172.63</f>
        <v>15243232172.629999</v>
      </c>
      <c r="N52" s="24">
        <f>113899403.91</f>
        <v>113899403.91</v>
      </c>
      <c r="O52" s="24">
        <f>53343590.88</f>
        <v>53343590.880000003</v>
      </c>
      <c r="P52" s="24">
        <f>31245484.28</f>
        <v>31245484.280000001</v>
      </c>
      <c r="Q52" s="24">
        <f>22098106.6</f>
        <v>22098106.600000001</v>
      </c>
    </row>
    <row r="53" spans="1:17" ht="35.25" customHeight="1" x14ac:dyDescent="0.2">
      <c r="A53" s="28" t="s">
        <v>44</v>
      </c>
      <c r="B53" s="23">
        <f>8639044471.42</f>
        <v>8639044471.4200001</v>
      </c>
      <c r="C53" s="23">
        <f>8631124250.87</f>
        <v>8631124250.8700008</v>
      </c>
      <c r="D53" s="23">
        <f>1429496261.23</f>
        <v>1429496261.23</v>
      </c>
      <c r="E53" s="23">
        <f>776054033.75</f>
        <v>776054033.75</v>
      </c>
      <c r="F53" s="23">
        <f>33537919.12</f>
        <v>33537919.120000001</v>
      </c>
      <c r="G53" s="23">
        <f>581806545.79</f>
        <v>581806545.78999996</v>
      </c>
      <c r="H53" s="23">
        <f>38097762.57</f>
        <v>38097762.57</v>
      </c>
      <c r="I53" s="23">
        <f>91442.59</f>
        <v>91442.59</v>
      </c>
      <c r="J53" s="23">
        <f>49875694.2</f>
        <v>49875694.200000003</v>
      </c>
      <c r="K53" s="23">
        <f>46299069.72</f>
        <v>46299069.719999999</v>
      </c>
      <c r="L53" s="23">
        <f>4364009743.66</f>
        <v>4364009743.6599998</v>
      </c>
      <c r="M53" s="23">
        <f>2387198123.48</f>
        <v>2387198123.48</v>
      </c>
      <c r="N53" s="23">
        <f>354153915.99</f>
        <v>354153915.99000001</v>
      </c>
      <c r="O53" s="23">
        <f>7920220.55</f>
        <v>7920220.5499999998</v>
      </c>
      <c r="P53" s="23">
        <f>5579452.58</f>
        <v>5579452.5800000001</v>
      </c>
      <c r="Q53" s="23">
        <f>2340767.97</f>
        <v>2340767.9700000002</v>
      </c>
    </row>
    <row r="54" spans="1:17" ht="28.5" customHeight="1" x14ac:dyDescent="0.2">
      <c r="A54" s="18" t="s">
        <v>38</v>
      </c>
      <c r="B54" s="24">
        <f>1406208923.7</f>
        <v>1406208923.7</v>
      </c>
      <c r="C54" s="24">
        <f>1405288112.16</f>
        <v>1405288112.1600001</v>
      </c>
      <c r="D54" s="24">
        <f>111560197.03</f>
        <v>111560197.03</v>
      </c>
      <c r="E54" s="24">
        <f>22359822.01</f>
        <v>22359822.010000002</v>
      </c>
      <c r="F54" s="24">
        <f>1988066.85</f>
        <v>1988066.85</v>
      </c>
      <c r="G54" s="24">
        <f>73904127.55</f>
        <v>73904127.549999997</v>
      </c>
      <c r="H54" s="24">
        <f>13308180.62</f>
        <v>13308180.619999999</v>
      </c>
      <c r="I54" s="24">
        <f>86.59</f>
        <v>86.59</v>
      </c>
      <c r="J54" s="24">
        <f>476195.11</f>
        <v>476195.11</v>
      </c>
      <c r="K54" s="24">
        <f>1528203.13</f>
        <v>1528203.13</v>
      </c>
      <c r="L54" s="24">
        <f>615118643.54</f>
        <v>615118643.53999996</v>
      </c>
      <c r="M54" s="24">
        <f>658838191</f>
        <v>658838191</v>
      </c>
      <c r="N54" s="24">
        <f>17766595.76</f>
        <v>17766595.760000002</v>
      </c>
      <c r="O54" s="24">
        <f>920811.54</f>
        <v>920811.54</v>
      </c>
      <c r="P54" s="24">
        <f>155784.2</f>
        <v>155784.20000000001</v>
      </c>
      <c r="Q54" s="24">
        <f>765027.34</f>
        <v>765027.34</v>
      </c>
    </row>
    <row r="55" spans="1:17" ht="47.25" customHeight="1" x14ac:dyDescent="0.2">
      <c r="A55" s="18" t="s">
        <v>78</v>
      </c>
      <c r="B55" s="24">
        <f>584216626.02</f>
        <v>584216626.01999998</v>
      </c>
      <c r="C55" s="24">
        <f>584212186.02</f>
        <v>584212186.01999998</v>
      </c>
      <c r="D55" s="24">
        <f>130773254.57</f>
        <v>130773254.56999999</v>
      </c>
      <c r="E55" s="24">
        <f>112658821.39</f>
        <v>112658821.39</v>
      </c>
      <c r="F55" s="24">
        <f>3887801.8</f>
        <v>3887801.8</v>
      </c>
      <c r="G55" s="24">
        <f>12162482.51</f>
        <v>12162482.51</v>
      </c>
      <c r="H55" s="24">
        <f>2064148.87</f>
        <v>2064148.87</v>
      </c>
      <c r="I55" s="24">
        <f>0</f>
        <v>0</v>
      </c>
      <c r="J55" s="24">
        <f>19443.9</f>
        <v>19443.900000000001</v>
      </c>
      <c r="K55" s="24">
        <f>2157207.87</f>
        <v>2157207.87</v>
      </c>
      <c r="L55" s="24">
        <f>294371371</f>
        <v>294371371</v>
      </c>
      <c r="M55" s="24">
        <f>154800232.93</f>
        <v>154800232.93000001</v>
      </c>
      <c r="N55" s="24">
        <f>2090675.75</f>
        <v>2090675.75</v>
      </c>
      <c r="O55" s="24">
        <f>4440</f>
        <v>4440</v>
      </c>
      <c r="P55" s="24">
        <f>4440</f>
        <v>4440</v>
      </c>
      <c r="Q55" s="24">
        <f>0</f>
        <v>0</v>
      </c>
    </row>
    <row r="56" spans="1:17" ht="35.25" customHeight="1" x14ac:dyDescent="0.2">
      <c r="A56" s="18" t="s">
        <v>39</v>
      </c>
      <c r="B56" s="24">
        <f>6648618921.7</f>
        <v>6648618921.6999998</v>
      </c>
      <c r="C56" s="24">
        <f>6641623952.69</f>
        <v>6641623952.6899996</v>
      </c>
      <c r="D56" s="24">
        <f>1187162809.63</f>
        <v>1187162809.6300001</v>
      </c>
      <c r="E56" s="24">
        <f>641035390.35</f>
        <v>641035390.35000002</v>
      </c>
      <c r="F56" s="24">
        <f>27662050.47</f>
        <v>27662050.469999999</v>
      </c>
      <c r="G56" s="24">
        <f>495739935.73</f>
        <v>495739935.73000002</v>
      </c>
      <c r="H56" s="24">
        <f>22725433.08</f>
        <v>22725433.079999998</v>
      </c>
      <c r="I56" s="24">
        <f>91356</f>
        <v>91356</v>
      </c>
      <c r="J56" s="24">
        <f>49380055.19</f>
        <v>49380055.189999998</v>
      </c>
      <c r="K56" s="24">
        <f>42613658.72</f>
        <v>42613658.719999999</v>
      </c>
      <c r="L56" s="24">
        <f>3454519729.12</f>
        <v>3454519729.1199999</v>
      </c>
      <c r="M56" s="24">
        <f>1573559699.55</f>
        <v>1573559699.55</v>
      </c>
      <c r="N56" s="24">
        <f>334296644.48</f>
        <v>334296644.48000002</v>
      </c>
      <c r="O56" s="24">
        <f>6994969.01</f>
        <v>6994969.0099999998</v>
      </c>
      <c r="P56" s="24">
        <f>5419228.38</f>
        <v>5419228.3799999999</v>
      </c>
      <c r="Q56" s="24">
        <f>1575740.63</f>
        <v>1575740.63</v>
      </c>
    </row>
    <row r="67" spans="1:13" ht="75" customHeight="1" x14ac:dyDescent="0.2">
      <c r="A67" s="33" t="str">
        <f>CONCATENATE("Informacja z wykonania budżetów jednostek samorządu terytorialnego za ",$C$94," ",$B$95," roku")</f>
        <v>Informacja z wykonania budżetów jednostek samorządu terytorialnego za IV Kwartały 2024 roku</v>
      </c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</row>
    <row r="68" spans="1:13" ht="13.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3.5" customHeight="1" x14ac:dyDescent="0.2">
      <c r="B69" s="43" t="s">
        <v>2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</row>
    <row r="71" spans="1:13" ht="13.5" customHeight="1" x14ac:dyDescent="0.2">
      <c r="B71" s="46" t="s">
        <v>0</v>
      </c>
      <c r="C71" s="47"/>
      <c r="D71" s="47"/>
      <c r="E71" s="48"/>
      <c r="F71" s="65" t="s">
        <v>68</v>
      </c>
      <c r="G71" s="29" t="s">
        <v>74</v>
      </c>
      <c r="H71" s="30"/>
      <c r="I71" s="30"/>
      <c r="J71" s="30"/>
      <c r="K71" s="30"/>
      <c r="L71" s="31"/>
    </row>
    <row r="72" spans="1:13" ht="13.5" customHeight="1" x14ac:dyDescent="0.2">
      <c r="B72" s="49"/>
      <c r="C72" s="50"/>
      <c r="D72" s="50"/>
      <c r="E72" s="51"/>
      <c r="F72" s="66"/>
      <c r="G72" s="32" t="s">
        <v>69</v>
      </c>
      <c r="H72" s="32" t="s">
        <v>66</v>
      </c>
      <c r="I72" s="32" t="s">
        <v>67</v>
      </c>
      <c r="J72" s="32" t="s">
        <v>70</v>
      </c>
      <c r="K72" s="32" t="s">
        <v>71</v>
      </c>
      <c r="L72" s="37" t="s">
        <v>72</v>
      </c>
    </row>
    <row r="73" spans="1:13" ht="13.5" customHeight="1" x14ac:dyDescent="0.2">
      <c r="B73" s="49"/>
      <c r="C73" s="50"/>
      <c r="D73" s="50"/>
      <c r="E73" s="51"/>
      <c r="F73" s="66"/>
      <c r="G73" s="32"/>
      <c r="H73" s="32"/>
      <c r="I73" s="32"/>
      <c r="J73" s="32"/>
      <c r="K73" s="32"/>
      <c r="L73" s="37"/>
    </row>
    <row r="74" spans="1:13" ht="11.25" customHeight="1" x14ac:dyDescent="0.2">
      <c r="B74" s="49"/>
      <c r="C74" s="50"/>
      <c r="D74" s="50"/>
      <c r="E74" s="51"/>
      <c r="F74" s="66"/>
      <c r="G74" s="32"/>
      <c r="H74" s="32"/>
      <c r="I74" s="32"/>
      <c r="J74" s="32"/>
      <c r="K74" s="32"/>
      <c r="L74" s="37"/>
    </row>
    <row r="75" spans="1:13" ht="20.25" customHeight="1" x14ac:dyDescent="0.2">
      <c r="B75" s="52"/>
      <c r="C75" s="53"/>
      <c r="D75" s="53"/>
      <c r="E75" s="54"/>
      <c r="F75" s="67"/>
      <c r="G75" s="32"/>
      <c r="H75" s="32"/>
      <c r="I75" s="32"/>
      <c r="J75" s="32"/>
      <c r="K75" s="32"/>
      <c r="L75" s="37"/>
    </row>
    <row r="76" spans="1:13" ht="13.5" customHeight="1" x14ac:dyDescent="0.2">
      <c r="B76" s="32">
        <v>1</v>
      </c>
      <c r="C76" s="32"/>
      <c r="D76" s="32"/>
      <c r="E76" s="32"/>
      <c r="F76" s="15">
        <v>2</v>
      </c>
      <c r="G76" s="15">
        <v>3</v>
      </c>
      <c r="H76" s="15">
        <v>4</v>
      </c>
      <c r="I76" s="15">
        <v>5</v>
      </c>
      <c r="J76" s="15">
        <v>6</v>
      </c>
      <c r="K76" s="15">
        <v>7</v>
      </c>
      <c r="L76" s="15">
        <v>8</v>
      </c>
    </row>
    <row r="77" spans="1:13" ht="33.75" customHeight="1" x14ac:dyDescent="0.2">
      <c r="B77" s="55" t="s">
        <v>53</v>
      </c>
      <c r="C77" s="56"/>
      <c r="D77" s="56"/>
      <c r="E77" s="57"/>
      <c r="F77" s="22">
        <f>4344754929.07</f>
        <v>4344754929.0699997</v>
      </c>
      <c r="G77" s="22">
        <f>1132964945.09</f>
        <v>1132964945.0899999</v>
      </c>
      <c r="H77" s="22">
        <f>80662157.82</f>
        <v>80662157.819999993</v>
      </c>
      <c r="I77" s="22">
        <f>202304147.93</f>
        <v>202304147.93000001</v>
      </c>
      <c r="J77" s="22">
        <f>784278518.94</f>
        <v>784278518.94000006</v>
      </c>
      <c r="K77" s="22">
        <f>65720120.4</f>
        <v>65720120.399999999</v>
      </c>
      <c r="L77" s="22">
        <f>3211789983.98</f>
        <v>3211789983.98</v>
      </c>
    </row>
    <row r="78" spans="1:13" ht="33.75" customHeight="1" x14ac:dyDescent="0.2">
      <c r="B78" s="38" t="s">
        <v>54</v>
      </c>
      <c r="C78" s="39"/>
      <c r="D78" s="39"/>
      <c r="E78" s="40"/>
      <c r="F78" s="25">
        <f>35129038.22</f>
        <v>35129038.219999999</v>
      </c>
      <c r="G78" s="25">
        <f>23217459</f>
        <v>23217459</v>
      </c>
      <c r="H78" s="25">
        <f>489495</f>
        <v>489495</v>
      </c>
      <c r="I78" s="25">
        <f>22368000</f>
        <v>22368000</v>
      </c>
      <c r="J78" s="25">
        <f>359964</f>
        <v>359964</v>
      </c>
      <c r="K78" s="25">
        <f>0</f>
        <v>0</v>
      </c>
      <c r="L78" s="25">
        <f>11911579.22</f>
        <v>11911579.220000001</v>
      </c>
    </row>
    <row r="79" spans="1:13" ht="33.75" customHeight="1" x14ac:dyDescent="0.2">
      <c r="B79" s="38" t="s">
        <v>55</v>
      </c>
      <c r="C79" s="39"/>
      <c r="D79" s="39"/>
      <c r="E79" s="40"/>
      <c r="F79" s="25">
        <f>490683337.12</f>
        <v>490683337.12</v>
      </c>
      <c r="G79" s="25">
        <f>109268368.28</f>
        <v>109268368.28</v>
      </c>
      <c r="H79" s="25">
        <f>2000000</f>
        <v>2000000</v>
      </c>
      <c r="I79" s="25">
        <f>15140893</f>
        <v>15140893</v>
      </c>
      <c r="J79" s="25">
        <f>92017889.24</f>
        <v>92017889.239999995</v>
      </c>
      <c r="K79" s="25">
        <f>109586.04</f>
        <v>109586.04</v>
      </c>
      <c r="L79" s="25">
        <f>381414968.84</f>
        <v>381414968.83999997</v>
      </c>
    </row>
    <row r="80" spans="1:13" ht="22.5" customHeight="1" x14ac:dyDescent="0.2">
      <c r="B80" s="38" t="s">
        <v>56</v>
      </c>
      <c r="C80" s="39"/>
      <c r="D80" s="39"/>
      <c r="E80" s="40"/>
      <c r="F80" s="25">
        <f>104282263.39</f>
        <v>104282263.39</v>
      </c>
      <c r="G80" s="25">
        <f>60503838.91</f>
        <v>60503838.909999996</v>
      </c>
      <c r="H80" s="25">
        <f>0</f>
        <v>0</v>
      </c>
      <c r="I80" s="25">
        <f>0</f>
        <v>0</v>
      </c>
      <c r="J80" s="25">
        <f>60503838.91</f>
        <v>60503838.909999996</v>
      </c>
      <c r="K80" s="25">
        <f>0</f>
        <v>0</v>
      </c>
      <c r="L80" s="25">
        <f>43778424.48</f>
        <v>43778424.479999997</v>
      </c>
    </row>
    <row r="81" spans="1:13" ht="33.75" customHeight="1" x14ac:dyDescent="0.2">
      <c r="B81" s="38" t="s">
        <v>57</v>
      </c>
      <c r="C81" s="39"/>
      <c r="D81" s="39"/>
      <c r="E81" s="40"/>
      <c r="F81" s="25">
        <f>21075037.64</f>
        <v>21075037.640000001</v>
      </c>
      <c r="G81" s="25">
        <f>20623625.13</f>
        <v>20623625.129999999</v>
      </c>
      <c r="H81" s="25">
        <f>0</f>
        <v>0</v>
      </c>
      <c r="I81" s="25">
        <f>0</f>
        <v>0</v>
      </c>
      <c r="J81" s="25">
        <f>20623625.13</f>
        <v>20623625.129999999</v>
      </c>
      <c r="K81" s="25">
        <f>0</f>
        <v>0</v>
      </c>
      <c r="L81" s="25">
        <f>451412.51</f>
        <v>451412.51</v>
      </c>
    </row>
    <row r="82" spans="1:13" ht="33.75" customHeight="1" x14ac:dyDescent="0.2">
      <c r="B82" s="38" t="s">
        <v>58</v>
      </c>
      <c r="C82" s="39"/>
      <c r="D82" s="39"/>
      <c r="E82" s="40"/>
      <c r="F82" s="25">
        <f>46662345.39</f>
        <v>46662345.390000001</v>
      </c>
      <c r="G82" s="25">
        <f>34886204.1</f>
        <v>34886204.100000001</v>
      </c>
      <c r="H82" s="25">
        <f>0</f>
        <v>0</v>
      </c>
      <c r="I82" s="25">
        <f>0</f>
        <v>0</v>
      </c>
      <c r="J82" s="25">
        <f>34886204.1</f>
        <v>34886204.100000001</v>
      </c>
      <c r="K82" s="25">
        <f>0</f>
        <v>0</v>
      </c>
      <c r="L82" s="25">
        <f>11776141.29</f>
        <v>11776141.289999999</v>
      </c>
    </row>
    <row r="83" spans="1:13" ht="33" customHeight="1" x14ac:dyDescent="0.2">
      <c r="B83" s="55" t="s">
        <v>59</v>
      </c>
      <c r="C83" s="56"/>
      <c r="D83" s="56"/>
      <c r="E83" s="57"/>
      <c r="F83" s="22">
        <f>3156954.25</f>
        <v>3156954.25</v>
      </c>
      <c r="G83" s="22">
        <f>2245806.99</f>
        <v>2245806.9900000002</v>
      </c>
      <c r="H83" s="22">
        <f>0</f>
        <v>0</v>
      </c>
      <c r="I83" s="22">
        <f>0</f>
        <v>0</v>
      </c>
      <c r="J83" s="22">
        <f>2245806.99</f>
        <v>2245806.9900000002</v>
      </c>
      <c r="K83" s="22">
        <f>0</f>
        <v>0</v>
      </c>
      <c r="L83" s="22">
        <f>911147.26</f>
        <v>911147.26</v>
      </c>
    </row>
    <row r="86" spans="1:13" ht="75" customHeight="1" x14ac:dyDescent="0.2">
      <c r="A86" s="33" t="str">
        <f>CONCATENATE("Informacja z wykonania budżetów jednostek samorządu terytorialnego za ",$C$94," ",$B$95," roku")</f>
        <v>Informacja z wykonania budżetów jednostek samorządu terytorialnego za IV Kwartały 2024 roku</v>
      </c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</row>
    <row r="87" spans="1:13" ht="13.5" customHeight="1" x14ac:dyDescent="0.2">
      <c r="B87" s="3"/>
    </row>
    <row r="88" spans="1:13" ht="13.5" customHeight="1" x14ac:dyDescent="0.2">
      <c r="B88" s="4"/>
      <c r="C88" s="44"/>
      <c r="D88" s="60"/>
      <c r="E88" s="60"/>
      <c r="F88" s="45"/>
      <c r="G88" s="44" t="s">
        <v>3</v>
      </c>
      <c r="H88" s="45"/>
      <c r="I88" s="44" t="s">
        <v>4</v>
      </c>
      <c r="J88" s="45"/>
      <c r="K88" s="4"/>
    </row>
    <row r="89" spans="1:13" ht="13.5" customHeight="1" x14ac:dyDescent="0.2">
      <c r="B89" s="5"/>
      <c r="C89" s="55" t="s">
        <v>5</v>
      </c>
      <c r="D89" s="56"/>
      <c r="E89" s="56"/>
      <c r="F89" s="57"/>
      <c r="G89" s="58">
        <f>1242</f>
        <v>1242</v>
      </c>
      <c r="H89" s="59"/>
      <c r="I89" s="41">
        <f>9847781054.19</f>
        <v>9847781054.1900005</v>
      </c>
      <c r="J89" s="42"/>
      <c r="K89" s="6"/>
    </row>
    <row r="90" spans="1:13" ht="13.5" customHeight="1" x14ac:dyDescent="0.2">
      <c r="B90" s="5"/>
      <c r="C90" s="38" t="s">
        <v>6</v>
      </c>
      <c r="D90" s="39"/>
      <c r="E90" s="39"/>
      <c r="F90" s="40"/>
      <c r="G90" s="61">
        <f>1565</f>
        <v>1565</v>
      </c>
      <c r="H90" s="62"/>
      <c r="I90" s="63">
        <f>-10667071163.05</f>
        <v>-10667071163.049999</v>
      </c>
      <c r="J90" s="64"/>
      <c r="K90" s="6"/>
    </row>
    <row r="91" spans="1:13" ht="13.5" customHeight="1" x14ac:dyDescent="0.2">
      <c r="B91" s="5"/>
      <c r="C91" s="55" t="s">
        <v>7</v>
      </c>
      <c r="D91" s="56"/>
      <c r="E91" s="56"/>
      <c r="F91" s="57"/>
      <c r="G91" s="58">
        <f>0</f>
        <v>0</v>
      </c>
      <c r="H91" s="59"/>
      <c r="I91" s="41">
        <f>0</f>
        <v>0</v>
      </c>
      <c r="J91" s="42"/>
      <c r="K91" s="6"/>
    </row>
    <row r="94" spans="1:13" ht="13.5" customHeight="1" x14ac:dyDescent="0.2">
      <c r="A94" s="7" t="s">
        <v>8</v>
      </c>
      <c r="B94" s="7">
        <f>4</f>
        <v>4</v>
      </c>
      <c r="C94" s="7" t="str">
        <f>IF(B94=1,"I Kwartał",IF(B94=2,"II Kwartały",IF(B94=3,"III Kwartały",IF(B94=4,"IV Kwartały","-"))))</f>
        <v>IV Kwartały</v>
      </c>
    </row>
    <row r="95" spans="1:13" ht="13.5" customHeight="1" x14ac:dyDescent="0.2">
      <c r="A95" s="7" t="s">
        <v>9</v>
      </c>
      <c r="B95" s="7">
        <f>2024</f>
        <v>2024</v>
      </c>
      <c r="C95" s="8"/>
    </row>
    <row r="96" spans="1:13" ht="13.5" customHeight="1" x14ac:dyDescent="0.2">
      <c r="A96" s="7" t="s">
        <v>10</v>
      </c>
      <c r="B96" s="9" t="str">
        <f>"Mar 18 2025 12:00AM"</f>
        <v>Mar 18 2025 12:00AM</v>
      </c>
      <c r="C96" s="8"/>
    </row>
  </sheetData>
  <mergeCells count="75">
    <mergeCell ref="K72:K75"/>
    <mergeCell ref="G35:G38"/>
    <mergeCell ref="Q7:Q11"/>
    <mergeCell ref="C34:N34"/>
    <mergeCell ref="L7:L11"/>
    <mergeCell ref="M7:M11"/>
    <mergeCell ref="N7:N11"/>
    <mergeCell ref="P7:P11"/>
    <mergeCell ref="G7:G11"/>
    <mergeCell ref="F7:F11"/>
    <mergeCell ref="I7:I11"/>
    <mergeCell ref="J7:J11"/>
    <mergeCell ref="H35:H38"/>
    <mergeCell ref="K35:K38"/>
    <mergeCell ref="I35:I38"/>
    <mergeCell ref="J35:J38"/>
    <mergeCell ref="E35:E38"/>
    <mergeCell ref="H72:H75"/>
    <mergeCell ref="I72:I75"/>
    <mergeCell ref="J72:J75"/>
    <mergeCell ref="A1:M1"/>
    <mergeCell ref="C5:M5"/>
    <mergeCell ref="A3:M3"/>
    <mergeCell ref="K7:K11"/>
    <mergeCell ref="C7:C11"/>
    <mergeCell ref="B6:B11"/>
    <mergeCell ref="A6:A11"/>
    <mergeCell ref="C6:N6"/>
    <mergeCell ref="D7:D11"/>
    <mergeCell ref="E7:E11"/>
    <mergeCell ref="L72:L75"/>
    <mergeCell ref="F35:F38"/>
    <mergeCell ref="A30:M30"/>
    <mergeCell ref="G91:H91"/>
    <mergeCell ref="I91:J91"/>
    <mergeCell ref="C88:F88"/>
    <mergeCell ref="C89:F89"/>
    <mergeCell ref="C90:F90"/>
    <mergeCell ref="C91:F91"/>
    <mergeCell ref="G89:H89"/>
    <mergeCell ref="G88:H88"/>
    <mergeCell ref="G90:H90"/>
    <mergeCell ref="I90:J90"/>
    <mergeCell ref="B82:E82"/>
    <mergeCell ref="I89:J89"/>
    <mergeCell ref="B69:M69"/>
    <mergeCell ref="I88:J88"/>
    <mergeCell ref="B76:E76"/>
    <mergeCell ref="B71:E75"/>
    <mergeCell ref="B83:E83"/>
    <mergeCell ref="A86:M86"/>
    <mergeCell ref="B79:E79"/>
    <mergeCell ref="B80:E80"/>
    <mergeCell ref="B81:E81"/>
    <mergeCell ref="B78:E78"/>
    <mergeCell ref="B77:E77"/>
    <mergeCell ref="F71:F75"/>
    <mergeCell ref="G72:G75"/>
    <mergeCell ref="G71:L71"/>
    <mergeCell ref="O6:Q6"/>
    <mergeCell ref="O7:O11"/>
    <mergeCell ref="A67:M67"/>
    <mergeCell ref="L35:L38"/>
    <mergeCell ref="P35:P38"/>
    <mergeCell ref="Q35:Q38"/>
    <mergeCell ref="N35:N38"/>
    <mergeCell ref="O35:O38"/>
    <mergeCell ref="D35:D38"/>
    <mergeCell ref="H7:H11"/>
    <mergeCell ref="M35:M38"/>
    <mergeCell ref="O34:Q34"/>
    <mergeCell ref="A32:M32"/>
    <mergeCell ref="B34:B38"/>
    <mergeCell ref="A34:A38"/>
    <mergeCell ref="C35:C38"/>
  </mergeCells>
  <phoneticPr fontId="4" type="noConversion"/>
  <pageMargins left="0" right="0" top="0.19685039370078741" bottom="0.19685039370078741" header="0" footer="0"/>
  <pageSetup paperSize="9" scale="67" orientation="landscape" useFirstPageNumber="1" horizontalDpi="300" verticalDpi="300" r:id="rId1"/>
  <headerFooter alignWithMargins="0">
    <oddFooter>&amp;L&amp;D&amp;Rstrona &amp;P z 3</oddFooter>
  </headerFooter>
  <rowBreaks count="2" manualBreakCount="2">
    <brk id="29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2016-08-26T11:29:32Z</cp:lastPrinted>
  <dcterms:created xsi:type="dcterms:W3CDTF">2001-05-17T08:58:03Z</dcterms:created>
  <dcterms:modified xsi:type="dcterms:W3CDTF">2025-03-28T13:58:09Z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2025-03-28T14:58:08.4624493+01:00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GRN-8858d98e-dbdd-4322-b11c-b86f4199703e</vt:lpwstr>
  </property>
  <property fmtid="{D5CDD505-2E9C-101B-9397-08002B2CF9AE}" pid="7" name="MFHash">
    <vt:lpwstr>ZWu1+gHpDPQlnUewmPD9k1Gf5tMLN5R5wGVK43y8ex8=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