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<sst xmlns="http://schemas.openxmlformats.org/spreadsheetml/2006/main" count="95" uniqueCount="78">
  <si>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</si>
  <si>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</si>
  <si>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</si>
  <si>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</si>
  <si>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</si>
  <si>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</si>
  <si>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</si>
  <si>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</si>
  <si>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</si>
  <si>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</si>
  <si>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</si>
  <si>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</si>
  <si>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</si>
  <si>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</si>
  <si>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</si>
  <si>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</si>
  <si>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</si>
  <si>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</si>
  <si>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</si>
  <si>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</si>
  <si>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</si>
  <si>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</si>
  <si>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</si>
  <si>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</si>
  <si>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</si>
  <si>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</si>
  <si>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</si>
  <si>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</si>
  <si>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</si>
  <si>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</si>
  <si>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</si>
  <si>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</si>
  <si>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</si>
  <si>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</si>
  <si>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</si>
  <si>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</si>
  <si>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</si>
  <si>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</si>
  <si>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</si>
  <si>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</si>
  <si>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</si>
  <si>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</si>
  <si>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</si>
  <si>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</si>
  <si>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</si>
  <si>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</si>
  <si>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</si>
  <si>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</si>
  <si>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</si>
  <si>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</si>
  <si>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</si>
  <si>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</si>
  <si>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</si>
  <si>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</si>
  <si>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</si>
  <si>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</si>
  <si>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</si>
  <si>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</si>
  <si>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</si>
  <si>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</si>
  <si>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</si>
  <si>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</si>
  <si>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</si>
  <si>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</si>
  <si>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</si>
  <si>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</si>
  <si>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</si>
  <si>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</si>
  <si>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</si>
  <si>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</si>
  <si>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</si>
  <si>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</si>
  <si>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</si>
  <si>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</si>
  <si>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</si>
  <si>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</si>
  <si>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</si>
  <si>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II Kwartały 2018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</si>
</sst>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3.125" style="2" customWidth="1"/>
    <col min="3" max="3" width="13.875" style="2" customWidth="1"/>
    <col min="4" max="4" width="12.625" style="2" customWidth="1"/>
    <col min="5" max="7" width="11.25390625" style="2" bestFit="1" customWidth="1"/>
    <col min="8" max="8" width="9.375" style="2" bestFit="1" customWidth="1"/>
    <col min="9" max="9" width="10.75390625" style="2" customWidth="1"/>
    <col min="10" max="10" width="12.00390625" style="2" bestFit="1" customWidth="1"/>
    <col min="11" max="11" width="10.125" style="2" bestFit="1" customWidth="1"/>
    <col min="12" max="12" width="13.25390625" style="2" customWidth="1"/>
    <col min="13" max="13" width="12.00390625" style="2" bestFit="1" customWidth="1"/>
    <col min="14" max="14" width="10.875" style="2" bestFit="1" customWidth="1"/>
    <col min="15" max="16" width="12.00390625" style="2" bestFit="1" customWidth="1"/>
    <col min="17" max="17" width="9.625" style="2" bestFit="1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66929161929.23</f>
        <v>66929161929.23</v>
      </c>
      <c r="C13" s="20">
        <f>51657430840.48</f>
        <v>51657430840.48</v>
      </c>
      <c r="D13" s="20">
        <f>3106459966.86</f>
        <v>3106459966.86</v>
      </c>
      <c r="E13" s="20">
        <f>665137416.56</f>
        <v>665137416.56</v>
      </c>
      <c r="F13" s="20">
        <f>403914707.47</f>
        <v>403914707.47</v>
      </c>
      <c r="G13" s="20">
        <f>2030940346.2</f>
        <v>2030940346.2</v>
      </c>
      <c r="H13" s="20">
        <f>6467496.63</f>
        <v>6467496.63</v>
      </c>
      <c r="I13" s="20">
        <f>0</f>
        <v>0</v>
      </c>
      <c r="J13" s="20">
        <f>47407575129.57</f>
        <v>47407575129.57</v>
      </c>
      <c r="K13" s="20">
        <f>956264475.22</f>
        <v>956264475.22</v>
      </c>
      <c r="L13" s="20">
        <f>127692289</f>
        <v>127692289</v>
      </c>
      <c r="M13" s="20">
        <f>38011696.44</f>
        <v>38011696.44</v>
      </c>
      <c r="N13" s="20">
        <f>21427283.39</f>
        <v>21427283.39</v>
      </c>
      <c r="O13" s="20">
        <f>15271731088.75</f>
        <v>15271731088.75</v>
      </c>
      <c r="P13" s="20">
        <f>15271625206.43</f>
        <v>15271625206.43</v>
      </c>
      <c r="Q13" s="20">
        <f>105882.32</f>
        <v>105882.32</v>
      </c>
    </row>
    <row r="14" spans="1:17" ht="41.25" customHeight="1">
      <c r="A14" s="18" t="s">
        <v>73</v>
      </c>
      <c r="B14" s="20">
        <f>3726717117.19</f>
        <v>3726717117.19</v>
      </c>
      <c r="C14" s="20">
        <f>3488163766.79</f>
        <v>3488163766.79</v>
      </c>
      <c r="D14" s="20">
        <f>4012505.61</f>
        <v>4012505.61</v>
      </c>
      <c r="E14" s="20">
        <f>0</f>
        <v>0</v>
      </c>
      <c r="F14" s="20">
        <f>0</f>
        <v>0</v>
      </c>
      <c r="G14" s="20">
        <f>4012505.61</f>
        <v>4012505.61</v>
      </c>
      <c r="H14" s="20">
        <f>0</f>
        <v>0</v>
      </c>
      <c r="I14" s="20">
        <f>0</f>
        <v>0</v>
      </c>
      <c r="J14" s="20">
        <f>3453247261.18</f>
        <v>3453247261.18</v>
      </c>
      <c r="K14" s="20">
        <f>30904000</f>
        <v>30904000</v>
      </c>
      <c r="L14" s="20">
        <f>0</f>
        <v>0</v>
      </c>
      <c r="M14" s="20">
        <f>0</f>
        <v>0</v>
      </c>
      <c r="N14" s="20">
        <f>0</f>
        <v>0</v>
      </c>
      <c r="O14" s="20">
        <f>238553350.4</f>
        <v>238553350.4</v>
      </c>
      <c r="P14" s="20">
        <f>238553350.4</f>
        <v>238553350.4</v>
      </c>
      <c r="Q14" s="20">
        <f>0</f>
        <v>0</v>
      </c>
    </row>
    <row r="15" spans="1:17" ht="22.5">
      <c r="A15" s="15" t="s">
        <v>44</v>
      </c>
      <c r="B15" s="21">
        <f>2611824.18</f>
        <v>2611824.18</v>
      </c>
      <c r="C15" s="21">
        <f>2611824.18</f>
        <v>2611824.18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2611824.18</f>
        <v>2611824.18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3724105293.01</f>
        <v>3724105293.01</v>
      </c>
      <c r="C16" s="21">
        <f>3485551942.61</f>
        <v>3485551942.61</v>
      </c>
      <c r="D16" s="21">
        <f>4012505.61</f>
        <v>4012505.61</v>
      </c>
      <c r="E16" s="21">
        <f>0</f>
        <v>0</v>
      </c>
      <c r="F16" s="21">
        <f>0</f>
        <v>0</v>
      </c>
      <c r="G16" s="21">
        <f>4012505.61</f>
        <v>4012505.61</v>
      </c>
      <c r="H16" s="21">
        <f>0</f>
        <v>0</v>
      </c>
      <c r="I16" s="21">
        <f>0</f>
        <v>0</v>
      </c>
      <c r="J16" s="21">
        <f>3450635437</f>
        <v>3450635437</v>
      </c>
      <c r="K16" s="21">
        <f>30904000</f>
        <v>30904000</v>
      </c>
      <c r="L16" s="21">
        <f>0</f>
        <v>0</v>
      </c>
      <c r="M16" s="21">
        <f>0</f>
        <v>0</v>
      </c>
      <c r="N16" s="21">
        <f>0</f>
        <v>0</v>
      </c>
      <c r="O16" s="21">
        <f>238553350.4</f>
        <v>238553350.4</v>
      </c>
      <c r="P16" s="21">
        <f>238553350.4</f>
        <v>238553350.4</v>
      </c>
      <c r="Q16" s="21">
        <f>0</f>
        <v>0</v>
      </c>
    </row>
    <row r="17" spans="1:17" ht="33" customHeight="1">
      <c r="A17" s="18" t="s">
        <v>74</v>
      </c>
      <c r="B17" s="20">
        <f>63112122605.47</f>
        <v>63112122605.47</v>
      </c>
      <c r="C17" s="20">
        <f>48078945103.9</f>
        <v>48078945103.9</v>
      </c>
      <c r="D17" s="20">
        <f>3080252961.93</f>
        <v>3080252961.93</v>
      </c>
      <c r="E17" s="20">
        <f>658972543.26</f>
        <v>658972543.26</v>
      </c>
      <c r="F17" s="20">
        <f>400352071.15</f>
        <v>400352071.15</v>
      </c>
      <c r="G17" s="20">
        <f>2017219425.97</f>
        <v>2017219425.97</v>
      </c>
      <c r="H17" s="20">
        <f>3708921.55</f>
        <v>3708921.55</v>
      </c>
      <c r="I17" s="20">
        <f>0</f>
        <v>0</v>
      </c>
      <c r="J17" s="20">
        <f>43953966488.12</f>
        <v>43953966488.12</v>
      </c>
      <c r="K17" s="20">
        <f>914734272.16</f>
        <v>914734272.16</v>
      </c>
      <c r="L17" s="20">
        <f>105596557.64</f>
        <v>105596557.64</v>
      </c>
      <c r="M17" s="20">
        <f>8383271.26</f>
        <v>8383271.26</v>
      </c>
      <c r="N17" s="20">
        <f>16011552.79</f>
        <v>16011552.79</v>
      </c>
      <c r="O17" s="20">
        <f>15033177501.57</f>
        <v>15033177501.57</v>
      </c>
      <c r="P17" s="20">
        <f>15033071619.25</f>
        <v>15033071619.25</v>
      </c>
      <c r="Q17" s="20">
        <f>105882.32</f>
        <v>105882.32</v>
      </c>
    </row>
    <row r="18" spans="1:17" ht="22.5">
      <c r="A18" s="15" t="s">
        <v>46</v>
      </c>
      <c r="B18" s="21">
        <f>1051864786.58</f>
        <v>1051864786.58</v>
      </c>
      <c r="C18" s="21">
        <f>1051864786.58</f>
        <v>1051864786.58</v>
      </c>
      <c r="D18" s="21">
        <f>80280069.34</f>
        <v>80280069.34</v>
      </c>
      <c r="E18" s="21">
        <f>59199735.73</f>
        <v>59199735.73</v>
      </c>
      <c r="F18" s="21">
        <f>2066020.93</f>
        <v>2066020.93</v>
      </c>
      <c r="G18" s="21">
        <f>18739469.01</f>
        <v>18739469.01</v>
      </c>
      <c r="H18" s="21">
        <f>274843.67</f>
        <v>274843.67</v>
      </c>
      <c r="I18" s="21">
        <f>0</f>
        <v>0</v>
      </c>
      <c r="J18" s="21">
        <f>961237487.77</f>
        <v>961237487.77</v>
      </c>
      <c r="K18" s="21">
        <f>5070481.13</f>
        <v>5070481.13</v>
      </c>
      <c r="L18" s="21">
        <f>3702072.05</f>
        <v>3702072.05</v>
      </c>
      <c r="M18" s="21">
        <f>1278541.88</f>
        <v>1278541.88</v>
      </c>
      <c r="N18" s="21">
        <f>296134.41</f>
        <v>296134.41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62060257818.89</f>
        <v>62060257818.89</v>
      </c>
      <c r="C19" s="21">
        <f>47027080317.32</f>
        <v>47027080317.32</v>
      </c>
      <c r="D19" s="21">
        <f>2999972892.59</f>
        <v>2999972892.59</v>
      </c>
      <c r="E19" s="21">
        <f>599772807.53</f>
        <v>599772807.53</v>
      </c>
      <c r="F19" s="21">
        <f>398286050.22</f>
        <v>398286050.22</v>
      </c>
      <c r="G19" s="21">
        <f>1998479956.96</f>
        <v>1998479956.96</v>
      </c>
      <c r="H19" s="21">
        <f>3434077.88</f>
        <v>3434077.88</v>
      </c>
      <c r="I19" s="21">
        <f>0</f>
        <v>0</v>
      </c>
      <c r="J19" s="21">
        <f>42992729000.35</f>
        <v>42992729000.35</v>
      </c>
      <c r="K19" s="21">
        <f>909663791.03</f>
        <v>909663791.03</v>
      </c>
      <c r="L19" s="21">
        <f>101894485.59</f>
        <v>101894485.59</v>
      </c>
      <c r="M19" s="21">
        <f>7104729.38</f>
        <v>7104729.38</v>
      </c>
      <c r="N19" s="21">
        <f>15715418.38</f>
        <v>15715418.38</v>
      </c>
      <c r="O19" s="21">
        <f>15033177501.57</f>
        <v>15033177501.57</v>
      </c>
      <c r="P19" s="21">
        <f>15033071619.25</f>
        <v>15033071619.25</v>
      </c>
      <c r="Q19" s="21">
        <f>105882.32</f>
        <v>105882.32</v>
      </c>
    </row>
    <row r="20" spans="1:17" ht="24.75" customHeight="1">
      <c r="A20" s="25" t="s">
        <v>48</v>
      </c>
      <c r="B20" s="26">
        <f>0</f>
        <v>0</v>
      </c>
      <c r="C20" s="26">
        <f>0</f>
        <v>0</v>
      </c>
      <c r="D20" s="26">
        <f>0</f>
        <v>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90322206.57</f>
        <v>90322206.57</v>
      </c>
      <c r="C21" s="20">
        <f>90321969.79</f>
        <v>90321969.79</v>
      </c>
      <c r="D21" s="20">
        <f>22194499.32</f>
        <v>22194499.32</v>
      </c>
      <c r="E21" s="20">
        <f>6164873.3</f>
        <v>6164873.3</v>
      </c>
      <c r="F21" s="20">
        <f>3562636.32</f>
        <v>3562636.32</v>
      </c>
      <c r="G21" s="20">
        <f>9708414.62</f>
        <v>9708414.62</v>
      </c>
      <c r="H21" s="20">
        <f>2758575.08</f>
        <v>2758575.08</v>
      </c>
      <c r="I21" s="20">
        <f>0</f>
        <v>0</v>
      </c>
      <c r="J21" s="20">
        <f>361380.27</f>
        <v>361380.27</v>
      </c>
      <c r="K21" s="20">
        <f>10626203.06</f>
        <v>10626203.06</v>
      </c>
      <c r="L21" s="20">
        <f>22095731.36</f>
        <v>22095731.36</v>
      </c>
      <c r="M21" s="20">
        <f>29628425.18</f>
        <v>29628425.18</v>
      </c>
      <c r="N21" s="20">
        <f>5415730.6</f>
        <v>5415730.6</v>
      </c>
      <c r="O21" s="20">
        <f>236.78</f>
        <v>236.78</v>
      </c>
      <c r="P21" s="20">
        <f>236.78</f>
        <v>236.78</v>
      </c>
      <c r="Q21" s="20">
        <f>0</f>
        <v>0</v>
      </c>
    </row>
    <row r="22" spans="1:17" ht="33" customHeight="1">
      <c r="A22" s="16" t="s">
        <v>49</v>
      </c>
      <c r="B22" s="21">
        <f>44029319.81</f>
        <v>44029319.81</v>
      </c>
      <c r="C22" s="21">
        <f>44029112.41</f>
        <v>44029112.41</v>
      </c>
      <c r="D22" s="21">
        <f>1449184.36</f>
        <v>1449184.36</v>
      </c>
      <c r="E22" s="21">
        <f>49.83</f>
        <v>49.83</v>
      </c>
      <c r="F22" s="21">
        <f>2494.19</f>
        <v>2494.19</v>
      </c>
      <c r="G22" s="21">
        <f>1446640.34</f>
        <v>1446640.34</v>
      </c>
      <c r="H22" s="21">
        <f>0</f>
        <v>0</v>
      </c>
      <c r="I22" s="21">
        <f>0</f>
        <v>0</v>
      </c>
      <c r="J22" s="21">
        <f>0</f>
        <v>0</v>
      </c>
      <c r="K22" s="21">
        <f>99650.25</f>
        <v>99650.25</v>
      </c>
      <c r="L22" s="21">
        <f>20431590.65</f>
        <v>20431590.65</v>
      </c>
      <c r="M22" s="21">
        <f>17188986.31</f>
        <v>17188986.31</v>
      </c>
      <c r="N22" s="21">
        <f>4859700.84</f>
        <v>4859700.84</v>
      </c>
      <c r="O22" s="21">
        <f>207.4</f>
        <v>207.4</v>
      </c>
      <c r="P22" s="21">
        <f>207.4</f>
        <v>207.4</v>
      </c>
      <c r="Q22" s="21">
        <f>0</f>
        <v>0</v>
      </c>
    </row>
    <row r="23" spans="1:17" ht="23.25" customHeight="1">
      <c r="A23" s="16" t="s">
        <v>50</v>
      </c>
      <c r="B23" s="21">
        <f>46292886.76</f>
        <v>46292886.76</v>
      </c>
      <c r="C23" s="21">
        <f>46292857.38</f>
        <v>46292857.38</v>
      </c>
      <c r="D23" s="21">
        <f>20745314.96</f>
        <v>20745314.96</v>
      </c>
      <c r="E23" s="21">
        <f>6164823.47</f>
        <v>6164823.47</v>
      </c>
      <c r="F23" s="21">
        <f>3560142.13</f>
        <v>3560142.13</v>
      </c>
      <c r="G23" s="21">
        <f>8261774.28</f>
        <v>8261774.28</v>
      </c>
      <c r="H23" s="21">
        <f>2758575.08</f>
        <v>2758575.08</v>
      </c>
      <c r="I23" s="21">
        <f>0</f>
        <v>0</v>
      </c>
      <c r="J23" s="21">
        <f>361380.27</f>
        <v>361380.27</v>
      </c>
      <c r="K23" s="21">
        <f>10526552.81</f>
        <v>10526552.81</v>
      </c>
      <c r="L23" s="21">
        <f>1664140.71</f>
        <v>1664140.71</v>
      </c>
      <c r="M23" s="21">
        <f>12439438.87</f>
        <v>12439438.87</v>
      </c>
      <c r="N23" s="21">
        <f>556029.76</f>
        <v>556029.76</v>
      </c>
      <c r="O23" s="21">
        <f>29.38</f>
        <v>29.38</v>
      </c>
      <c r="P23" s="21">
        <f>29.38</f>
        <v>29.38</v>
      </c>
      <c r="Q23" s="21">
        <f>0</f>
        <v>0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7596687.51</f>
        <v>7596687.51</v>
      </c>
      <c r="C41" s="22">
        <f>7596687.51</f>
        <v>7596687.51</v>
      </c>
      <c r="D41" s="22">
        <f>50009</f>
        <v>50009</v>
      </c>
      <c r="E41" s="22">
        <f>50009</f>
        <v>50009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166339.2</f>
        <v>166339.2</v>
      </c>
      <c r="K41" s="22">
        <f>5025135</f>
        <v>5025135</v>
      </c>
      <c r="L41" s="22">
        <f>541961.06</f>
        <v>541961.06</v>
      </c>
      <c r="M41" s="22">
        <f>1549243.25</f>
        <v>1549243.25</v>
      </c>
      <c r="N41" s="22">
        <f>264000</f>
        <v>264000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363790.16</f>
        <v>363790.16</v>
      </c>
      <c r="C42" s="23">
        <f>363790.16</f>
        <v>363790.16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6000</f>
        <v>6000</v>
      </c>
      <c r="K42" s="23">
        <f>0</f>
        <v>0</v>
      </c>
      <c r="L42" s="23">
        <f>93790.16</f>
        <v>93790.16</v>
      </c>
      <c r="M42" s="23">
        <f>0</f>
        <v>0</v>
      </c>
      <c r="N42" s="23">
        <f>264000</f>
        <v>264000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7232897.35</f>
        <v>7232897.35</v>
      </c>
      <c r="C43" s="23">
        <f>7232897.35</f>
        <v>7232897.35</v>
      </c>
      <c r="D43" s="23">
        <f>50009</f>
        <v>50009</v>
      </c>
      <c r="E43" s="23">
        <f>50009</f>
        <v>50009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160339.2</f>
        <v>160339.2</v>
      </c>
      <c r="K43" s="23">
        <f>5025135</f>
        <v>5025135</v>
      </c>
      <c r="L43" s="23">
        <f>448170.9</f>
        <v>448170.9</v>
      </c>
      <c r="M43" s="23">
        <f>1549243.25</f>
        <v>1549243.25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1177834340.35</f>
        <v>1177834340.35</v>
      </c>
      <c r="C44" s="22">
        <f>1177824899.97</f>
        <v>1177824899.97</v>
      </c>
      <c r="D44" s="22">
        <f>447640866.28</f>
        <v>447640866.28</v>
      </c>
      <c r="E44" s="22">
        <f>1845769.69</f>
        <v>1845769.69</v>
      </c>
      <c r="F44" s="22">
        <f>2933973.67</f>
        <v>2933973.67</v>
      </c>
      <c r="G44" s="22">
        <f>442048759.32</f>
        <v>442048759.32</v>
      </c>
      <c r="H44" s="22">
        <f>812363.6</f>
        <v>812363.6</v>
      </c>
      <c r="I44" s="22">
        <f>0</f>
        <v>0</v>
      </c>
      <c r="J44" s="22">
        <f>188499.7</f>
        <v>188499.7</v>
      </c>
      <c r="K44" s="22">
        <f>1199518.89</f>
        <v>1199518.89</v>
      </c>
      <c r="L44" s="22">
        <f>394417458.56</f>
        <v>394417458.56</v>
      </c>
      <c r="M44" s="22">
        <f>296865295.76</f>
        <v>296865295.76</v>
      </c>
      <c r="N44" s="22">
        <f>37513260.78</f>
        <v>37513260.78</v>
      </c>
      <c r="O44" s="22">
        <f>9440.38</f>
        <v>9440.38</v>
      </c>
      <c r="P44" s="22">
        <f>6962.76</f>
        <v>6962.76</v>
      </c>
      <c r="Q44" s="22">
        <f>2477.62</f>
        <v>2477.62</v>
      </c>
    </row>
    <row r="45" spans="1:17" ht="32.25" customHeight="1">
      <c r="A45" s="17" t="s">
        <v>29</v>
      </c>
      <c r="B45" s="23">
        <f>137541284.59</f>
        <v>137541284.59</v>
      </c>
      <c r="C45" s="23">
        <f>137541284.59</f>
        <v>137541284.59</v>
      </c>
      <c r="D45" s="23">
        <f>47630408.62</f>
        <v>47630408.62</v>
      </c>
      <c r="E45" s="23">
        <f>1420751.64</f>
        <v>1420751.64</v>
      </c>
      <c r="F45" s="23">
        <f>480000</f>
        <v>480000</v>
      </c>
      <c r="G45" s="23">
        <f>45729656.98</f>
        <v>45729656.98</v>
      </c>
      <c r="H45" s="23">
        <f>0</f>
        <v>0</v>
      </c>
      <c r="I45" s="23">
        <f>0</f>
        <v>0</v>
      </c>
      <c r="J45" s="23">
        <f>71643.7</f>
        <v>71643.7</v>
      </c>
      <c r="K45" s="23">
        <f>0</f>
        <v>0</v>
      </c>
      <c r="L45" s="23">
        <f>54988566.59</f>
        <v>54988566.59</v>
      </c>
      <c r="M45" s="23">
        <f>23213030.11</f>
        <v>23213030.11</v>
      </c>
      <c r="N45" s="23">
        <f>11637635.57</f>
        <v>11637635.57</v>
      </c>
      <c r="O45" s="23">
        <f>0</f>
        <v>0</v>
      </c>
      <c r="P45" s="23">
        <f>0</f>
        <v>0</v>
      </c>
      <c r="Q45" s="23">
        <f>0</f>
        <v>0</v>
      </c>
    </row>
    <row r="46" spans="1:17" ht="32.25" customHeight="1">
      <c r="A46" s="17" t="s">
        <v>30</v>
      </c>
      <c r="B46" s="23">
        <f>1040293055.76</f>
        <v>1040293055.76</v>
      </c>
      <c r="C46" s="23">
        <f>1040283615.38</f>
        <v>1040283615.38</v>
      </c>
      <c r="D46" s="23">
        <f>400010457.66</f>
        <v>400010457.66</v>
      </c>
      <c r="E46" s="23">
        <f>425018.05</f>
        <v>425018.05</v>
      </c>
      <c r="F46" s="23">
        <f>2453973.67</f>
        <v>2453973.67</v>
      </c>
      <c r="G46" s="23">
        <f>396319102.34</f>
        <v>396319102.34</v>
      </c>
      <c r="H46" s="23">
        <f>812363.6</f>
        <v>812363.6</v>
      </c>
      <c r="I46" s="23">
        <f>0</f>
        <v>0</v>
      </c>
      <c r="J46" s="23">
        <f>116856</f>
        <v>116856</v>
      </c>
      <c r="K46" s="23">
        <f>1199518.89</f>
        <v>1199518.89</v>
      </c>
      <c r="L46" s="23">
        <f>339428891.97</f>
        <v>339428891.97</v>
      </c>
      <c r="M46" s="23">
        <f>273652265.65</f>
        <v>273652265.65</v>
      </c>
      <c r="N46" s="23">
        <f>25875625.21</f>
        <v>25875625.21</v>
      </c>
      <c r="O46" s="23">
        <f>9440.38</f>
        <v>9440.38</v>
      </c>
      <c r="P46" s="23">
        <f>6962.76</f>
        <v>6962.76</v>
      </c>
      <c r="Q46" s="23">
        <f>2477.62</f>
        <v>2477.62</v>
      </c>
    </row>
    <row r="47" spans="1:17" ht="35.25" customHeight="1">
      <c r="A47" s="27" t="s">
        <v>40</v>
      </c>
      <c r="B47" s="22">
        <f>27612311121.74</f>
        <v>27612311121.74</v>
      </c>
      <c r="C47" s="22">
        <f>27612203799.91</f>
        <v>27612203799.91</v>
      </c>
      <c r="D47" s="22">
        <f>40135489.21</f>
        <v>40135489.21</v>
      </c>
      <c r="E47" s="22">
        <f>1419684.85</f>
        <v>1419684.85</v>
      </c>
      <c r="F47" s="22">
        <f>37171.92</f>
        <v>37171.92</v>
      </c>
      <c r="G47" s="22">
        <f>38678632.44</f>
        <v>38678632.44</v>
      </c>
      <c r="H47" s="22">
        <f>0</f>
        <v>0</v>
      </c>
      <c r="I47" s="22">
        <f>7640537.62</f>
        <v>7640537.62</v>
      </c>
      <c r="J47" s="22">
        <f>27561808904.19</f>
        <v>27561808904.19</v>
      </c>
      <c r="K47" s="22">
        <f>104605.2</f>
        <v>104605.2</v>
      </c>
      <c r="L47" s="22">
        <f>2384249.9</f>
        <v>2384249.9</v>
      </c>
      <c r="M47" s="22">
        <f>24616.41</f>
        <v>24616.41</v>
      </c>
      <c r="N47" s="22">
        <f>105397.38</f>
        <v>105397.38</v>
      </c>
      <c r="O47" s="22">
        <f>107321.83</f>
        <v>107321.83</v>
      </c>
      <c r="P47" s="22">
        <f>107321.83</f>
        <v>107321.83</v>
      </c>
      <c r="Q47" s="22">
        <f>0</f>
        <v>0</v>
      </c>
    </row>
    <row r="48" spans="1:17" ht="28.5" customHeight="1">
      <c r="A48" s="17" t="s">
        <v>31</v>
      </c>
      <c r="B48" s="23">
        <f>28878261.2</f>
        <v>28878261.2</v>
      </c>
      <c r="C48" s="23">
        <f>28878261.2</f>
        <v>28878261.2</v>
      </c>
      <c r="D48" s="23">
        <f>28878261.2</f>
        <v>28878261.2</v>
      </c>
      <c r="E48" s="23">
        <f>0</f>
        <v>0</v>
      </c>
      <c r="F48" s="23">
        <f>0</f>
        <v>0</v>
      </c>
      <c r="G48" s="23">
        <f>28878261.2</f>
        <v>28878261.2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17860867047.38</f>
        <v>17860867047.38</v>
      </c>
      <c r="C49" s="23">
        <f>17860867047.38</f>
        <v>17860867047.38</v>
      </c>
      <c r="D49" s="23">
        <f>10957167.54</f>
        <v>10957167.54</v>
      </c>
      <c r="E49" s="23">
        <f>1287442.22</f>
        <v>1287442.22</v>
      </c>
      <c r="F49" s="23">
        <f>6490</f>
        <v>6490</v>
      </c>
      <c r="G49" s="23">
        <f>9663235.32</f>
        <v>9663235.32</v>
      </c>
      <c r="H49" s="23">
        <f>0</f>
        <v>0</v>
      </c>
      <c r="I49" s="23">
        <f>7640537.62</f>
        <v>7640537.62</v>
      </c>
      <c r="J49" s="23">
        <f>17840146146.25</f>
        <v>17840146146.25</v>
      </c>
      <c r="K49" s="23">
        <f>91360.7</f>
        <v>91360.7</v>
      </c>
      <c r="L49" s="23">
        <f>1917524.26</f>
        <v>1917524.26</v>
      </c>
      <c r="M49" s="23">
        <f>8913.63</f>
        <v>8913.63</v>
      </c>
      <c r="N49" s="23">
        <f>105397.38</f>
        <v>105397.38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9722565813.16</f>
        <v>9722565813.16</v>
      </c>
      <c r="C50" s="23">
        <f>9722458491.33</f>
        <v>9722458491.33</v>
      </c>
      <c r="D50" s="23">
        <f>300060.47</f>
        <v>300060.47</v>
      </c>
      <c r="E50" s="23">
        <f>132242.63</f>
        <v>132242.63</v>
      </c>
      <c r="F50" s="23">
        <f>30681.92</f>
        <v>30681.92</v>
      </c>
      <c r="G50" s="23">
        <f>137135.92</f>
        <v>137135.92</v>
      </c>
      <c r="H50" s="23">
        <f>0</f>
        <v>0</v>
      </c>
      <c r="I50" s="23">
        <f>0</f>
        <v>0</v>
      </c>
      <c r="J50" s="23">
        <f>9721662757.94</f>
        <v>9721662757.94</v>
      </c>
      <c r="K50" s="23">
        <f>13244.5</f>
        <v>13244.5</v>
      </c>
      <c r="L50" s="23">
        <f>466725.64</f>
        <v>466725.64</v>
      </c>
      <c r="M50" s="23">
        <f>15702.78</f>
        <v>15702.78</v>
      </c>
      <c r="N50" s="23">
        <f>0</f>
        <v>0</v>
      </c>
      <c r="O50" s="23">
        <f>107321.83</f>
        <v>107321.83</v>
      </c>
      <c r="P50" s="23">
        <f>107321.83</f>
        <v>107321.83</v>
      </c>
      <c r="Q50" s="23">
        <f>0</f>
        <v>0</v>
      </c>
    </row>
    <row r="51" spans="1:17" ht="35.25" customHeight="1">
      <c r="A51" s="27" t="s">
        <v>41</v>
      </c>
      <c r="B51" s="22">
        <f>20767653405.74</f>
        <v>20767653405.74</v>
      </c>
      <c r="C51" s="22">
        <f>20728528088.97</f>
        <v>20728528088.97</v>
      </c>
      <c r="D51" s="22">
        <f>512031549.54</f>
        <v>512031549.54</v>
      </c>
      <c r="E51" s="22">
        <f>119166632.82</f>
        <v>119166632.82</v>
      </c>
      <c r="F51" s="22">
        <f>13797282.45</f>
        <v>13797282.45</v>
      </c>
      <c r="G51" s="22">
        <f>375755766.24</f>
        <v>375755766.24</v>
      </c>
      <c r="H51" s="22">
        <f>3311868.03</f>
        <v>3311868.03</v>
      </c>
      <c r="I51" s="22">
        <f>7.98</f>
        <v>7.98</v>
      </c>
      <c r="J51" s="22">
        <f>5639273.03</f>
        <v>5639273.03</v>
      </c>
      <c r="K51" s="22">
        <f>21610326.21</f>
        <v>21610326.21</v>
      </c>
      <c r="L51" s="22">
        <f>5432689978.31</f>
        <v>5432689978.31</v>
      </c>
      <c r="M51" s="22">
        <f>14625259769.46</f>
        <v>14625259769.46</v>
      </c>
      <c r="N51" s="22">
        <f>131297184.44</f>
        <v>131297184.44</v>
      </c>
      <c r="O51" s="22">
        <f>39125316.77</f>
        <v>39125316.77</v>
      </c>
      <c r="P51" s="22">
        <f>23625049.72</f>
        <v>23625049.72</v>
      </c>
      <c r="Q51" s="22">
        <f>15500267.05</f>
        <v>15500267.05</v>
      </c>
    </row>
    <row r="52" spans="1:17" ht="28.5" customHeight="1">
      <c r="A52" s="17" t="s">
        <v>34</v>
      </c>
      <c r="B52" s="23">
        <f>6124594158.5</f>
        <v>6124594158.5</v>
      </c>
      <c r="C52" s="23">
        <f>6122749632.27</f>
        <v>6122749632.27</v>
      </c>
      <c r="D52" s="23">
        <f>81894562.07</f>
        <v>81894562.07</v>
      </c>
      <c r="E52" s="23">
        <f>2537110.72</f>
        <v>2537110.72</v>
      </c>
      <c r="F52" s="23">
        <f>528197.27</f>
        <v>528197.27</v>
      </c>
      <c r="G52" s="23">
        <f>78159034.56</f>
        <v>78159034.56</v>
      </c>
      <c r="H52" s="23">
        <f>670219.52</f>
        <v>670219.52</v>
      </c>
      <c r="I52" s="23">
        <f>0</f>
        <v>0</v>
      </c>
      <c r="J52" s="23">
        <f>176943.28</f>
        <v>176943.28</v>
      </c>
      <c r="K52" s="23">
        <f>1190375.68</f>
        <v>1190375.68</v>
      </c>
      <c r="L52" s="23">
        <f>865756927.55</f>
        <v>865756927.55</v>
      </c>
      <c r="M52" s="23">
        <f>5131255326.42</f>
        <v>5131255326.42</v>
      </c>
      <c r="N52" s="23">
        <f>42475497.27</f>
        <v>42475497.27</v>
      </c>
      <c r="O52" s="23">
        <f>1844526.23</f>
        <v>1844526.23</v>
      </c>
      <c r="P52" s="23">
        <f>259781.03</f>
        <v>259781.03</v>
      </c>
      <c r="Q52" s="23">
        <f>1584745.2</f>
        <v>1584745.2</v>
      </c>
    </row>
    <row r="53" spans="1:17" ht="28.5" customHeight="1">
      <c r="A53" s="17" t="s">
        <v>35</v>
      </c>
      <c r="B53" s="23">
        <f>14643059247.24</f>
        <v>14643059247.24</v>
      </c>
      <c r="C53" s="23">
        <f>14605778456.7</f>
        <v>14605778456.7</v>
      </c>
      <c r="D53" s="23">
        <f>430136987.47</f>
        <v>430136987.47</v>
      </c>
      <c r="E53" s="23">
        <f>116629522.1</f>
        <v>116629522.1</v>
      </c>
      <c r="F53" s="23">
        <f>13269085.18</f>
        <v>13269085.18</v>
      </c>
      <c r="G53" s="23">
        <f>297596731.68</f>
        <v>297596731.68</v>
      </c>
      <c r="H53" s="23">
        <f>2641648.51</f>
        <v>2641648.51</v>
      </c>
      <c r="I53" s="23">
        <f>7.98</f>
        <v>7.98</v>
      </c>
      <c r="J53" s="23">
        <f>5462329.75</f>
        <v>5462329.75</v>
      </c>
      <c r="K53" s="23">
        <f>20419950.53</f>
        <v>20419950.53</v>
      </c>
      <c r="L53" s="23">
        <f>4566933050.76</f>
        <v>4566933050.76</v>
      </c>
      <c r="M53" s="23">
        <f>9494004443.04</f>
        <v>9494004443.04</v>
      </c>
      <c r="N53" s="23">
        <f>88821687.17</f>
        <v>88821687.17</v>
      </c>
      <c r="O53" s="23">
        <f>37280790.54</f>
        <v>37280790.54</v>
      </c>
      <c r="P53" s="23">
        <f>23365268.69</f>
        <v>23365268.69</v>
      </c>
      <c r="Q53" s="23">
        <f>13915521.85</f>
        <v>13915521.85</v>
      </c>
    </row>
    <row r="54" spans="1:17" ht="35.25" customHeight="1">
      <c r="A54" s="27" t="s">
        <v>42</v>
      </c>
      <c r="B54" s="22">
        <f>18608820906.49</f>
        <v>18608820906.49</v>
      </c>
      <c r="C54" s="22">
        <f>18595859238.84</f>
        <v>18595859238.84</v>
      </c>
      <c r="D54" s="22">
        <f>2577369113.92</f>
        <v>2577369113.92</v>
      </c>
      <c r="E54" s="22">
        <f>1721371976.71</f>
        <v>1721371976.71</v>
      </c>
      <c r="F54" s="22">
        <f>101045481.54</f>
        <v>101045481.54</v>
      </c>
      <c r="G54" s="22">
        <f>727111889.12</f>
        <v>727111889.12</v>
      </c>
      <c r="H54" s="22">
        <f>27839766.55</f>
        <v>27839766.55</v>
      </c>
      <c r="I54" s="22">
        <f>2111145.86</f>
        <v>2111145.86</v>
      </c>
      <c r="J54" s="22">
        <f>29319946.03</f>
        <v>29319946.03</v>
      </c>
      <c r="K54" s="22">
        <f>52674186.29</f>
        <v>52674186.29</v>
      </c>
      <c r="L54" s="22">
        <f>10597986908.62</f>
        <v>10597986908.62</v>
      </c>
      <c r="M54" s="22">
        <f>5152231071.59</f>
        <v>5152231071.59</v>
      </c>
      <c r="N54" s="22">
        <f>184166866.53</f>
        <v>184166866.53</v>
      </c>
      <c r="O54" s="22">
        <f>12961667.65</f>
        <v>12961667.65</v>
      </c>
      <c r="P54" s="22">
        <f>11677302.32</f>
        <v>11677302.32</v>
      </c>
      <c r="Q54" s="22">
        <f>1284365.33</f>
        <v>1284365.33</v>
      </c>
    </row>
    <row r="55" spans="1:17" ht="28.5" customHeight="1">
      <c r="A55" s="17" t="s">
        <v>36</v>
      </c>
      <c r="B55" s="23">
        <f>1160046471.67</f>
        <v>1160046471.67</v>
      </c>
      <c r="C55" s="23">
        <f>1159592864.16</f>
        <v>1159592864.16</v>
      </c>
      <c r="D55" s="23">
        <f>96090936.13</f>
        <v>96090936.13</v>
      </c>
      <c r="E55" s="23">
        <f>7390852.66</f>
        <v>7390852.66</v>
      </c>
      <c r="F55" s="23">
        <f>2220571.09</f>
        <v>2220571.09</v>
      </c>
      <c r="G55" s="23">
        <f>83781491.93</f>
        <v>83781491.93</v>
      </c>
      <c r="H55" s="23">
        <f>2698020.45</f>
        <v>2698020.45</v>
      </c>
      <c r="I55" s="23">
        <f>1080</f>
        <v>1080</v>
      </c>
      <c r="J55" s="23">
        <f>566444.8</f>
        <v>566444.8</v>
      </c>
      <c r="K55" s="23">
        <f>1863599.02</f>
        <v>1863599.02</v>
      </c>
      <c r="L55" s="23">
        <f>520601495.49</f>
        <v>520601495.49</v>
      </c>
      <c r="M55" s="23">
        <f>526615034.18</f>
        <v>526615034.18</v>
      </c>
      <c r="N55" s="23">
        <f>13854274.54</f>
        <v>13854274.54</v>
      </c>
      <c r="O55" s="23">
        <f>453607.51</f>
        <v>453607.51</v>
      </c>
      <c r="P55" s="23">
        <f>384847.73</f>
        <v>384847.73</v>
      </c>
      <c r="Q55" s="23">
        <f>68759.78</f>
        <v>68759.78</v>
      </c>
    </row>
    <row r="56" spans="1:17" ht="47.25" customHeight="1">
      <c r="A56" s="17" t="s">
        <v>76</v>
      </c>
      <c r="B56" s="23">
        <f>12096752521.21</f>
        <v>12096752521.21</v>
      </c>
      <c r="C56" s="23">
        <f>12088559397.59</f>
        <v>12088559397.59</v>
      </c>
      <c r="D56" s="23">
        <f>1516979917.78</f>
        <v>1516979917.78</v>
      </c>
      <c r="E56" s="23">
        <f>1187047710.33</f>
        <v>1187047710.33</v>
      </c>
      <c r="F56" s="23">
        <f>70037837.87</f>
        <v>70037837.87</v>
      </c>
      <c r="G56" s="23">
        <f>242805517.62</f>
        <v>242805517.62</v>
      </c>
      <c r="H56" s="23">
        <f>17088851.96</f>
        <v>17088851.96</v>
      </c>
      <c r="I56" s="23">
        <f>1936725.26</f>
        <v>1936725.26</v>
      </c>
      <c r="J56" s="23">
        <f>22063221.57</f>
        <v>22063221.57</v>
      </c>
      <c r="K56" s="23">
        <f>42891861.92</f>
        <v>42891861.92</v>
      </c>
      <c r="L56" s="23">
        <f>7595156226.99</f>
        <v>7595156226.99</v>
      </c>
      <c r="M56" s="23">
        <f>2866255944.42</f>
        <v>2866255944.42</v>
      </c>
      <c r="N56" s="23">
        <f>43275499.65</f>
        <v>43275499.65</v>
      </c>
      <c r="O56" s="23">
        <f>8193123.62</f>
        <v>8193123.62</v>
      </c>
      <c r="P56" s="23">
        <f>7956135.81</f>
        <v>7956135.81</v>
      </c>
      <c r="Q56" s="23">
        <f>236987.81</f>
        <v>236987.81</v>
      </c>
    </row>
    <row r="57" spans="1:17" ht="35.25" customHeight="1">
      <c r="A57" s="17" t="s">
        <v>37</v>
      </c>
      <c r="B57" s="23">
        <f>5352021913.61</f>
        <v>5352021913.61</v>
      </c>
      <c r="C57" s="23">
        <f>5347706977.09</f>
        <v>5347706977.09</v>
      </c>
      <c r="D57" s="23">
        <f>964298260.01</f>
        <v>964298260.01</v>
      </c>
      <c r="E57" s="23">
        <f>526933413.72</f>
        <v>526933413.72</v>
      </c>
      <c r="F57" s="23">
        <f>28787072.58</f>
        <v>28787072.58</v>
      </c>
      <c r="G57" s="23">
        <f>400524879.57</f>
        <v>400524879.57</v>
      </c>
      <c r="H57" s="23">
        <f>8052894.14</f>
        <v>8052894.14</v>
      </c>
      <c r="I57" s="23">
        <f>173340.6</f>
        <v>173340.6</v>
      </c>
      <c r="J57" s="23">
        <f>6690279.66</f>
        <v>6690279.66</v>
      </c>
      <c r="K57" s="23">
        <f>7918725.35</f>
        <v>7918725.35</v>
      </c>
      <c r="L57" s="23">
        <f>2482229186.14</f>
        <v>2482229186.14</v>
      </c>
      <c r="M57" s="23">
        <f>1759360092.99</f>
        <v>1759360092.99</v>
      </c>
      <c r="N57" s="23">
        <f>127037092.34</f>
        <v>127037092.34</v>
      </c>
      <c r="O57" s="23">
        <f>4314936.52</f>
        <v>4314936.52</v>
      </c>
      <c r="P57" s="23">
        <f>3336318.78</f>
        <v>3336318.78</v>
      </c>
      <c r="Q57" s="23">
        <f>978617.74</f>
        <v>978617.74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4558413859.48</f>
        <v>4558413859.48</v>
      </c>
      <c r="G78" s="21">
        <f>1413913149.71</f>
        <v>1413913149.71</v>
      </c>
      <c r="H78" s="21">
        <f>62672003.16</f>
        <v>62672003.16</v>
      </c>
      <c r="I78" s="21">
        <f>542069094.59</f>
        <v>542069094.59</v>
      </c>
      <c r="J78" s="21">
        <f>793074624.95</f>
        <v>793074624.95</v>
      </c>
      <c r="K78" s="21">
        <f>16097427.01</f>
        <v>16097427.01</v>
      </c>
      <c r="L78" s="21">
        <f>3144500709.77</f>
        <v>3144500709.77</v>
      </c>
    </row>
    <row r="79" spans="2:12" ht="33.75" customHeight="1">
      <c r="B79" s="47" t="s">
        <v>52</v>
      </c>
      <c r="C79" s="48"/>
      <c r="D79" s="48"/>
      <c r="E79" s="49"/>
      <c r="F79" s="24">
        <f>157514431.7</f>
        <v>157514431.7</v>
      </c>
      <c r="G79" s="24">
        <f>9498859.54</f>
        <v>9498859.54</v>
      </c>
      <c r="H79" s="24">
        <f>0</f>
        <v>0</v>
      </c>
      <c r="I79" s="24">
        <f>5096873.27</f>
        <v>5096873.27</v>
      </c>
      <c r="J79" s="24">
        <f>4401986.27</f>
        <v>4401986.27</v>
      </c>
      <c r="K79" s="24">
        <f>0</f>
        <v>0</v>
      </c>
      <c r="L79" s="24">
        <f>148015572.16</f>
        <v>148015572.16</v>
      </c>
    </row>
    <row r="80" spans="2:12" ht="33.75" customHeight="1">
      <c r="B80" s="47" t="s">
        <v>53</v>
      </c>
      <c r="C80" s="48"/>
      <c r="D80" s="48"/>
      <c r="E80" s="49"/>
      <c r="F80" s="24">
        <f>160036320.99</f>
        <v>160036320.99</v>
      </c>
      <c r="G80" s="24">
        <f>66102610.13</f>
        <v>66102610.13</v>
      </c>
      <c r="H80" s="24">
        <f>95825.93</f>
        <v>95825.93</v>
      </c>
      <c r="I80" s="24">
        <f>49793170</f>
        <v>49793170</v>
      </c>
      <c r="J80" s="24">
        <f>16073614.2</f>
        <v>16073614.2</v>
      </c>
      <c r="K80" s="24">
        <f>140000</f>
        <v>140000</v>
      </c>
      <c r="L80" s="24">
        <f>93933710.86</f>
        <v>93933710.86</v>
      </c>
    </row>
    <row r="81" spans="2:12" ht="22.5" customHeight="1">
      <c r="B81" s="47" t="s">
        <v>54</v>
      </c>
      <c r="C81" s="48"/>
      <c r="D81" s="48"/>
      <c r="E81" s="49"/>
      <c r="F81" s="24">
        <f>100939560.66</f>
        <v>100939560.66</v>
      </c>
      <c r="G81" s="24">
        <f>61888402.68</f>
        <v>61888402.68</v>
      </c>
      <c r="H81" s="24">
        <f>0</f>
        <v>0</v>
      </c>
      <c r="I81" s="24">
        <f>2165422.12</f>
        <v>2165422.12</v>
      </c>
      <c r="J81" s="24">
        <f>59722980.56</f>
        <v>59722980.56</v>
      </c>
      <c r="K81" s="24">
        <f>0</f>
        <v>0</v>
      </c>
      <c r="L81" s="24">
        <f>39051157.98</f>
        <v>39051157.98</v>
      </c>
    </row>
    <row r="82" spans="2:12" ht="33.75" customHeight="1">
      <c r="B82" s="47" t="s">
        <v>55</v>
      </c>
      <c r="C82" s="48"/>
      <c r="D82" s="48"/>
      <c r="E82" s="49"/>
      <c r="F82" s="24">
        <f>12928855.39</f>
        <v>12928855.39</v>
      </c>
      <c r="G82" s="24">
        <f>12838789.17</f>
        <v>12838789.17</v>
      </c>
      <c r="H82" s="24">
        <f>0</f>
        <v>0</v>
      </c>
      <c r="I82" s="24">
        <f>0</f>
        <v>0</v>
      </c>
      <c r="J82" s="24">
        <f>12838789.17</f>
        <v>12838789.17</v>
      </c>
      <c r="K82" s="24">
        <f>0</f>
        <v>0</v>
      </c>
      <c r="L82" s="24">
        <f>90066.22</f>
        <v>90066.22</v>
      </c>
    </row>
    <row r="83" spans="2:12" ht="33.75" customHeight="1">
      <c r="B83" s="47" t="s">
        <v>56</v>
      </c>
      <c r="C83" s="48"/>
      <c r="D83" s="48"/>
      <c r="E83" s="49"/>
      <c r="F83" s="24">
        <f>10915372.26</f>
        <v>10915372.26</v>
      </c>
      <c r="G83" s="24">
        <f>7177257.85</f>
        <v>7177257.85</v>
      </c>
      <c r="H83" s="24">
        <f>0</f>
        <v>0</v>
      </c>
      <c r="I83" s="24">
        <f>0</f>
        <v>0</v>
      </c>
      <c r="J83" s="24">
        <f>7177257.85</f>
        <v>7177257.85</v>
      </c>
      <c r="K83" s="24">
        <f>0</f>
        <v>0</v>
      </c>
      <c r="L83" s="24">
        <f>3738114.41</f>
        <v>3738114.41</v>
      </c>
    </row>
    <row r="84" spans="2:12" ht="33" customHeight="1">
      <c r="B84" s="50" t="s">
        <v>57</v>
      </c>
      <c r="C84" s="51"/>
      <c r="D84" s="51"/>
      <c r="E84" s="52"/>
      <c r="F84" s="21">
        <f>2776970.08</f>
        <v>2776970.08</v>
      </c>
      <c r="G84" s="21">
        <f>2497271.4</f>
        <v>2497271.4</v>
      </c>
      <c r="H84" s="21">
        <f>0</f>
        <v>0</v>
      </c>
      <c r="I84" s="21">
        <f>0</f>
        <v>0</v>
      </c>
      <c r="J84" s="21">
        <f>2497271.4</f>
        <v>2497271.4</v>
      </c>
      <c r="K84" s="21">
        <f>0</f>
        <v>0</v>
      </c>
      <c r="L84" s="21">
        <f>279698.68</f>
        <v>279698.68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2448</f>
        <v>2448</v>
      </c>
      <c r="H90" s="55"/>
      <c r="I90" s="56">
        <f>14042286160.62</f>
        <v>14042286160.62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360</f>
        <v>360</v>
      </c>
      <c r="H91" s="62"/>
      <c r="I91" s="63">
        <f>-651733837.49</f>
        <v>-651733837.49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2018-08-22T13:23:59Z</dcterms:modified>
  <cp:category/>
  <cp:version/>
  <cp:contentType/>
  <cp:contentStatus/>
</cp:coreProperties>
</file>