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<sst xmlns="http://schemas.openxmlformats.org/spreadsheetml/2006/main" count="255" uniqueCount="113">
  <si>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</si>
  <si>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</si>
  <si>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</si>
  <si>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</si>
  <si>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</si>
  <si>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</si>
  <si>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</si>
  <si>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</si>
  <si>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</si>
  <si>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</si>
  <si>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</si>
  <si>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</si>
  <si>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</si>
  <si>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</si>
  <si>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</si>
  <si>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</si>
  <si>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</si>
  <si>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</si>
  <si>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</si>
  <si>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</si>
  <si>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</si>
  <si>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</si>
  <si>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</si>
  <si>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</si>
  <si>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</si>
  <si>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</si>
  <si>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</si>
  <si>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</si>
  <si>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</si>
  <si>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</si>
  <si>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</si>
  <si>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</si>
  <si>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</si>
  <si>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</si>
  <si>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</si>
  <si>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</si>
  <si>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</si>
  <si>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</si>
  <si>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</si>
  <si>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</si>
  <si>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</si>
  <si>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</si>
  <si>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</si>
  <si>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</si>
  <si>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</si>
  <si>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</si>
  <si>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</si>
  <si>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</si>
  <si>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</si>
  <si>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</si>
  <si>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</si>
  <si>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</si>
  <si>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</si>
  <si>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</si>
  <si>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</si>
  <si>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</si>
  <si>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</si>
  <si>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</si>
  <si>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</si>
  <si>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</si>
  <si>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</si>
  <si>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</si>
  <si>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</si>
  <si>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</si>
  <si>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</si>
  <si>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</si>
  <si>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</si>
  <si>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</si>
  <si>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</si>
  <si>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</si>
  <si>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</si>
  <si>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</si>
  <si>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</si>
  <si>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</si>
  <si>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</si>
  <si>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</si>
  <si>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</si>
  <si>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</si>
  <si>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</si>
  <si>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</si>
  <si>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</si>
  <si>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</si>
  <si>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</si>
  <si>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</si>
  <si>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</si>
  <si>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</si>
  <si>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</si>
  <si>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</si>
  <si>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</si>
  <si>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</si>
  <si>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</si>
  <si>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</si>
  <si>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</si>
  <si>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</si>
  <si>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</si>
  <si>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</si>
  <si>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</si>
  <si>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</si>
  <si>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</si>
  <si>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</si>
  <si>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</si>
  <si>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</si>
  <si>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</si>
  <si>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</si>
  <si>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</si>
  <si>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</si>
  <si>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</si>
  <si>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</si>
  <si>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</si>
  <si>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</si>
  <si>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</si>
  <si>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</si>
  <si>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 xml:space="preserve">Informacja z wykonania budżetów gmin za II Kwartały 2020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</si>
</sst>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52" applyFont="1" applyFill="1" applyBorder="1" applyAlignment="1">
      <alignment horizontal="left" vertical="top" wrapText="1"/>
      <protection/>
    </xf>
    <xf numFmtId="0" fontId="50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4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2" t="s">
        <v>112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0.75" customHeight="1"/>
    <row r="3" spans="2:13" ht="63.75" customHeight="1">
      <c r="B3" s="103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3"/>
      <c r="C4" s="105" t="s">
        <v>78</v>
      </c>
      <c r="D4" s="105"/>
      <c r="E4" s="105"/>
      <c r="F4" s="105"/>
      <c r="G4" s="105"/>
      <c r="H4" s="105"/>
      <c r="I4" s="105"/>
      <c r="J4" s="105"/>
      <c r="K4" s="105" t="s">
        <v>4</v>
      </c>
      <c r="L4" s="105"/>
      <c r="M4" s="105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143274998528.1</f>
        <v>143274998528.1</v>
      </c>
      <c r="D6" s="49">
        <f>71265693840.37</f>
        <v>71265693840.37</v>
      </c>
      <c r="E6" s="49">
        <f>68300660494.1</f>
        <v>68300660494.1</v>
      </c>
      <c r="F6" s="49">
        <f>1371241956.59</f>
        <v>1371241956.59</v>
      </c>
      <c r="G6" s="49">
        <f>376442496.19</f>
        <v>376442496.19</v>
      </c>
      <c r="H6" s="49">
        <f>54269233.05</f>
        <v>54269233.05</v>
      </c>
      <c r="I6" s="49">
        <f>138361697.92</f>
        <v>138361697.92</v>
      </c>
      <c r="J6" s="49">
        <f>556990.82</f>
        <v>556990.82</v>
      </c>
      <c r="K6" s="50">
        <f aca="true" t="shared" si="0" ref="K6:K49">IF($D$6=0,"",100*$D6/$D$6)</f>
        <v>100</v>
      </c>
      <c r="L6" s="50">
        <f aca="true" t="shared" si="1" ref="L6:L45">IF(C6=0,"",100*D6/C6)</f>
        <v>49.74049525213774</v>
      </c>
      <c r="M6" s="50"/>
    </row>
    <row r="7" spans="2:13" ht="25.5" customHeight="1">
      <c r="B7" s="82" t="s">
        <v>61</v>
      </c>
      <c r="C7" s="25">
        <f>C6-C22-C40</f>
        <v>60848925640.18001</v>
      </c>
      <c r="D7" s="25">
        <f>D6-D22-D40</f>
        <v>28127858834.469994</v>
      </c>
      <c r="E7" s="25">
        <f>E6-E22-E40</f>
        <v>26831316544.489998</v>
      </c>
      <c r="F7" s="25">
        <f>F6</f>
        <v>1371241956.59</v>
      </c>
      <c r="G7" s="25">
        <f>G6</f>
        <v>376442496.19</v>
      </c>
      <c r="H7" s="25">
        <f>H6</f>
        <v>54269233.05</v>
      </c>
      <c r="I7" s="25">
        <f>I6</f>
        <v>138361697.92</v>
      </c>
      <c r="J7" s="25">
        <f>J6</f>
        <v>556990.82</v>
      </c>
      <c r="K7" s="33">
        <f t="shared" si="0"/>
        <v>39.46900299248382</v>
      </c>
      <c r="L7" s="33">
        <f t="shared" si="1"/>
        <v>46.2257279623956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1011153086.98</f>
        <v>1011153086.98</v>
      </c>
      <c r="D8" s="24">
        <f>585806723.73</f>
        <v>585806723.73</v>
      </c>
      <c r="E8" s="24">
        <f>669858353.54</f>
        <v>669858353.54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0.8220038172113566</v>
      </c>
      <c r="L8" s="34">
        <f t="shared" si="1"/>
        <v>57.93452359223098</v>
      </c>
      <c r="M8" s="34">
        <f t="shared" si="2"/>
        <v>2.0826566543064002</v>
      </c>
    </row>
    <row r="9" spans="2:13" ht="22.5" customHeight="1">
      <c r="B9" s="32" t="s">
        <v>19</v>
      </c>
      <c r="C9" s="24">
        <f>23511050194.08</f>
        <v>23511050194.08</v>
      </c>
      <c r="D9" s="24">
        <f>10117749401</f>
        <v>10117749401</v>
      </c>
      <c r="E9" s="24">
        <f>8735760739.88</f>
        <v>8735760739.88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14.197222893336347</v>
      </c>
      <c r="L9" s="34">
        <f t="shared" si="1"/>
        <v>43.03401727051569</v>
      </c>
      <c r="M9" s="34">
        <f t="shared" si="2"/>
        <v>35.97056377643985</v>
      </c>
    </row>
    <row r="10" spans="2:13" ht="13.5" customHeight="1">
      <c r="B10" s="32" t="s">
        <v>20</v>
      </c>
      <c r="C10" s="24">
        <f>1619644096.11</f>
        <v>1619644096.11</v>
      </c>
      <c r="D10" s="24">
        <f>915369774.79</f>
        <v>915369774.79</v>
      </c>
      <c r="E10" s="24">
        <f>921498561.53</f>
        <v>921498561.53</v>
      </c>
      <c r="F10" s="24">
        <f>78814823.38</f>
        <v>78814823.38</v>
      </c>
      <c r="G10" s="24">
        <f>1231756.3</f>
        <v>1231756.3</v>
      </c>
      <c r="H10" s="24">
        <f>2349098.2</f>
        <v>2349098.2</v>
      </c>
      <c r="I10" s="24">
        <f>4210256.74</f>
        <v>4210256.74</v>
      </c>
      <c r="J10" s="24">
        <f>1263.91</f>
        <v>1263.91</v>
      </c>
      <c r="K10" s="34">
        <f t="shared" si="0"/>
        <v>1.2844465905858746</v>
      </c>
      <c r="L10" s="34">
        <f t="shared" si="1"/>
        <v>56.51672345723981</v>
      </c>
      <c r="M10" s="34">
        <f t="shared" si="2"/>
        <v>3.254317295094773</v>
      </c>
    </row>
    <row r="11" spans="2:13" ht="13.5" customHeight="1">
      <c r="B11" s="32" t="s">
        <v>21</v>
      </c>
      <c r="C11" s="24">
        <f>14847201065.97</f>
        <v>14847201065.97</v>
      </c>
      <c r="D11" s="62">
        <f>7638721431.11</f>
        <v>7638721431.11</v>
      </c>
      <c r="E11" s="24">
        <f>7693293430.3</f>
        <v>7693293430.3</v>
      </c>
      <c r="F11" s="24">
        <f>915436873.72</f>
        <v>915436873.72</v>
      </c>
      <c r="G11" s="24">
        <f>367760536.59</f>
        <v>367760536.59</v>
      </c>
      <c r="H11" s="24">
        <f>43573745.85</f>
        <v>43573745.85</v>
      </c>
      <c r="I11" s="24">
        <f>118104736.83</f>
        <v>118104736.83</v>
      </c>
      <c r="J11" s="24">
        <f>385194.37</f>
        <v>385194.37</v>
      </c>
      <c r="K11" s="34">
        <f t="shared" si="0"/>
        <v>10.718651597247035</v>
      </c>
      <c r="L11" s="34">
        <f t="shared" si="1"/>
        <v>51.44889866560816</v>
      </c>
      <c r="M11" s="34">
        <f t="shared" si="2"/>
        <v>27.15713796795985</v>
      </c>
    </row>
    <row r="12" spans="2:13" ht="13.5" customHeight="1">
      <c r="B12" s="32" t="s">
        <v>22</v>
      </c>
      <c r="C12" s="24">
        <f>299266129.42</f>
        <v>299266129.42</v>
      </c>
      <c r="D12" s="62">
        <f>162257594.88</f>
        <v>162257594.88</v>
      </c>
      <c r="E12" s="24">
        <f>162161383.52</f>
        <v>162161383.52</v>
      </c>
      <c r="F12" s="24">
        <f>574915.01</f>
        <v>574915.01</v>
      </c>
      <c r="G12" s="24">
        <f>276941.82</f>
        <v>276941.82</v>
      </c>
      <c r="H12" s="24">
        <f>69626.69</f>
        <v>69626.69</v>
      </c>
      <c r="I12" s="24">
        <f>18249.05</f>
        <v>18249.05</v>
      </c>
      <c r="J12" s="24">
        <f>78.54</f>
        <v>78.54</v>
      </c>
      <c r="K12" s="34">
        <f t="shared" si="0"/>
        <v>0.22767980796404688</v>
      </c>
      <c r="L12" s="34">
        <f t="shared" si="1"/>
        <v>54.21849615740587</v>
      </c>
      <c r="M12" s="34">
        <f t="shared" si="2"/>
        <v>0.5768572568387514</v>
      </c>
    </row>
    <row r="13" spans="2:13" ht="22.5" customHeight="1">
      <c r="B13" s="32" t="s">
        <v>23</v>
      </c>
      <c r="C13" s="24">
        <f>833577944.03</f>
        <v>833577944.03</v>
      </c>
      <c r="D13" s="62">
        <f>410550375.44</f>
        <v>410550375.44</v>
      </c>
      <c r="E13" s="24">
        <f>410393724.76</f>
        <v>410393724.76</v>
      </c>
      <c r="F13" s="24">
        <f>373727652.79</f>
        <v>373727652.79</v>
      </c>
      <c r="G13" s="24">
        <f>1670270.96</f>
        <v>1670270.96</v>
      </c>
      <c r="H13" s="24">
        <f>2814357.54</f>
        <v>2814357.54</v>
      </c>
      <c r="I13" s="24">
        <f>6320778.04</f>
        <v>6320778.04</v>
      </c>
      <c r="J13" s="24">
        <f>1186.89</f>
        <v>1186.89</v>
      </c>
      <c r="K13" s="34">
        <f t="shared" si="0"/>
        <v>0.5760841624016223</v>
      </c>
      <c r="L13" s="34">
        <f t="shared" si="1"/>
        <v>49.25158809446913</v>
      </c>
      <c r="M13" s="34">
        <f t="shared" si="2"/>
        <v>1.459586305008331</v>
      </c>
    </row>
    <row r="14" spans="2:13" ht="33" customHeight="1">
      <c r="B14" s="32" t="s">
        <v>46</v>
      </c>
      <c r="C14" s="24">
        <f>38022076.42</f>
        <v>38022076.42</v>
      </c>
      <c r="D14" s="62">
        <f>14292840.55</f>
        <v>14292840.55</v>
      </c>
      <c r="E14" s="24">
        <f>14517186.44</f>
        <v>14517186.44</v>
      </c>
      <c r="F14" s="24">
        <f>0</f>
        <v>0</v>
      </c>
      <c r="G14" s="24">
        <f>45368.13</f>
        <v>45368.13</v>
      </c>
      <c r="H14" s="24">
        <f>10080</f>
        <v>10080</v>
      </c>
      <c r="I14" s="24">
        <f>19075.31</f>
        <v>19075.31</v>
      </c>
      <c r="J14" s="24">
        <f>0</f>
        <v>0</v>
      </c>
      <c r="K14" s="34">
        <f t="shared" si="0"/>
        <v>0.020055709528367084</v>
      </c>
      <c r="L14" s="34">
        <f t="shared" si="1"/>
        <v>37.59089953983107</v>
      </c>
      <c r="M14" s="34">
        <f t="shared" si="2"/>
        <v>0.050813823526746654</v>
      </c>
    </row>
    <row r="15" spans="2:13" ht="22.5" customHeight="1">
      <c r="B15" s="32" t="s">
        <v>28</v>
      </c>
      <c r="C15" s="24">
        <f>113153408.45</f>
        <v>113153408.45</v>
      </c>
      <c r="D15" s="62">
        <f>57921515.65</f>
        <v>57921515.65</v>
      </c>
      <c r="E15" s="24">
        <f>57116149.93</f>
        <v>57116149.93</v>
      </c>
      <c r="F15" s="24">
        <f>0</f>
        <v>0</v>
      </c>
      <c r="G15" s="24">
        <f>4460</f>
        <v>4460</v>
      </c>
      <c r="H15" s="24">
        <f>1550014.01</f>
        <v>1550014.01</v>
      </c>
      <c r="I15" s="24">
        <f>2769333.47</f>
        <v>2769333.47</v>
      </c>
      <c r="J15" s="24">
        <f>0</f>
        <v>0</v>
      </c>
      <c r="K15" s="34">
        <f t="shared" si="0"/>
        <v>0.08127545320717709</v>
      </c>
      <c r="L15" s="34">
        <f t="shared" si="1"/>
        <v>51.188485122473566</v>
      </c>
      <c r="M15" s="34">
        <f t="shared" si="2"/>
        <v>0.20592223528588893</v>
      </c>
    </row>
    <row r="16" spans="2:13" ht="22.5" customHeight="1">
      <c r="B16" s="32" t="s">
        <v>29</v>
      </c>
      <c r="C16" s="24">
        <f>1087739582.31</f>
        <v>1087739582.31</v>
      </c>
      <c r="D16" s="62">
        <f>601416678.92</f>
        <v>601416678.92</v>
      </c>
      <c r="E16" s="24">
        <f>598787339.14</f>
        <v>598787339.14</v>
      </c>
      <c r="F16" s="24">
        <f>0</f>
        <v>0</v>
      </c>
      <c r="G16" s="24">
        <f>0</f>
        <v>0</v>
      </c>
      <c r="H16" s="24">
        <f>52362.64</f>
        <v>52362.64</v>
      </c>
      <c r="I16" s="24">
        <f>264217.21</f>
        <v>264217.21</v>
      </c>
      <c r="J16" s="24">
        <f>0</f>
        <v>0</v>
      </c>
      <c r="K16" s="34">
        <f t="shared" si="0"/>
        <v>0.8439077016034249</v>
      </c>
      <c r="L16" s="34">
        <f t="shared" si="1"/>
        <v>55.29050231331927</v>
      </c>
      <c r="M16" s="34">
        <f t="shared" si="2"/>
        <v>2.1381530761345355</v>
      </c>
    </row>
    <row r="17" spans="2:13" ht="13.5" customHeight="1">
      <c r="B17" s="32" t="s">
        <v>30</v>
      </c>
      <c r="C17" s="24">
        <f>177738918.92</f>
        <v>177738918.92</v>
      </c>
      <c r="D17" s="62">
        <f>80987308.72</f>
        <v>80987308.72</v>
      </c>
      <c r="E17" s="24">
        <f>80875419.59</f>
        <v>80875419.59</v>
      </c>
      <c r="F17" s="24">
        <f>0</f>
        <v>0</v>
      </c>
      <c r="G17" s="24">
        <f>0</f>
        <v>0</v>
      </c>
      <c r="H17" s="24">
        <f>606.1</f>
        <v>606.1</v>
      </c>
      <c r="I17" s="24">
        <f>12200</f>
        <v>12200</v>
      </c>
      <c r="J17" s="24">
        <f>0</f>
        <v>0</v>
      </c>
      <c r="K17" s="34">
        <f t="shared" si="0"/>
        <v>0.11364136705299709</v>
      </c>
      <c r="L17" s="34">
        <f t="shared" si="1"/>
        <v>45.565320871818884</v>
      </c>
      <c r="M17" s="34">
        <f t="shared" si="2"/>
        <v>0.2879256085456176</v>
      </c>
    </row>
    <row r="18" spans="2:13" ht="22.5" customHeight="1">
      <c r="B18" s="32" t="s">
        <v>31</v>
      </c>
      <c r="C18" s="24">
        <f>376769298.3</f>
        <v>376769298.3</v>
      </c>
      <c r="D18" s="62">
        <f>191990855.06</f>
        <v>191990855.06</v>
      </c>
      <c r="E18" s="24">
        <f>192100575.21</f>
        <v>192100575.21</v>
      </c>
      <c r="F18" s="24">
        <f>0</f>
        <v>0</v>
      </c>
      <c r="G18" s="24">
        <f>0</f>
        <v>0</v>
      </c>
      <c r="H18" s="24">
        <f>5010</f>
        <v>5010</v>
      </c>
      <c r="I18" s="24">
        <f>604729.39</f>
        <v>604729.39</v>
      </c>
      <c r="J18" s="24">
        <f>0</f>
        <v>0</v>
      </c>
      <c r="K18" s="34">
        <f t="shared" si="0"/>
        <v>0.2694015096380674</v>
      </c>
      <c r="L18" s="34">
        <f t="shared" si="1"/>
        <v>50.95713900423186</v>
      </c>
      <c r="M18" s="34">
        <f t="shared" si="2"/>
        <v>0.6825647703575644</v>
      </c>
    </row>
    <row r="19" spans="2:13" ht="13.5" customHeight="1">
      <c r="B19" s="32" t="s">
        <v>32</v>
      </c>
      <c r="C19" s="24">
        <f>116704602.68</f>
        <v>116704602.68</v>
      </c>
      <c r="D19" s="62">
        <f>35290683.01</f>
        <v>35290683.01</v>
      </c>
      <c r="E19" s="24">
        <f>35197770.31</f>
        <v>35197770.31</v>
      </c>
      <c r="F19" s="24">
        <f>512979.98</f>
        <v>512979.98</v>
      </c>
      <c r="G19" s="24">
        <f>24654</f>
        <v>24654</v>
      </c>
      <c r="H19" s="24">
        <f>3321</f>
        <v>3321</v>
      </c>
      <c r="I19" s="24">
        <f>90544.25</f>
        <v>90544.25</v>
      </c>
      <c r="J19" s="24">
        <f>0</f>
        <v>0</v>
      </c>
      <c r="K19" s="34">
        <f t="shared" si="0"/>
        <v>0.04951987570491993</v>
      </c>
      <c r="L19" s="34">
        <f t="shared" si="1"/>
        <v>30.239324070847346</v>
      </c>
      <c r="M19" s="34">
        <f t="shared" si="2"/>
        <v>0.12546523081505281</v>
      </c>
    </row>
    <row r="20" spans="2:13" ht="13.5" customHeight="1">
      <c r="B20" s="32" t="s">
        <v>24</v>
      </c>
      <c r="C20" s="24">
        <f>3752247702.19</f>
        <v>3752247702.19</v>
      </c>
      <c r="D20" s="62">
        <f>1418792857.92</f>
        <v>1418792857.92</v>
      </c>
      <c r="E20" s="24">
        <f>1414312152.21</f>
        <v>1414312152.21</v>
      </c>
      <c r="F20" s="24">
        <f>0</f>
        <v>0</v>
      </c>
      <c r="G20" s="24">
        <f>0</f>
        <v>0</v>
      </c>
      <c r="H20" s="24">
        <f>0</f>
        <v>0</v>
      </c>
      <c r="I20" s="24">
        <f>133724.4</f>
        <v>133724.4</v>
      </c>
      <c r="J20" s="24">
        <f>0</f>
        <v>0</v>
      </c>
      <c r="K20" s="34">
        <f t="shared" si="0"/>
        <v>1.9908497082733714</v>
      </c>
      <c r="L20" s="34">
        <f t="shared" si="1"/>
        <v>37.81181229298698</v>
      </c>
      <c r="M20" s="34">
        <f t="shared" si="2"/>
        <v>5.044084109883631</v>
      </c>
    </row>
    <row r="21" spans="2:13" ht="13.5" customHeight="1">
      <c r="B21" s="32" t="s">
        <v>25</v>
      </c>
      <c r="C21" s="24">
        <f>C7-C8-C9-C10-C11-C12-C13-C14-C15-C16-C17-C18-C19-C20</f>
        <v>13064657534.320005</v>
      </c>
      <c r="D21" s="24">
        <f aca="true" t="shared" si="3" ref="D21:J21">D7-D8-D9-D10-D11-D12-D13-D14-D15-D16-D17-D18-D19-D20</f>
        <v>5896710793.689993</v>
      </c>
      <c r="E21" s="24">
        <f t="shared" si="3"/>
        <v>5845443758.129996</v>
      </c>
      <c r="F21" s="24">
        <f t="shared" si="3"/>
        <v>2174711.7099999976</v>
      </c>
      <c r="G21" s="24">
        <f t="shared" si="3"/>
        <v>5428508.390000012</v>
      </c>
      <c r="H21" s="24">
        <f t="shared" si="3"/>
        <v>3841011.019999992</v>
      </c>
      <c r="I21" s="24">
        <f t="shared" si="3"/>
        <v>5813853.229999993</v>
      </c>
      <c r="J21" s="24">
        <f t="shared" si="3"/>
        <v>169267.1099999999</v>
      </c>
      <c r="K21" s="34">
        <f t="shared" si="0"/>
        <v>8.274262798729216</v>
      </c>
      <c r="L21" s="34">
        <f t="shared" si="1"/>
        <v>45.134828664277784</v>
      </c>
      <c r="M21" s="34">
        <f t="shared" si="2"/>
        <v>20.963951889803003</v>
      </c>
    </row>
    <row r="22" spans="2:13" ht="26.25" customHeight="1">
      <c r="B22" s="82" t="s">
        <v>69</v>
      </c>
      <c r="C22" s="49">
        <f>C23+C36+C38</f>
        <v>51278070888.92</v>
      </c>
      <c r="D22" s="49">
        <f>D23+D36+D38</f>
        <v>25003681312.9</v>
      </c>
      <c r="E22" s="49">
        <f>E23+E36+E38</f>
        <v>24984473873.61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35.08515804098735</v>
      </c>
      <c r="L22" s="50">
        <f t="shared" si="1"/>
        <v>48.76096327231904</v>
      </c>
      <c r="M22" s="28"/>
    </row>
    <row r="23" spans="2:13" ht="25.5" customHeight="1">
      <c r="B23" s="82" t="s">
        <v>62</v>
      </c>
      <c r="C23" s="49">
        <f>C24+C26+C28+C30+C32+C34</f>
        <v>42144461784.99999</v>
      </c>
      <c r="D23" s="49">
        <f>D24+D26+D28+D30+D32+D34</f>
        <v>22268121568.26</v>
      </c>
      <c r="E23" s="49">
        <f>E24+E26+E28+E30+E32+E34</f>
        <v>22259843993.88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31.24662143630985</v>
      </c>
      <c r="L23" s="50">
        <f t="shared" si="1"/>
        <v>52.83759864311672</v>
      </c>
      <c r="M23" s="28"/>
    </row>
    <row r="24" spans="2:13" ht="22.5" customHeight="1">
      <c r="B24" s="32" t="s">
        <v>9</v>
      </c>
      <c r="C24" s="24">
        <f>37757078669.74</f>
        <v>37757078669.74</v>
      </c>
      <c r="D24" s="24">
        <f>20402609390.52</f>
        <v>20402609390.52</v>
      </c>
      <c r="E24" s="24">
        <f>20395467862.93</f>
        <v>20395467862.93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28.62893531384171</v>
      </c>
      <c r="L24" s="34">
        <f t="shared" si="1"/>
        <v>54.03651476582973</v>
      </c>
      <c r="M24" s="28"/>
    </row>
    <row r="25" spans="2:13" ht="13.5" customHeight="1">
      <c r="B25" s="63" t="s">
        <v>6</v>
      </c>
      <c r="C25" s="24">
        <f>3965247</f>
        <v>3965247</v>
      </c>
      <c r="D25" s="24">
        <f>166222</f>
        <v>166222</v>
      </c>
      <c r="E25" s="24">
        <f>166222</f>
        <v>166222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0.00023324266002703245</v>
      </c>
      <c r="L25" s="34">
        <f t="shared" si="1"/>
        <v>4.191970891094552</v>
      </c>
      <c r="M25" s="28"/>
    </row>
    <row r="26" spans="2:13" ht="13.5" customHeight="1">
      <c r="B26" s="32" t="s">
        <v>7</v>
      </c>
      <c r="C26" s="24">
        <f>3299601184.52</f>
        <v>3299601184.52</v>
      </c>
      <c r="D26" s="24">
        <f>1590762318.55</f>
        <v>1590762318.55</v>
      </c>
      <c r="E26" s="24">
        <f>1589846654.14</f>
        <v>1589846654.14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2.232157203314673</v>
      </c>
      <c r="L26" s="34">
        <f t="shared" si="1"/>
        <v>48.2107451655983</v>
      </c>
      <c r="M26" s="28"/>
    </row>
    <row r="27" spans="2:13" ht="13.5" customHeight="1">
      <c r="B27" s="63" t="s">
        <v>6</v>
      </c>
      <c r="C27" s="24">
        <f>385955093.61</f>
        <v>385955093.61</v>
      </c>
      <c r="D27" s="24">
        <f>54629851.95</f>
        <v>54629851.95</v>
      </c>
      <c r="E27" s="24">
        <f>54613101.77</f>
        <v>54613101.77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0.0766565917008637</v>
      </c>
      <c r="L27" s="34">
        <f t="shared" si="1"/>
        <v>14.154458084494768</v>
      </c>
      <c r="M27" s="28"/>
    </row>
    <row r="28" spans="2:13" ht="33" customHeight="1">
      <c r="B28" s="32" t="s">
        <v>10</v>
      </c>
      <c r="C28" s="24">
        <f>23313358.2</f>
        <v>23313358.2</v>
      </c>
      <c r="D28" s="24">
        <f>8227763.81</f>
        <v>8227763.81</v>
      </c>
      <c r="E28" s="24">
        <f>8156477.72</f>
        <v>8156477.72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0.01154519568479835</v>
      </c>
      <c r="L28" s="34">
        <f t="shared" si="1"/>
        <v>35.29205762385618</v>
      </c>
      <c r="M28" s="28"/>
    </row>
    <row r="29" spans="2:13" ht="13.5" customHeight="1">
      <c r="B29" s="63" t="s">
        <v>6</v>
      </c>
      <c r="C29" s="24">
        <f>10700376.48</f>
        <v>10700376.48</v>
      </c>
      <c r="D29" s="24">
        <f>2768825</f>
        <v>2768825</v>
      </c>
      <c r="E29" s="24">
        <f>2768825</f>
        <v>2768825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0.0038852144009177375</v>
      </c>
      <c r="L29" s="34">
        <f t="shared" si="1"/>
        <v>25.87595871206206</v>
      </c>
      <c r="M29" s="28"/>
    </row>
    <row r="30" spans="2:13" ht="33.75">
      <c r="B30" s="32" t="s">
        <v>11</v>
      </c>
      <c r="C30" s="24">
        <f>553036007.75</f>
        <v>553036007.75</v>
      </c>
      <c r="D30" s="24">
        <f>158520253.41</f>
        <v>158520253.41</v>
      </c>
      <c r="E30" s="24">
        <f>158628182.57</f>
        <v>158628182.57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0.22243557154593052</v>
      </c>
      <c r="L30" s="34">
        <f t="shared" si="1"/>
        <v>28.66364055659448</v>
      </c>
      <c r="M30" s="28"/>
    </row>
    <row r="31" spans="2:13" ht="12.75">
      <c r="B31" s="63" t="s">
        <v>6</v>
      </c>
      <c r="C31" s="24">
        <f>256147445.19</f>
        <v>256147445.19</v>
      </c>
      <c r="D31" s="24">
        <f>14957562.21</f>
        <v>14957562.21</v>
      </c>
      <c r="E31" s="24">
        <f>14957562.21</f>
        <v>14957562.21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0.020988446760237624</v>
      </c>
      <c r="L31" s="34">
        <f t="shared" si="1"/>
        <v>5.8394344706054255</v>
      </c>
      <c r="M31" s="28"/>
    </row>
    <row r="32" spans="2:13" ht="45">
      <c r="B32" s="32" t="s">
        <v>79</v>
      </c>
      <c r="C32" s="24">
        <f>232128759.72</f>
        <v>232128759.72</v>
      </c>
      <c r="D32" s="24">
        <f>56787846.21</f>
        <v>56787846.21</v>
      </c>
      <c r="E32" s="24">
        <f>56799820.66</f>
        <v>56799820.66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0.07968468859252345</v>
      </c>
      <c r="L32" s="34">
        <f t="shared" si="1"/>
        <v>24.46394245956384</v>
      </c>
      <c r="M32" s="28"/>
    </row>
    <row r="33" spans="2:13" ht="12.75">
      <c r="B33" s="63" t="s">
        <v>6</v>
      </c>
      <c r="C33" s="24">
        <f>205254694.25</f>
        <v>205254694.25</v>
      </c>
      <c r="D33" s="24">
        <f>45305585.04</f>
        <v>45305585.04</v>
      </c>
      <c r="E33" s="24">
        <f>45309185.04</f>
        <v>45309185.04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0.0635727831984366</v>
      </c>
      <c r="L33" s="34">
        <f t="shared" si="1"/>
        <v>22.072861819578094</v>
      </c>
      <c r="M33" s="28"/>
    </row>
    <row r="34" spans="2:13" ht="22.5">
      <c r="B34" s="32" t="s">
        <v>8</v>
      </c>
      <c r="C34" s="24">
        <f>279303805.07</f>
        <v>279303805.07</v>
      </c>
      <c r="D34" s="24">
        <f>51213995.76</f>
        <v>51213995.76</v>
      </c>
      <c r="E34" s="24">
        <f>50944995.86</f>
        <v>50944995.86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0.0718634633302184</v>
      </c>
      <c r="L34" s="34">
        <f t="shared" si="1"/>
        <v>18.33630435044184</v>
      </c>
      <c r="M34" s="28"/>
    </row>
    <row r="35" spans="2:13" ht="12.75">
      <c r="B35" s="31" t="s">
        <v>6</v>
      </c>
      <c r="C35" s="22">
        <f>246777099.24</f>
        <v>246777099.24</v>
      </c>
      <c r="D35" s="22">
        <f>39919882.83</f>
        <v>39919882.83</v>
      </c>
      <c r="E35" s="22">
        <f>39919882.93</f>
        <v>39919882.93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0.0560155674894819</v>
      </c>
      <c r="L35" s="34">
        <f t="shared" si="1"/>
        <v>16.176494072157162</v>
      </c>
      <c r="M35" s="28"/>
    </row>
    <row r="36" spans="2:13" ht="12.75">
      <c r="B36" s="82" t="s">
        <v>107</v>
      </c>
      <c r="C36" s="49">
        <f>1365862459.62</f>
        <v>1365862459.62</v>
      </c>
      <c r="D36" s="49">
        <f>381035085.49</f>
        <v>381035085.49</v>
      </c>
      <c r="E36" s="49">
        <f>379983589.47</f>
        <v>379983589.47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0.5346683164882826</v>
      </c>
      <c r="L36" s="50">
        <f t="shared" si="1"/>
        <v>27.897031857512854</v>
      </c>
      <c r="M36" s="28"/>
    </row>
    <row r="37" spans="2:13" ht="13.5" customHeight="1">
      <c r="B37" s="31" t="s">
        <v>108</v>
      </c>
      <c r="C37" s="22">
        <f>1234507632.82</f>
        <v>1234507632.82</v>
      </c>
      <c r="D37" s="22">
        <f>314273273.24</f>
        <v>314273273.24</v>
      </c>
      <c r="E37" s="22">
        <f>313339422.76</f>
        <v>313339422.76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0.440988161771005</v>
      </c>
      <c r="L37" s="34">
        <f t="shared" si="1"/>
        <v>25.45737789584192</v>
      </c>
      <c r="M37" s="28"/>
    </row>
    <row r="38" spans="2:13" ht="13.5" customHeight="1">
      <c r="B38" s="82" t="s">
        <v>109</v>
      </c>
      <c r="C38" s="41">
        <f>7767746644.3</f>
        <v>7767746644.3</v>
      </c>
      <c r="D38" s="41">
        <f>2354524659.15</f>
        <v>2354524659.15</v>
      </c>
      <c r="E38" s="41">
        <f>2344646290.26</f>
        <v>2344646290.26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3.3038682881892165</v>
      </c>
      <c r="L38" s="64">
        <f t="shared" si="1"/>
        <v>30.311553233752267</v>
      </c>
      <c r="M38" s="28"/>
    </row>
    <row r="39" spans="2:13" ht="13.5" customHeight="1">
      <c r="B39" s="31" t="s">
        <v>110</v>
      </c>
      <c r="C39" s="22">
        <f>6792502784.5</f>
        <v>6792502784.5</v>
      </c>
      <c r="D39" s="22">
        <f>1794023152.69</f>
        <v>1794023152.69</v>
      </c>
      <c r="E39" s="22">
        <f>1786585631.69</f>
        <v>1786585631.69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2.5173727441824707</v>
      </c>
      <c r="L39" s="34">
        <f t="shared" si="1"/>
        <v>26.411813283077795</v>
      </c>
      <c r="M39" s="28"/>
    </row>
    <row r="40" spans="2:13" s="5" customFormat="1" ht="25.5" customHeight="1">
      <c r="B40" s="82" t="s">
        <v>63</v>
      </c>
      <c r="C40" s="25">
        <f>C41+C42+C43+C44+C45</f>
        <v>31148001999</v>
      </c>
      <c r="D40" s="25">
        <f>D41+D42+D43+D44+D45</f>
        <v>18134153693</v>
      </c>
      <c r="E40" s="25">
        <f>E41+E42+E43+E44+E45</f>
        <v>16484870076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25.445838966528825</v>
      </c>
      <c r="L40" s="33">
        <f t="shared" si="1"/>
        <v>58.219315940657104</v>
      </c>
      <c r="M40" s="29"/>
    </row>
    <row r="41" spans="2:13" ht="13.5" customHeight="1">
      <c r="B41" s="20" t="s">
        <v>50</v>
      </c>
      <c r="C41" s="22">
        <f>8746737694</f>
        <v>8746737694</v>
      </c>
      <c r="D41" s="22">
        <f>4373156460</f>
        <v>4373156460</v>
      </c>
      <c r="E41" s="22">
        <f>4373156460</f>
        <v>4373156460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6.136411819402972</v>
      </c>
      <c r="L41" s="34">
        <f t="shared" si="1"/>
        <v>49.997571814687596</v>
      </c>
      <c r="M41" s="28"/>
    </row>
    <row r="42" spans="2:13" ht="13.5" customHeight="1">
      <c r="B42" s="32" t="s">
        <v>49</v>
      </c>
      <c r="C42" s="24">
        <f>22034306623</f>
        <v>22034306623</v>
      </c>
      <c r="D42" s="24">
        <f>13555056184</f>
        <v>13555056184</v>
      </c>
      <c r="E42" s="24">
        <f>11905775265</f>
        <v>11905775265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19.02045072957873</v>
      </c>
      <c r="L42" s="34">
        <f t="shared" si="1"/>
        <v>61.51796113180557</v>
      </c>
      <c r="M42" s="28"/>
    </row>
    <row r="43" spans="2:13" ht="13.5" customHeight="1">
      <c r="B43" s="32" t="s">
        <v>48</v>
      </c>
      <c r="C43" s="24">
        <f>0</f>
        <v>0</v>
      </c>
      <c r="D43" s="24">
        <f>0</f>
        <v>0</v>
      </c>
      <c r="E43" s="24">
        <f>0</f>
        <v>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</c>
      <c r="M43" s="28"/>
    </row>
    <row r="44" spans="2:13" ht="13.5" customHeight="1">
      <c r="B44" s="32" t="s">
        <v>47</v>
      </c>
      <c r="C44" s="24">
        <f>337571142</f>
        <v>337571142</v>
      </c>
      <c r="D44" s="24">
        <f>168785868</f>
        <v>168785868</v>
      </c>
      <c r="E44" s="24">
        <f>168783170</f>
        <v>168783170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0.23684027882766168</v>
      </c>
      <c r="L44" s="34">
        <f t="shared" si="1"/>
        <v>50.00008798145429</v>
      </c>
      <c r="M44" s="28"/>
    </row>
    <row r="45" spans="2:13" s="5" customFormat="1" ht="22.5" customHeight="1">
      <c r="B45" s="32" t="s">
        <v>45</v>
      </c>
      <c r="C45" s="24">
        <f>29386540</f>
        <v>29386540</v>
      </c>
      <c r="D45" s="24">
        <f>37155181</f>
        <v>37155181</v>
      </c>
      <c r="E45" s="24">
        <f>37155181</f>
        <v>37155181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0.05213613871945865</v>
      </c>
      <c r="L45" s="34">
        <f t="shared" si="1"/>
        <v>126.4360520156507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 aca="true" t="shared" si="4" ref="C47:J47">+C6</f>
        <v>143274998528.1</v>
      </c>
      <c r="D47" s="41">
        <f t="shared" si="4"/>
        <v>71265693840.37</v>
      </c>
      <c r="E47" s="41">
        <f t="shared" si="4"/>
        <v>68300660494.1</v>
      </c>
      <c r="F47" s="41">
        <f t="shared" si="4"/>
        <v>1371241956.59</v>
      </c>
      <c r="G47" s="41">
        <f t="shared" si="4"/>
        <v>376442496.19</v>
      </c>
      <c r="H47" s="41">
        <f t="shared" si="4"/>
        <v>54269233.05</v>
      </c>
      <c r="I47" s="41">
        <f t="shared" si="4"/>
        <v>138361697.92</v>
      </c>
      <c r="J47" s="41">
        <f t="shared" si="4"/>
        <v>556990.82</v>
      </c>
      <c r="K47" s="65">
        <f t="shared" si="0"/>
        <v>100</v>
      </c>
      <c r="L47" s="65">
        <f>IF(C47=0,"",100*D47/C47)</f>
        <v>49.74049525213774</v>
      </c>
      <c r="M47" s="65"/>
    </row>
    <row r="48" spans="1:13" s="5" customFormat="1" ht="13.5" customHeight="1">
      <c r="A48" s="2"/>
      <c r="B48" s="83" t="s">
        <v>71</v>
      </c>
      <c r="C48" s="24">
        <f>13680799028.71</f>
        <v>13680799028.71</v>
      </c>
      <c r="D48" s="24">
        <f>3591229587.75</f>
        <v>3591229587.75</v>
      </c>
      <c r="E48" s="24">
        <f>3540792407.91</f>
        <v>3540792407.91</v>
      </c>
      <c r="F48" s="24">
        <f>0</f>
        <v>0</v>
      </c>
      <c r="G48" s="24">
        <f>0</f>
        <v>0</v>
      </c>
      <c r="H48" s="24">
        <f>0</f>
        <v>0</v>
      </c>
      <c r="I48" s="24">
        <f>133724.4</f>
        <v>133724.4</v>
      </c>
      <c r="J48" s="24">
        <f>0</f>
        <v>0</v>
      </c>
      <c r="K48" s="38">
        <f t="shared" si="0"/>
        <v>5.039212269221843</v>
      </c>
      <c r="L48" s="38">
        <f>IF(C48=0,"",100*D48/C48)</f>
        <v>26.2501450406046</v>
      </c>
      <c r="M48" s="38"/>
    </row>
    <row r="49" spans="1:13" s="5" customFormat="1" ht="13.5" customHeight="1">
      <c r="A49" s="2"/>
      <c r="B49" s="83" t="s">
        <v>72</v>
      </c>
      <c r="C49" s="24">
        <f>C47-C48</f>
        <v>129594199499.39001</v>
      </c>
      <c r="D49" s="24">
        <f aca="true" t="shared" si="5" ref="D49:J49">D47-D48</f>
        <v>67674464252.619995</v>
      </c>
      <c r="E49" s="24">
        <f t="shared" si="5"/>
        <v>64759868086.19</v>
      </c>
      <c r="F49" s="24">
        <f t="shared" si="5"/>
        <v>1371241956.59</v>
      </c>
      <c r="G49" s="24">
        <f t="shared" si="5"/>
        <v>376442496.19</v>
      </c>
      <c r="H49" s="24">
        <f t="shared" si="5"/>
        <v>54269233.05</v>
      </c>
      <c r="I49" s="24">
        <f t="shared" si="5"/>
        <v>138227973.51999998</v>
      </c>
      <c r="J49" s="24">
        <f t="shared" si="5"/>
        <v>556990.82</v>
      </c>
      <c r="K49" s="38">
        <f t="shared" si="0"/>
        <v>94.96078773077816</v>
      </c>
      <c r="L49" s="38">
        <f>IF(C49=0,"",100*D49/C49)</f>
        <v>52.22028803298294</v>
      </c>
      <c r="M49" s="38"/>
    </row>
    <row r="50" spans="2:13" ht="15">
      <c r="B50" s="102" t="s">
        <v>112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3" t="s">
        <v>0</v>
      </c>
      <c r="C52" s="104" t="s">
        <v>56</v>
      </c>
      <c r="D52" s="104" t="s">
        <v>57</v>
      </c>
      <c r="E52" s="104" t="s">
        <v>58</v>
      </c>
      <c r="F52" s="104" t="s">
        <v>12</v>
      </c>
      <c r="G52" s="104"/>
      <c r="H52" s="104"/>
      <c r="I52" s="104" t="s">
        <v>95</v>
      </c>
      <c r="J52" s="104"/>
      <c r="K52" s="104" t="s">
        <v>2</v>
      </c>
      <c r="L52" s="108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3"/>
      <c r="C53" s="104"/>
      <c r="D53" s="107"/>
      <c r="E53" s="104"/>
      <c r="F53" s="92" t="s">
        <v>59</v>
      </c>
      <c r="G53" s="106" t="s">
        <v>34</v>
      </c>
      <c r="H53" s="107"/>
      <c r="I53" s="104"/>
      <c r="J53" s="104"/>
      <c r="K53" s="104"/>
      <c r="L53" s="108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3"/>
      <c r="C54" s="104"/>
      <c r="D54" s="107"/>
      <c r="E54" s="104"/>
      <c r="F54" s="107"/>
      <c r="G54" s="18" t="s">
        <v>54</v>
      </c>
      <c r="H54" s="18" t="s">
        <v>55</v>
      </c>
      <c r="I54" s="104"/>
      <c r="J54" s="104"/>
      <c r="K54" s="104"/>
      <c r="L54" s="108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3"/>
      <c r="C55" s="105" t="s">
        <v>78</v>
      </c>
      <c r="D55" s="105"/>
      <c r="E55" s="105"/>
      <c r="F55" s="105"/>
      <c r="G55" s="105"/>
      <c r="H55" s="105"/>
      <c r="I55" s="105"/>
      <c r="J55" s="105"/>
      <c r="K55" s="105" t="s">
        <v>4</v>
      </c>
      <c r="L55" s="10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7">
        <v>8</v>
      </c>
      <c r="J56" s="107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64</v>
      </c>
      <c r="C57" s="66">
        <f>153933231263.57</f>
        <v>153933231263.57</v>
      </c>
      <c r="D57" s="66">
        <f>109345370391.54</f>
        <v>109345370391.54</v>
      </c>
      <c r="E57" s="66">
        <f>65692665654.97</f>
        <v>65692665654.97</v>
      </c>
      <c r="F57" s="66">
        <f>3153125765.18</f>
        <v>3153125765.18</v>
      </c>
      <c r="G57" s="66">
        <f>10566333.42</f>
        <v>10566333.42</v>
      </c>
      <c r="H57" s="66">
        <f>14463411.98</f>
        <v>14463411.98</v>
      </c>
      <c r="I57" s="111">
        <f>0</f>
        <v>0</v>
      </c>
      <c r="J57" s="111"/>
      <c r="K57" s="58">
        <f aca="true" t="shared" si="6" ref="K57:K66">IF($E$57=0,"",100*$E57/$E$57)</f>
        <v>100</v>
      </c>
      <c r="L57" s="58">
        <f aca="true" t="shared" si="7" ref="L57:L66">IF(C57=0,"",100*E57/C57)</f>
        <v>42.67607787852427</v>
      </c>
    </row>
    <row r="58" spans="2:12" ht="24" customHeight="1">
      <c r="B58" s="82" t="s">
        <v>14</v>
      </c>
      <c r="C58" s="26">
        <f>28800773902.5</f>
        <v>28800773902.5</v>
      </c>
      <c r="D58" s="26">
        <f>14424039687.25</f>
        <v>14424039687.25</v>
      </c>
      <c r="E58" s="26">
        <f>6313290827.47</f>
        <v>6313290827.47</v>
      </c>
      <c r="F58" s="26">
        <f>894314572.12</f>
        <v>894314572.12</v>
      </c>
      <c r="G58" s="26">
        <f>8585128.9</f>
        <v>8585128.9</v>
      </c>
      <c r="H58" s="26">
        <f>1501709.27</f>
        <v>1501709.27</v>
      </c>
      <c r="I58" s="101">
        <f>0</f>
        <v>0</v>
      </c>
      <c r="J58" s="112"/>
      <c r="K58" s="35">
        <f t="shared" si="6"/>
        <v>9.610343505664039</v>
      </c>
      <c r="L58" s="35">
        <f t="shared" si="7"/>
        <v>21.920559665662267</v>
      </c>
    </row>
    <row r="59" spans="2:12" ht="22.5" customHeight="1">
      <c r="B59" s="20" t="s">
        <v>13</v>
      </c>
      <c r="C59" s="22">
        <f>28304830907.57</f>
        <v>28304830907.57</v>
      </c>
      <c r="D59" s="22">
        <f>14162566438.54</f>
        <v>14162566438.54</v>
      </c>
      <c r="E59" s="22">
        <f>6094668482.42</f>
        <v>6094668482.42</v>
      </c>
      <c r="F59" s="22">
        <f>885709909.72</f>
        <v>885709909.72</v>
      </c>
      <c r="G59" s="22">
        <f>8585128.9</f>
        <v>8585128.9</v>
      </c>
      <c r="H59" s="22">
        <f>1501709.27</f>
        <v>1501709.27</v>
      </c>
      <c r="I59" s="109">
        <f>0</f>
        <v>0</v>
      </c>
      <c r="J59" s="110"/>
      <c r="K59" s="36">
        <f t="shared" si="6"/>
        <v>9.277547838339098</v>
      </c>
      <c r="L59" s="36">
        <f t="shared" si="7"/>
        <v>21.532255403052094</v>
      </c>
    </row>
    <row r="60" spans="2:12" ht="25.5" customHeight="1">
      <c r="B60" s="82" t="s">
        <v>65</v>
      </c>
      <c r="C60" s="26">
        <f aca="true" t="shared" si="8" ref="C60:I60">C57-C58</f>
        <v>125132457361.07</v>
      </c>
      <c r="D60" s="26">
        <f t="shared" si="8"/>
        <v>94921330704.29</v>
      </c>
      <c r="E60" s="26">
        <f t="shared" si="8"/>
        <v>59379374827.5</v>
      </c>
      <c r="F60" s="26">
        <f t="shared" si="8"/>
        <v>2258811193.06</v>
      </c>
      <c r="G60" s="26">
        <f t="shared" si="8"/>
        <v>1981204.5199999996</v>
      </c>
      <c r="H60" s="26">
        <f t="shared" si="8"/>
        <v>12961702.71</v>
      </c>
      <c r="I60" s="101">
        <f t="shared" si="8"/>
        <v>0</v>
      </c>
      <c r="J60" s="101"/>
      <c r="K60" s="35">
        <f t="shared" si="6"/>
        <v>90.38965649433597</v>
      </c>
      <c r="L60" s="35">
        <f t="shared" si="7"/>
        <v>47.45321564025605</v>
      </c>
    </row>
    <row r="61" spans="2:12" ht="22.5">
      <c r="B61" s="20" t="s">
        <v>111</v>
      </c>
      <c r="C61" s="22">
        <f>45769079904.49</f>
        <v>45769079904.49</v>
      </c>
      <c r="D61" s="22">
        <f>39543665754.97</f>
        <v>39543665754.97</v>
      </c>
      <c r="E61" s="22">
        <f>21935878528.46</f>
        <v>21935878528.46</v>
      </c>
      <c r="F61" s="22">
        <f>818469795.28</f>
        <v>818469795.28</v>
      </c>
      <c r="G61" s="22">
        <f>370434.7</f>
        <v>370434.7</v>
      </c>
      <c r="H61" s="22">
        <f>2547135.56</f>
        <v>2547135.56</v>
      </c>
      <c r="I61" s="109">
        <f>0</f>
        <v>0</v>
      </c>
      <c r="J61" s="110"/>
      <c r="K61" s="36">
        <f t="shared" si="6"/>
        <v>33.391670606991774</v>
      </c>
      <c r="L61" s="36">
        <f t="shared" si="7"/>
        <v>47.92728753611686</v>
      </c>
    </row>
    <row r="62" spans="2:12" ht="13.5" customHeight="1">
      <c r="B62" s="32" t="s">
        <v>53</v>
      </c>
      <c r="C62" s="68">
        <f>8686145556.56</f>
        <v>8686145556.56</v>
      </c>
      <c r="D62" s="68">
        <f>5983831434.66</f>
        <v>5983831434.66</v>
      </c>
      <c r="E62" s="68">
        <f>4295353973.58</f>
        <v>4295353973.58</v>
      </c>
      <c r="F62" s="68">
        <f>23089080.78</f>
        <v>23089080.78</v>
      </c>
      <c r="G62" s="68">
        <f>346000.39</f>
        <v>346000.39</v>
      </c>
      <c r="H62" s="68">
        <f>264526.61</f>
        <v>264526.61</v>
      </c>
      <c r="I62" s="100">
        <f>0</f>
        <v>0</v>
      </c>
      <c r="J62" s="100"/>
      <c r="K62" s="69">
        <f t="shared" si="6"/>
        <v>6.5385594126138695</v>
      </c>
      <c r="L62" s="69">
        <f t="shared" si="7"/>
        <v>49.45063314459471</v>
      </c>
    </row>
    <row r="63" spans="2:12" ht="13.5" customHeight="1">
      <c r="B63" s="32" t="s">
        <v>52</v>
      </c>
      <c r="C63" s="24">
        <f>1019473297.22</f>
        <v>1019473297.22</v>
      </c>
      <c r="D63" s="24">
        <f>512869865.22</f>
        <v>512869865.22</v>
      </c>
      <c r="E63" s="24">
        <f>406074493.28</f>
        <v>406074493.28</v>
      </c>
      <c r="F63" s="24">
        <f>13655162.23</f>
        <v>13655162.23</v>
      </c>
      <c r="G63" s="24">
        <f>0</f>
        <v>0</v>
      </c>
      <c r="H63" s="24">
        <f>0</f>
        <v>0</v>
      </c>
      <c r="I63" s="115">
        <f>0</f>
        <v>0</v>
      </c>
      <c r="J63" s="115"/>
      <c r="K63" s="69">
        <f t="shared" si="6"/>
        <v>0.6181428158400181</v>
      </c>
      <c r="L63" s="69">
        <f t="shared" si="7"/>
        <v>39.83179298440909</v>
      </c>
    </row>
    <row r="64" spans="2:12" ht="22.5" customHeight="1">
      <c r="B64" s="32" t="s">
        <v>68</v>
      </c>
      <c r="C64" s="68">
        <f>127102407.46</f>
        <v>127102407.46</v>
      </c>
      <c r="D64" s="68">
        <f>11239378.55</f>
        <v>11239378.55</v>
      </c>
      <c r="E64" s="68">
        <f>2024420.99</f>
        <v>2024420.99</v>
      </c>
      <c r="F64" s="68">
        <f>0</f>
        <v>0</v>
      </c>
      <c r="G64" s="68">
        <f>0</f>
        <v>0</v>
      </c>
      <c r="H64" s="68">
        <f>0</f>
        <v>0</v>
      </c>
      <c r="I64" s="100">
        <f>0</f>
        <v>0</v>
      </c>
      <c r="J64" s="100"/>
      <c r="K64" s="69">
        <f t="shared" si="6"/>
        <v>0.003081654504069956</v>
      </c>
      <c r="L64" s="69">
        <f t="shared" si="7"/>
        <v>1.5927479506138382</v>
      </c>
    </row>
    <row r="65" spans="2:12" ht="22.5" customHeight="1">
      <c r="B65" s="32" t="s">
        <v>70</v>
      </c>
      <c r="C65" s="68">
        <f>39147967519.86</f>
        <v>39147967519.86</v>
      </c>
      <c r="D65" s="68">
        <f>30845353492.33</f>
        <v>30845353492.33</v>
      </c>
      <c r="E65" s="68">
        <f>20210606803.98</f>
        <v>20210606803.98</v>
      </c>
      <c r="F65" s="68">
        <f>613788207.27</f>
        <v>613788207.27</v>
      </c>
      <c r="G65" s="68">
        <f>3650.29</f>
        <v>3650.29</v>
      </c>
      <c r="H65" s="68">
        <f>115331.04</f>
        <v>115331.04</v>
      </c>
      <c r="I65" s="113">
        <f>0</f>
        <v>0</v>
      </c>
      <c r="J65" s="114"/>
      <c r="K65" s="69">
        <f t="shared" si="6"/>
        <v>30.765393065536166</v>
      </c>
      <c r="L65" s="69">
        <f t="shared" si="7"/>
        <v>51.62619692510738</v>
      </c>
    </row>
    <row r="66" spans="2:12" ht="13.5" customHeight="1">
      <c r="B66" s="32" t="s">
        <v>51</v>
      </c>
      <c r="C66" s="24">
        <f aca="true" t="shared" si="9" ref="C66:I66">C60-C61-C62-C63-C64-C65</f>
        <v>30382688675.48001</v>
      </c>
      <c r="D66" s="24">
        <f t="shared" si="9"/>
        <v>18024370778.559982</v>
      </c>
      <c r="E66" s="24">
        <f t="shared" si="9"/>
        <v>12529436607.21</v>
      </c>
      <c r="F66" s="24">
        <f t="shared" si="9"/>
        <v>789808947.5</v>
      </c>
      <c r="G66" s="24">
        <f t="shared" si="9"/>
        <v>1261119.1399999997</v>
      </c>
      <c r="H66" s="24">
        <f t="shared" si="9"/>
        <v>10034709.500000002</v>
      </c>
      <c r="I66" s="100">
        <f t="shared" si="9"/>
        <v>0</v>
      </c>
      <c r="J66" s="100" t="e">
        <f>J60-J61-#REF!-J62-J63-J64-J65</f>
        <v>#REF!</v>
      </c>
      <c r="K66" s="69">
        <f t="shared" si="6"/>
        <v>19.072808938850056</v>
      </c>
      <c r="L66" s="69">
        <f t="shared" si="7"/>
        <v>41.23873545569959</v>
      </c>
    </row>
    <row r="67" spans="2:13" ht="18" customHeight="1">
      <c r="B67" s="82" t="s">
        <v>15</v>
      </c>
      <c r="C67" s="26">
        <f>C6-C57</f>
        <v>-10658232735.470001</v>
      </c>
      <c r="D67" s="26"/>
      <c r="E67" s="26">
        <f>D6-E57</f>
        <v>5573028185.399994</v>
      </c>
      <c r="F67" s="26"/>
      <c r="G67" s="26"/>
      <c r="H67" s="26"/>
      <c r="I67" s="101"/>
      <c r="J67" s="101"/>
      <c r="K67" s="27"/>
      <c r="L67" s="27"/>
      <c r="M67" s="13"/>
    </row>
    <row r="68" spans="2:13" ht="33" customHeight="1">
      <c r="B68" s="84" t="s">
        <v>73</v>
      </c>
      <c r="C68" s="26">
        <f>+C49-C60</f>
        <v>4461742138.320007</v>
      </c>
      <c r="D68" s="26"/>
      <c r="E68" s="26">
        <f>+D49-E60</f>
        <v>8295089425.119995</v>
      </c>
      <c r="F68" s="26"/>
      <c r="G68" s="26"/>
      <c r="H68" s="26"/>
      <c r="I68" s="26"/>
      <c r="J68" s="26"/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5" t="s">
        <v>74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2" t="s">
        <v>75</v>
      </c>
      <c r="C71" s="41">
        <f>12915541099.49</f>
        <v>12915541099.49</v>
      </c>
      <c r="D71" s="41">
        <f>6877403053.48</f>
        <v>6877403053.48</v>
      </c>
      <c r="E71" s="41">
        <f>3117540708.27</f>
        <v>3117540708.27</v>
      </c>
      <c r="F71" s="41">
        <f>339915497.43</f>
        <v>339915497.43</v>
      </c>
      <c r="G71" s="41">
        <f>0</f>
        <v>0</v>
      </c>
      <c r="H71" s="41">
        <f>557117.35</f>
        <v>557117.35</v>
      </c>
      <c r="I71" s="41">
        <f>0</f>
        <v>0</v>
      </c>
      <c r="J71" s="41">
        <f>0</f>
        <v>0</v>
      </c>
      <c r="K71" s="72">
        <f>IF($E$57=0,"",100*$E71/$E$71)</f>
        <v>100</v>
      </c>
      <c r="L71" s="72">
        <f>IF(C71=0,"",100*E71/C71)</f>
        <v>24.137902425110966</v>
      </c>
      <c r="M71" s="13"/>
    </row>
    <row r="72" spans="2:13" ht="15" customHeight="1">
      <c r="B72" s="86" t="s">
        <v>76</v>
      </c>
      <c r="C72" s="22">
        <f>11553075886.7</f>
        <v>11553075886.7</v>
      </c>
      <c r="D72" s="22">
        <f>6160198608.84</f>
        <v>6160198608.84</v>
      </c>
      <c r="E72" s="22">
        <f>2603481338.23</f>
        <v>2603481338.23</v>
      </c>
      <c r="F72" s="22">
        <f>318452213.07</f>
        <v>318452213.07</v>
      </c>
      <c r="G72" s="22">
        <f>0</f>
        <v>0</v>
      </c>
      <c r="H72" s="22">
        <f>498255.27</f>
        <v>498255.27</v>
      </c>
      <c r="I72" s="22">
        <f>0</f>
        <v>0</v>
      </c>
      <c r="J72" s="22">
        <f>0</f>
        <v>0</v>
      </c>
      <c r="K72" s="36">
        <f>IF($E$57=0,"",100*$E72/$E$71)</f>
        <v>83.5107407362368</v>
      </c>
      <c r="L72" s="36">
        <f>IF(C72=0,"",100*E72/C72)</f>
        <v>22.53496266935414</v>
      </c>
      <c r="M72" s="13"/>
    </row>
    <row r="73" spans="2:13" ht="14.25" customHeight="1">
      <c r="B73" s="87" t="s">
        <v>77</v>
      </c>
      <c r="C73" s="22">
        <f>+C71-C72</f>
        <v>1362465212.789999</v>
      </c>
      <c r="D73" s="22">
        <f aca="true" t="shared" si="10" ref="D73:J73">+D71-D72</f>
        <v>717204444.6399994</v>
      </c>
      <c r="E73" s="22">
        <f t="shared" si="10"/>
        <v>514059370.03999996</v>
      </c>
      <c r="F73" s="22">
        <f t="shared" si="10"/>
        <v>21463284.360000014</v>
      </c>
      <c r="G73" s="22">
        <f t="shared" si="10"/>
        <v>0</v>
      </c>
      <c r="H73" s="22">
        <f t="shared" si="10"/>
        <v>58862.07999999996</v>
      </c>
      <c r="I73" s="22">
        <f t="shared" si="10"/>
        <v>0</v>
      </c>
      <c r="J73" s="22">
        <f t="shared" si="10"/>
        <v>0</v>
      </c>
      <c r="K73" s="36">
        <f>IF($E$57=0,"",100*$E73/$E$71)</f>
        <v>16.489259263763206</v>
      </c>
      <c r="L73" s="36">
        <f>IF(C73=0,"",100*E73/C73)</f>
        <v>37.730091397147</v>
      </c>
      <c r="M73" s="10"/>
    </row>
    <row r="74" spans="2:13" ht="15">
      <c r="B74" s="102" t="s">
        <v>112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ht="6.75" customHeight="1"/>
    <row r="76" spans="2:8" ht="18" customHeight="1">
      <c r="B76" s="81" t="s">
        <v>16</v>
      </c>
      <c r="C76" s="91" t="s">
        <v>17</v>
      </c>
      <c r="D76" s="90"/>
      <c r="E76" s="91" t="s">
        <v>1</v>
      </c>
      <c r="F76" s="90"/>
      <c r="G76" s="19" t="s">
        <v>26</v>
      </c>
      <c r="H76" s="19" t="s">
        <v>27</v>
      </c>
    </row>
    <row r="77" spans="2:10" ht="13.5" customHeight="1">
      <c r="B77" s="40"/>
      <c r="C77" s="92" t="s">
        <v>78</v>
      </c>
      <c r="D77" s="93"/>
      <c r="E77" s="93"/>
      <c r="F77" s="94"/>
      <c r="G77" s="95" t="s">
        <v>4</v>
      </c>
      <c r="H77" s="96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80" t="s">
        <v>66</v>
      </c>
      <c r="C79" s="44">
        <f>15748008003.96</f>
        <v>15748008003.96</v>
      </c>
      <c r="D79" s="45"/>
      <c r="E79" s="44">
        <f>11146959223.03</f>
        <v>11146959223.03</v>
      </c>
      <c r="F79" s="45"/>
      <c r="G79" s="37">
        <f aca="true" t="shared" si="11" ref="G79:G86">IF($E$79=0,"",100*$E79/$E$79)</f>
        <v>100</v>
      </c>
      <c r="H79" s="35">
        <f>IF(C79=0,"",100*E79/C79)</f>
        <v>70.78329665711995</v>
      </c>
    </row>
    <row r="80" spans="2:8" ht="26.25" customHeight="1">
      <c r="B80" s="60" t="s">
        <v>96</v>
      </c>
      <c r="C80" s="46">
        <f>9474238154.35</f>
        <v>9474238154.35</v>
      </c>
      <c r="D80" s="47"/>
      <c r="E80" s="46">
        <f>1103722439.37</f>
        <v>1103722439.37</v>
      </c>
      <c r="F80" s="47"/>
      <c r="G80" s="56">
        <f t="shared" si="11"/>
        <v>9.901556265583814</v>
      </c>
      <c r="H80" s="57">
        <f aca="true" t="shared" si="12" ref="H80:H91">IF(C80=0,"",100*E80/C80)</f>
        <v>11.649722345888433</v>
      </c>
    </row>
    <row r="81" spans="2:8" ht="22.5">
      <c r="B81" s="73" t="s">
        <v>97</v>
      </c>
      <c r="C81" s="74">
        <f>428165620.18</f>
        <v>428165620.18</v>
      </c>
      <c r="D81" s="75"/>
      <c r="E81" s="74">
        <f>31800000</f>
        <v>31800000</v>
      </c>
      <c r="F81" s="75"/>
      <c r="G81" s="76">
        <f t="shared" si="11"/>
        <v>0.28527959386717866</v>
      </c>
      <c r="H81" s="67">
        <f t="shared" si="12"/>
        <v>7.4270325549798555</v>
      </c>
    </row>
    <row r="82" spans="2:8" ht="12.75">
      <c r="B82" s="77" t="s">
        <v>98</v>
      </c>
      <c r="C82" s="74">
        <f>73288054.81</f>
        <v>73288054.81</v>
      </c>
      <c r="D82" s="75"/>
      <c r="E82" s="74">
        <f>25959760.06</f>
        <v>25959760.06</v>
      </c>
      <c r="F82" s="75"/>
      <c r="G82" s="76">
        <f t="shared" si="11"/>
        <v>0.23288647191214482</v>
      </c>
      <c r="H82" s="67">
        <f t="shared" si="12"/>
        <v>35.42154328874048</v>
      </c>
    </row>
    <row r="83" spans="2:8" ht="12.75">
      <c r="B83" s="77" t="s">
        <v>99</v>
      </c>
      <c r="C83" s="74">
        <f>1392830907.14</f>
        <v>1392830907.14</v>
      </c>
      <c r="D83" s="75"/>
      <c r="E83" s="74">
        <f>2231645851.45</f>
        <v>2231645851.45</v>
      </c>
      <c r="F83" s="75"/>
      <c r="G83" s="76">
        <f t="shared" si="11"/>
        <v>20.020220822548115</v>
      </c>
      <c r="H83" s="67">
        <f t="shared" si="12"/>
        <v>160.2237457547807</v>
      </c>
    </row>
    <row r="84" spans="2:8" ht="13.5" customHeight="1">
      <c r="B84" s="77" t="s">
        <v>100</v>
      </c>
      <c r="C84" s="74">
        <f>3265301.99</f>
        <v>3265301.99</v>
      </c>
      <c r="D84" s="75"/>
      <c r="E84" s="74">
        <f>3265301.99</f>
        <v>3265301.99</v>
      </c>
      <c r="F84" s="75"/>
      <c r="G84" s="76">
        <f t="shared" si="11"/>
        <v>0.029293208350971392</v>
      </c>
      <c r="H84" s="67">
        <f t="shared" si="12"/>
        <v>100</v>
      </c>
    </row>
    <row r="85" spans="2:8" ht="40.5" customHeight="1">
      <c r="B85" s="77" t="s">
        <v>80</v>
      </c>
      <c r="C85" s="74">
        <f>4042760314.11</f>
        <v>4042760314.11</v>
      </c>
      <c r="D85" s="75"/>
      <c r="E85" s="74">
        <f>6842445013.18</f>
        <v>6842445013.18</v>
      </c>
      <c r="F85" s="75"/>
      <c r="G85" s="76">
        <f t="shared" si="11"/>
        <v>61.38396020183938</v>
      </c>
      <c r="H85" s="67">
        <f t="shared" si="12"/>
        <v>169.25181018767225</v>
      </c>
    </row>
    <row r="86" spans="2:8" ht="12.75">
      <c r="B86" s="77" t="s">
        <v>81</v>
      </c>
      <c r="C86" s="74">
        <f>41647710.76</f>
        <v>41647710.76</v>
      </c>
      <c r="D86" s="75"/>
      <c r="E86" s="74">
        <f>129207732.18</f>
        <v>129207732.18</v>
      </c>
      <c r="F86" s="75"/>
      <c r="G86" s="76">
        <f t="shared" si="11"/>
        <v>1.159129854113509</v>
      </c>
      <c r="H86" s="67">
        <f t="shared" si="12"/>
        <v>310.23969822633296</v>
      </c>
    </row>
    <row r="87" spans="2:8" ht="25.5" customHeight="1">
      <c r="B87" s="80" t="s">
        <v>67</v>
      </c>
      <c r="C87" s="54">
        <f>5058130340.56</f>
        <v>5058130340.56</v>
      </c>
      <c r="D87" s="55"/>
      <c r="E87" s="54">
        <f>2746829562.18</f>
        <v>2746829562.18</v>
      </c>
      <c r="F87" s="55"/>
      <c r="G87" s="37">
        <f>IF($E$87=0,"",100*$E87/$E$87)</f>
        <v>100</v>
      </c>
      <c r="H87" s="35">
        <f t="shared" si="12"/>
        <v>54.30523488400044</v>
      </c>
    </row>
    <row r="88" spans="2:8" ht="36" customHeight="1">
      <c r="B88" s="60" t="s">
        <v>101</v>
      </c>
      <c r="C88" s="46">
        <f>4488571471.99</f>
        <v>4488571471.99</v>
      </c>
      <c r="D88" s="52"/>
      <c r="E88" s="53">
        <f>1903095664.62</f>
        <v>1903095664.62</v>
      </c>
      <c r="F88" s="52"/>
      <c r="G88" s="56">
        <f>IF($E$87=0,"",100*$E88/$E$87)</f>
        <v>69.28335455621145</v>
      </c>
      <c r="H88" s="57">
        <f t="shared" si="12"/>
        <v>42.39869358204218</v>
      </c>
    </row>
    <row r="89" spans="2:8" ht="24.75" customHeight="1">
      <c r="B89" s="77" t="s">
        <v>102</v>
      </c>
      <c r="C89" s="74">
        <f>82679094</f>
        <v>82679094</v>
      </c>
      <c r="D89" s="75"/>
      <c r="E89" s="74">
        <f>22936036</f>
        <v>22936036</v>
      </c>
      <c r="F89" s="75"/>
      <c r="G89" s="76">
        <f>IF($E$87=0,"",100*$E89/$E$87)</f>
        <v>0.8350003333223556</v>
      </c>
      <c r="H89" s="67">
        <f t="shared" si="12"/>
        <v>27.741034511094185</v>
      </c>
    </row>
    <row r="90" spans="2:8" ht="12.75">
      <c r="B90" s="73" t="s">
        <v>103</v>
      </c>
      <c r="C90" s="74">
        <f>46191155.6</f>
        <v>46191155.6</v>
      </c>
      <c r="D90" s="75"/>
      <c r="E90" s="74">
        <f>22092377.74</f>
        <v>22092377.74</v>
      </c>
      <c r="F90" s="75"/>
      <c r="G90" s="76">
        <f>IF($E$87=0,"",100*$E90/$E$87)</f>
        <v>0.8042864415099187</v>
      </c>
      <c r="H90" s="67">
        <f t="shared" si="12"/>
        <v>47.82815552681258</v>
      </c>
    </row>
    <row r="91" spans="2:8" ht="12.75">
      <c r="B91" s="77" t="s">
        <v>33</v>
      </c>
      <c r="C91" s="74">
        <f>523367712.97</f>
        <v>523367712.97</v>
      </c>
      <c r="D91" s="75"/>
      <c r="E91" s="74">
        <f>821641519.82</f>
        <v>821641519.82</v>
      </c>
      <c r="F91" s="75"/>
      <c r="G91" s="76">
        <f>IF($E$87=0,"",100*$E91/$E$87)</f>
        <v>29.912359002278635</v>
      </c>
      <c r="H91" s="67">
        <f t="shared" si="12"/>
        <v>156.99125098056962</v>
      </c>
    </row>
    <row r="92" ht="7.5" customHeight="1"/>
    <row r="93" spans="2:8" ht="12.75">
      <c r="B93" s="81" t="s">
        <v>16</v>
      </c>
      <c r="C93" s="91" t="s">
        <v>17</v>
      </c>
      <c r="D93" s="90"/>
      <c r="E93" s="91" t="s">
        <v>1</v>
      </c>
      <c r="F93" s="90"/>
      <c r="G93" s="19" t="s">
        <v>26</v>
      </c>
      <c r="H93" s="19" t="s">
        <v>27</v>
      </c>
    </row>
    <row r="94" spans="2:8" ht="12.75">
      <c r="B94" s="40"/>
      <c r="C94" s="92" t="s">
        <v>78</v>
      </c>
      <c r="D94" s="93"/>
      <c r="E94" s="93"/>
      <c r="F94" s="94"/>
      <c r="G94" s="95" t="s">
        <v>4</v>
      </c>
      <c r="H94" s="96"/>
    </row>
    <row r="95" spans="2:8" ht="12.75">
      <c r="B95" s="39">
        <v>1</v>
      </c>
      <c r="C95" s="42">
        <v>2</v>
      </c>
      <c r="D95" s="43"/>
      <c r="E95" s="42">
        <v>3</v>
      </c>
      <c r="F95" s="43"/>
      <c r="G95" s="30">
        <v>4</v>
      </c>
      <c r="H95" s="30">
        <v>5</v>
      </c>
    </row>
    <row r="96" spans="2:8" ht="31.5" customHeight="1">
      <c r="B96" s="61" t="s">
        <v>82</v>
      </c>
      <c r="C96" s="51">
        <f>10957188110.02</f>
        <v>10957188110.02</v>
      </c>
      <c r="D96" s="48"/>
      <c r="E96" s="51">
        <f>0</f>
        <v>0</v>
      </c>
      <c r="F96" s="45"/>
      <c r="G96" s="37"/>
      <c r="H96" s="35"/>
    </row>
    <row r="97" spans="2:8" ht="47.25" customHeight="1">
      <c r="B97" s="59" t="s">
        <v>83</v>
      </c>
      <c r="C97" s="53">
        <f>358261104.15</f>
        <v>358261104.15</v>
      </c>
      <c r="D97" s="52"/>
      <c r="E97" s="53">
        <f>0</f>
        <v>0</v>
      </c>
      <c r="F97" s="52"/>
      <c r="G97" s="56"/>
      <c r="H97" s="57"/>
    </row>
    <row r="98" spans="2:8" ht="12.75">
      <c r="B98" s="59" t="s">
        <v>84</v>
      </c>
      <c r="C98" s="53">
        <f>6412734985.05</f>
        <v>6412734985.05</v>
      </c>
      <c r="D98" s="52"/>
      <c r="E98" s="53">
        <f>0</f>
        <v>0</v>
      </c>
      <c r="F98" s="52"/>
      <c r="G98" s="56"/>
      <c r="H98" s="57"/>
    </row>
    <row r="99" spans="2:8" ht="25.5" customHeight="1">
      <c r="B99" s="59" t="s">
        <v>85</v>
      </c>
      <c r="C99" s="53">
        <f>0</f>
        <v>0</v>
      </c>
      <c r="D99" s="52"/>
      <c r="E99" s="53">
        <f>0</f>
        <v>0</v>
      </c>
      <c r="F99" s="52"/>
      <c r="G99" s="56"/>
      <c r="H99" s="57"/>
    </row>
    <row r="100" spans="2:8" ht="33.75">
      <c r="B100" s="59" t="s">
        <v>86</v>
      </c>
      <c r="C100" s="53">
        <f>846791304.62</f>
        <v>846791304.62</v>
      </c>
      <c r="D100" s="52"/>
      <c r="E100" s="53">
        <f>0</f>
        <v>0</v>
      </c>
      <c r="F100" s="52"/>
      <c r="G100" s="56"/>
      <c r="H100" s="57"/>
    </row>
    <row r="101" spans="2:8" ht="85.5" customHeight="1">
      <c r="B101" s="59" t="s">
        <v>87</v>
      </c>
      <c r="C101" s="53">
        <f>2707912989.11</f>
        <v>2707912989.11</v>
      </c>
      <c r="D101" s="52"/>
      <c r="E101" s="53">
        <f>0</f>
        <v>0</v>
      </c>
      <c r="F101" s="52"/>
      <c r="G101" s="56"/>
      <c r="H101" s="57"/>
    </row>
    <row r="102" ht="7.5" customHeight="1"/>
    <row r="103" spans="2:6" ht="12.75">
      <c r="B103" s="81" t="s">
        <v>16</v>
      </c>
      <c r="C103" s="91" t="s">
        <v>106</v>
      </c>
      <c r="D103" s="89"/>
      <c r="E103" s="89"/>
      <c r="F103" s="90"/>
    </row>
    <row r="104" spans="2:6" ht="12.75">
      <c r="B104" s="40"/>
      <c r="C104" s="92" t="s">
        <v>78</v>
      </c>
      <c r="D104" s="93"/>
      <c r="E104" s="93"/>
      <c r="F104" s="94"/>
    </row>
    <row r="105" spans="2:6" ht="12.75">
      <c r="B105" s="39">
        <v>1</v>
      </c>
      <c r="C105" s="97">
        <v>2</v>
      </c>
      <c r="D105" s="98"/>
      <c r="E105" s="98"/>
      <c r="F105" s="99"/>
    </row>
    <row r="106" spans="2:6" ht="48.75" customHeight="1">
      <c r="B106" s="79" t="s">
        <v>88</v>
      </c>
      <c r="C106" s="88">
        <f>0</f>
        <v>0</v>
      </c>
      <c r="D106" s="89"/>
      <c r="E106" s="89"/>
      <c r="F106" s="90"/>
    </row>
    <row r="107" spans="2:6" ht="36.75" customHeight="1">
      <c r="B107" s="59" t="s">
        <v>89</v>
      </c>
      <c r="C107" s="88">
        <f>0</f>
        <v>0</v>
      </c>
      <c r="D107" s="89"/>
      <c r="E107" s="89"/>
      <c r="F107" s="90"/>
    </row>
    <row r="108" spans="2:6" ht="37.5" customHeight="1">
      <c r="B108" s="59" t="s">
        <v>90</v>
      </c>
      <c r="C108" s="88">
        <f>0</f>
        <v>0</v>
      </c>
      <c r="D108" s="89"/>
      <c r="E108" s="89"/>
      <c r="F108" s="90"/>
    </row>
    <row r="109" spans="2:6" ht="73.5" customHeight="1">
      <c r="B109" s="59" t="s">
        <v>91</v>
      </c>
      <c r="C109" s="88">
        <f>0</f>
        <v>0</v>
      </c>
      <c r="D109" s="89"/>
      <c r="E109" s="89"/>
      <c r="F109" s="90"/>
    </row>
    <row r="110" spans="2:6" ht="56.25">
      <c r="B110" s="59" t="s">
        <v>92</v>
      </c>
      <c r="C110" s="88">
        <f>0</f>
        <v>0</v>
      </c>
      <c r="D110" s="89"/>
      <c r="E110" s="89"/>
      <c r="F110" s="90"/>
    </row>
    <row r="111" spans="2:6" ht="61.5" customHeight="1">
      <c r="B111" s="78" t="s">
        <v>93</v>
      </c>
      <c r="C111" s="88">
        <f>0</f>
        <v>0</v>
      </c>
      <c r="D111" s="89"/>
      <c r="E111" s="89"/>
      <c r="F111" s="90"/>
    </row>
    <row r="112" spans="2:6" ht="49.5" customHeight="1">
      <c r="B112" s="78" t="s">
        <v>94</v>
      </c>
      <c r="C112" s="88">
        <f>0</f>
        <v>0</v>
      </c>
      <c r="D112" s="89"/>
      <c r="E112" s="89"/>
      <c r="F112" s="90"/>
    </row>
    <row r="113" spans="2:6" ht="87" customHeight="1">
      <c r="B113" s="78" t="s">
        <v>104</v>
      </c>
      <c r="C113" s="88">
        <f>0</f>
        <v>0</v>
      </c>
      <c r="D113" s="89"/>
      <c r="E113" s="89"/>
      <c r="F113" s="90"/>
    </row>
    <row r="114" spans="2:6" ht="81" customHeight="1">
      <c r="B114" s="78" t="s">
        <v>105</v>
      </c>
      <c r="C114" s="88">
        <f>0</f>
        <v>0</v>
      </c>
      <c r="D114" s="89"/>
      <c r="E114" s="89"/>
      <c r="F114" s="90"/>
    </row>
    <row r="115" ht="7.5" customHeight="1"/>
  </sheetData>
  <sheetProtection/>
  <mergeCells count="50">
    <mergeCell ref="I58:J58"/>
    <mergeCell ref="I65:J65"/>
    <mergeCell ref="C76:D76"/>
    <mergeCell ref="E76:F76"/>
    <mergeCell ref="C77:F77"/>
    <mergeCell ref="G77:H77"/>
    <mergeCell ref="I63:J63"/>
    <mergeCell ref="I64:J64"/>
    <mergeCell ref="I61:J61"/>
    <mergeCell ref="I62:J62"/>
    <mergeCell ref="B1:M1"/>
    <mergeCell ref="I52:J54"/>
    <mergeCell ref="D52:D54"/>
    <mergeCell ref="E52:E54"/>
    <mergeCell ref="F53:F54"/>
    <mergeCell ref="F52:H52"/>
    <mergeCell ref="I56:J56"/>
    <mergeCell ref="I57:J57"/>
    <mergeCell ref="B3:B4"/>
    <mergeCell ref="K4:M4"/>
    <mergeCell ref="C4:J4"/>
    <mergeCell ref="C55:J55"/>
    <mergeCell ref="C52:C54"/>
    <mergeCell ref="B50:M50"/>
    <mergeCell ref="I66:J66"/>
    <mergeCell ref="I67:J67"/>
    <mergeCell ref="B74:M74"/>
    <mergeCell ref="B52:B55"/>
    <mergeCell ref="K52:K54"/>
    <mergeCell ref="K55:L55"/>
    <mergeCell ref="G53:H53"/>
    <mergeCell ref="L52:L54"/>
    <mergeCell ref="I59:J59"/>
    <mergeCell ref="I60:J60"/>
    <mergeCell ref="C93:D93"/>
    <mergeCell ref="E93:F93"/>
    <mergeCell ref="C94:F94"/>
    <mergeCell ref="G94:H94"/>
    <mergeCell ref="C103:F103"/>
    <mergeCell ref="C112:F112"/>
    <mergeCell ref="C105:F105"/>
    <mergeCell ref="C104:F104"/>
    <mergeCell ref="C113:F113"/>
    <mergeCell ref="C114:F114"/>
    <mergeCell ref="C106:F106"/>
    <mergeCell ref="C107:F107"/>
    <mergeCell ref="C108:F108"/>
    <mergeCell ref="C109:F109"/>
    <mergeCell ref="C110:F110"/>
    <mergeCell ref="C111:F111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3" max="255" man="1"/>
    <brk id="92" max="12" man="1"/>
    <brk id="101" max="12" man="1"/>
    <brk id="11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2020-08-24T20:25:52Z</dcterms:modified>
  <cp:category/>
  <cp:version/>
  <cp:contentType/>
  <cp:contentStatus/>
</cp:coreProperties>
</file>