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EE68B865-FEE4-493C-A15A-79BE752DE1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 l="1"/>
  <c r="A34" i="7" l="1"/>
  <c r="A77" i="7"/>
  <c r="A1" i="7"/>
  <c r="A9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<sst xmlns="http://schemas.openxmlformats.org/spreadsheetml/2006/main" count="97" uniqueCount="81">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</sst>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107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51" t="str">
        <f>CONCATENATE("Informacja z wykonania budżetów gmin za ",$C$104," ",$B$105," roku   ",$B$107,"")</f>
        <v xml:space="preserve">Informacja z wykonania budżetów gmin za IV Kwartały 2025 roku   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55" t="s">
        <v>64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5" spans="1:17" ht="13.5" customHeight="1" x14ac:dyDescent="0.2">
      <c r="B5" s="12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11"/>
      <c r="O5" s="11"/>
      <c r="P5" s="11"/>
      <c r="Q5" s="11"/>
    </row>
    <row r="6" spans="1:17" ht="13.5" customHeight="1" x14ac:dyDescent="0.2">
      <c r="A6" s="57" t="s">
        <v>0</v>
      </c>
      <c r="B6" s="56" t="s">
        <v>65</v>
      </c>
      <c r="C6" s="48" t="s">
        <v>69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50"/>
      <c r="O6" s="95" t="s">
        <v>68</v>
      </c>
      <c r="P6" s="96"/>
      <c r="Q6" s="97"/>
    </row>
    <row r="7" spans="1:17" ht="13.5" customHeight="1" x14ac:dyDescent="0.2">
      <c r="A7" s="58"/>
      <c r="B7" s="43"/>
      <c r="C7" s="44" t="s">
        <v>66</v>
      </c>
      <c r="D7" s="44" t="s">
        <v>77</v>
      </c>
      <c r="E7" s="44" t="s">
        <v>70</v>
      </c>
      <c r="F7" s="44" t="s">
        <v>71</v>
      </c>
      <c r="G7" s="44" t="s">
        <v>27</v>
      </c>
      <c r="H7" s="44" t="s">
        <v>28</v>
      </c>
      <c r="I7" s="60" t="s">
        <v>67</v>
      </c>
      <c r="J7" s="44" t="s">
        <v>16</v>
      </c>
      <c r="K7" s="44" t="s">
        <v>17</v>
      </c>
      <c r="L7" s="44" t="s">
        <v>18</v>
      </c>
      <c r="M7" s="44" t="s">
        <v>19</v>
      </c>
      <c r="N7" s="43" t="s">
        <v>20</v>
      </c>
      <c r="O7" s="47" t="s">
        <v>21</v>
      </c>
      <c r="P7" s="47" t="s">
        <v>22</v>
      </c>
      <c r="Q7" s="47" t="s">
        <v>23</v>
      </c>
    </row>
    <row r="8" spans="1:17" ht="13.5" customHeight="1" x14ac:dyDescent="0.2">
      <c r="A8" s="58"/>
      <c r="B8" s="43"/>
      <c r="C8" s="45"/>
      <c r="D8" s="45"/>
      <c r="E8" s="45"/>
      <c r="F8" s="45"/>
      <c r="G8" s="45"/>
      <c r="H8" s="45"/>
      <c r="I8" s="60"/>
      <c r="J8" s="45"/>
      <c r="K8" s="45"/>
      <c r="L8" s="45"/>
      <c r="M8" s="45"/>
      <c r="N8" s="43"/>
      <c r="O8" s="47"/>
      <c r="P8" s="47"/>
      <c r="Q8" s="47"/>
    </row>
    <row r="9" spans="1:17" ht="11.25" customHeight="1" x14ac:dyDescent="0.2">
      <c r="A9" s="58"/>
      <c r="B9" s="43"/>
      <c r="C9" s="45"/>
      <c r="D9" s="45"/>
      <c r="E9" s="45"/>
      <c r="F9" s="45"/>
      <c r="G9" s="45"/>
      <c r="H9" s="45"/>
      <c r="I9" s="60"/>
      <c r="J9" s="45"/>
      <c r="K9" s="45"/>
      <c r="L9" s="45"/>
      <c r="M9" s="45"/>
      <c r="N9" s="43"/>
      <c r="O9" s="47"/>
      <c r="P9" s="47"/>
      <c r="Q9" s="47"/>
    </row>
    <row r="10" spans="1:17" ht="16.5" customHeight="1" x14ac:dyDescent="0.2">
      <c r="A10" s="59"/>
      <c r="B10" s="44"/>
      <c r="C10" s="45"/>
      <c r="D10" s="45"/>
      <c r="E10" s="45"/>
      <c r="F10" s="45"/>
      <c r="G10" s="45"/>
      <c r="H10" s="45"/>
      <c r="I10" s="61"/>
      <c r="J10" s="45"/>
      <c r="K10" s="45"/>
      <c r="L10" s="45"/>
      <c r="M10" s="45"/>
      <c r="N10" s="44"/>
      <c r="O10" s="47"/>
      <c r="P10" s="47"/>
      <c r="Q10" s="47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36" t="s">
        <v>80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8"/>
      <c r="P12" s="38"/>
      <c r="Q12" s="39"/>
    </row>
    <row r="13" spans="1:17" ht="48" x14ac:dyDescent="0.2">
      <c r="A13" s="27" t="s">
        <v>46</v>
      </c>
      <c r="B13" s="28">
        <f>43811023689.63</f>
        <v>43811023689.629997</v>
      </c>
      <c r="C13" s="28">
        <f>43811022651.86</f>
        <v>43811022651.860001</v>
      </c>
      <c r="D13" s="28">
        <f>2513210069.22</f>
        <v>2513210069.2199998</v>
      </c>
      <c r="E13" s="28">
        <f>449015143.8</f>
        <v>449015143.80000001</v>
      </c>
      <c r="F13" s="28">
        <f>444336326.32</f>
        <v>444336326.31999999</v>
      </c>
      <c r="G13" s="28">
        <f>1617638663.99</f>
        <v>1617638663.99</v>
      </c>
      <c r="H13" s="28">
        <f>2219935.11</f>
        <v>2219935.11</v>
      </c>
      <c r="I13" s="28">
        <f>0</f>
        <v>0</v>
      </c>
      <c r="J13" s="28">
        <f>39242925402.89</f>
        <v>39242925402.889999</v>
      </c>
      <c r="K13" s="28">
        <f>1847078128.91</f>
        <v>1847078128.9100001</v>
      </c>
      <c r="L13" s="28">
        <f>171773780.03</f>
        <v>171773780.03</v>
      </c>
      <c r="M13" s="28">
        <f>24546406.39</f>
        <v>24546406.390000001</v>
      </c>
      <c r="N13" s="28">
        <f>11488864.42</f>
        <v>11488864.42</v>
      </c>
      <c r="O13" s="28">
        <f>1037.77</f>
        <v>1037.77</v>
      </c>
      <c r="P13" s="28">
        <f>0</f>
        <v>0</v>
      </c>
      <c r="Q13" s="28">
        <f>1037.77</f>
        <v>1037.77</v>
      </c>
    </row>
    <row r="14" spans="1:17" ht="26.25" customHeight="1" x14ac:dyDescent="0.2">
      <c r="A14" s="29" t="s">
        <v>47</v>
      </c>
      <c r="B14" s="28">
        <f>1337319000</f>
        <v>1337319000</v>
      </c>
      <c r="C14" s="28">
        <f>1337319000</f>
        <v>1337319000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1302269000</f>
        <v>1302269000</v>
      </c>
      <c r="K14" s="28">
        <f>35050000</f>
        <v>35050000</v>
      </c>
      <c r="L14" s="28">
        <f>0</f>
        <v>0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650000</f>
        <v>650000</v>
      </c>
      <c r="C15" s="33">
        <f>650000</f>
        <v>650000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0</f>
        <v>0</v>
      </c>
      <c r="K15" s="33">
        <f>650000</f>
        <v>650000</v>
      </c>
      <c r="L15" s="33">
        <f>0</f>
        <v>0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1336669000</f>
        <v>1336669000</v>
      </c>
      <c r="C16" s="33">
        <f>1336669000</f>
        <v>1336669000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1302269000</f>
        <v>1302269000</v>
      </c>
      <c r="K16" s="33">
        <f>34400000</f>
        <v>34400000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42429782349.24</f>
        <v>42429782349.239998</v>
      </c>
      <c r="C17" s="28">
        <f>42429782349.24</f>
        <v>42429782349.239998</v>
      </c>
      <c r="D17" s="28">
        <f>2501404185.28</f>
        <v>2501404185.2800002</v>
      </c>
      <c r="E17" s="28">
        <f>448526855.4</f>
        <v>448526855.39999998</v>
      </c>
      <c r="F17" s="28">
        <f>444312292.83</f>
        <v>444312292.82999998</v>
      </c>
      <c r="G17" s="28">
        <f>1608565037.05</f>
        <v>1608565037.05</v>
      </c>
      <c r="H17" s="28">
        <f>0</f>
        <v>0</v>
      </c>
      <c r="I17" s="28">
        <f>0</f>
        <v>0</v>
      </c>
      <c r="J17" s="28">
        <f>37940599291.71</f>
        <v>37940599291.709999</v>
      </c>
      <c r="K17" s="28">
        <f>1811969560.64</f>
        <v>1811969560.6400001</v>
      </c>
      <c r="L17" s="28">
        <f>150513976.32</f>
        <v>150513976.31999999</v>
      </c>
      <c r="M17" s="28">
        <f>15039051.95</f>
        <v>15039051.949999999</v>
      </c>
      <c r="N17" s="28">
        <f>10256283.34</f>
        <v>10256283.34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102546454.75</f>
        <v>102546454.75</v>
      </c>
      <c r="C18" s="33">
        <f>102546454.75</f>
        <v>102546454.75</v>
      </c>
      <c r="D18" s="33">
        <f>11474277.13</f>
        <v>11474277.130000001</v>
      </c>
      <c r="E18" s="33">
        <f>3439306.09</f>
        <v>3439306.09</v>
      </c>
      <c r="F18" s="33">
        <f>142180.17</f>
        <v>142180.17000000001</v>
      </c>
      <c r="G18" s="33">
        <f>7892790.87</f>
        <v>7892790.8700000001</v>
      </c>
      <c r="H18" s="33">
        <f>0</f>
        <v>0</v>
      </c>
      <c r="I18" s="33">
        <f>0</f>
        <v>0</v>
      </c>
      <c r="J18" s="33">
        <f>87995374.34</f>
        <v>87995374.340000004</v>
      </c>
      <c r="K18" s="33">
        <f>1400000</f>
        <v>1400000</v>
      </c>
      <c r="L18" s="33">
        <f>221.4</f>
        <v>221.4</v>
      </c>
      <c r="M18" s="33">
        <f>1596581.88</f>
        <v>1596581.88</v>
      </c>
      <c r="N18" s="33">
        <f>80000</f>
        <v>80000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42327235894.49</f>
        <v>42327235894.489998</v>
      </c>
      <c r="C19" s="33">
        <f>42327235894.49</f>
        <v>42327235894.489998</v>
      </c>
      <c r="D19" s="33">
        <f>2489929908.15</f>
        <v>2489929908.1500001</v>
      </c>
      <c r="E19" s="33">
        <f>445087549.31</f>
        <v>445087549.31</v>
      </c>
      <c r="F19" s="33">
        <f>444170112.66</f>
        <v>444170112.66000003</v>
      </c>
      <c r="G19" s="33">
        <f>1600672246.18</f>
        <v>1600672246.1800001</v>
      </c>
      <c r="H19" s="33">
        <f>0</f>
        <v>0</v>
      </c>
      <c r="I19" s="33">
        <f>0</f>
        <v>0</v>
      </c>
      <c r="J19" s="33">
        <f>37852603917.37</f>
        <v>37852603917.370003</v>
      </c>
      <c r="K19" s="33">
        <f>1810569560.64</f>
        <v>1810569560.6400001</v>
      </c>
      <c r="L19" s="33">
        <f>150513754.92</f>
        <v>150513754.91999999</v>
      </c>
      <c r="M19" s="33">
        <f>13442470.07</f>
        <v>13442470.07</v>
      </c>
      <c r="N19" s="33">
        <f>10176283.34</f>
        <v>10176283.34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1500000</f>
        <v>1500000</v>
      </c>
      <c r="C20" s="28">
        <f>1500000</f>
        <v>1500000</v>
      </c>
      <c r="D20" s="28">
        <f>1500000</f>
        <v>1500000</v>
      </c>
      <c r="E20" s="28">
        <f>0</f>
        <v>0</v>
      </c>
      <c r="F20" s="28">
        <f>0</f>
        <v>0</v>
      </c>
      <c r="G20" s="28">
        <f>1500000</f>
        <v>1500000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42422340.39</f>
        <v>42422340.390000001</v>
      </c>
      <c r="C21" s="28">
        <f>42421302.62</f>
        <v>42421302.619999997</v>
      </c>
      <c r="D21" s="28">
        <f>10305883.94</f>
        <v>10305883.939999999</v>
      </c>
      <c r="E21" s="28">
        <f>488288.4</f>
        <v>488288.4</v>
      </c>
      <c r="F21" s="28">
        <f>24033.49</f>
        <v>24033.49</v>
      </c>
      <c r="G21" s="28">
        <f>7573626.94</f>
        <v>7573626.9400000004</v>
      </c>
      <c r="H21" s="28">
        <f>2219935.11</f>
        <v>2219935.11</v>
      </c>
      <c r="I21" s="28">
        <f>0</f>
        <v>0</v>
      </c>
      <c r="J21" s="28">
        <f>57111.18</f>
        <v>57111.18</v>
      </c>
      <c r="K21" s="28">
        <f>58568.27</f>
        <v>58568.27</v>
      </c>
      <c r="L21" s="28">
        <f>21259803.71</f>
        <v>21259803.710000001</v>
      </c>
      <c r="M21" s="28">
        <f>9507354.44</f>
        <v>9507354.4399999995</v>
      </c>
      <c r="N21" s="28">
        <f>1232581.08</f>
        <v>1232581.08</v>
      </c>
      <c r="O21" s="28">
        <f>1037.77</f>
        <v>1037.77</v>
      </c>
      <c r="P21" s="28">
        <f>0</f>
        <v>0</v>
      </c>
      <c r="Q21" s="28">
        <f>1037.77</f>
        <v>1037.77</v>
      </c>
    </row>
    <row r="22" spans="1:17" ht="27" customHeight="1" x14ac:dyDescent="0.2">
      <c r="A22" s="19" t="s">
        <v>55</v>
      </c>
      <c r="B22" s="33">
        <f>21772676.19</f>
        <v>21772676.190000001</v>
      </c>
      <c r="C22" s="33">
        <f>21772676.19</f>
        <v>21772676.190000001</v>
      </c>
      <c r="D22" s="33">
        <f>959271.77</f>
        <v>959271.77</v>
      </c>
      <c r="E22" s="33">
        <f>146</f>
        <v>146</v>
      </c>
      <c r="F22" s="33">
        <f>6933.98</f>
        <v>6933.98</v>
      </c>
      <c r="G22" s="33">
        <f>952191.79</f>
        <v>952191.79</v>
      </c>
      <c r="H22" s="33">
        <f>0</f>
        <v>0</v>
      </c>
      <c r="I22" s="33">
        <f>0</f>
        <v>0</v>
      </c>
      <c r="J22" s="33">
        <f>100</f>
        <v>100</v>
      </c>
      <c r="K22" s="33">
        <f>750.02</f>
        <v>750.02</v>
      </c>
      <c r="L22" s="33">
        <f>14123068.51</f>
        <v>14123068.51</v>
      </c>
      <c r="M22" s="33">
        <f>5473684.66</f>
        <v>5473684.6600000001</v>
      </c>
      <c r="N22" s="33">
        <f>1215801.23</f>
        <v>1215801.23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20649664.2</f>
        <v>20649664.199999999</v>
      </c>
      <c r="C23" s="33">
        <f>20648626.43</f>
        <v>20648626.43</v>
      </c>
      <c r="D23" s="33">
        <f>9346612.17</f>
        <v>9346612.1699999999</v>
      </c>
      <c r="E23" s="33">
        <f>488142.4</f>
        <v>488142.4</v>
      </c>
      <c r="F23" s="33">
        <f>17099.51</f>
        <v>17099.509999999998</v>
      </c>
      <c r="G23" s="33">
        <f>6621435.15</f>
        <v>6621435.1500000004</v>
      </c>
      <c r="H23" s="33">
        <f>2219935.11</f>
        <v>2219935.11</v>
      </c>
      <c r="I23" s="33">
        <f>0</f>
        <v>0</v>
      </c>
      <c r="J23" s="33">
        <f>57011.18</f>
        <v>57011.18</v>
      </c>
      <c r="K23" s="33">
        <f>57818.25</f>
        <v>57818.25</v>
      </c>
      <c r="L23" s="33">
        <f>7136735.2</f>
        <v>7136735.2000000002</v>
      </c>
      <c r="M23" s="33">
        <f>4033669.78</f>
        <v>4033669.78</v>
      </c>
      <c r="N23" s="33">
        <f>16779.85</f>
        <v>16779.849999999999</v>
      </c>
      <c r="O23" s="33">
        <f>1037.77</f>
        <v>1037.77</v>
      </c>
      <c r="P23" s="33">
        <f>0</f>
        <v>0</v>
      </c>
      <c r="Q23" s="33">
        <f>1037.77</f>
        <v>1037.77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51" t="str">
        <f>CONCATENATE("Informacja z wykonania budżetów gmin za ",$C$104," ",$B$105," roku   ",$B$107,"")</f>
        <v xml:space="preserve">Informacja z wykonania budżetów gmin za IV Kwartały 2025 roku   </v>
      </c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</row>
    <row r="36" spans="1:17" ht="13.5" customHeight="1" x14ac:dyDescent="0.2">
      <c r="A36" s="55" t="s">
        <v>11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</row>
    <row r="38" spans="1:17" ht="13.5" customHeight="1" x14ac:dyDescent="0.2">
      <c r="A38" s="40" t="s">
        <v>0</v>
      </c>
      <c r="B38" s="56" t="s">
        <v>12</v>
      </c>
      <c r="C38" s="48" t="s">
        <v>14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50"/>
      <c r="O38" s="52" t="s">
        <v>24</v>
      </c>
      <c r="P38" s="53"/>
      <c r="Q38" s="54"/>
    </row>
    <row r="39" spans="1:17" ht="13.5" customHeight="1" x14ac:dyDescent="0.2">
      <c r="A39" s="41"/>
      <c r="B39" s="43"/>
      <c r="C39" s="43" t="s">
        <v>13</v>
      </c>
      <c r="D39" s="45" t="s">
        <v>15</v>
      </c>
      <c r="E39" s="45" t="s">
        <v>25</v>
      </c>
      <c r="F39" s="45" t="s">
        <v>26</v>
      </c>
      <c r="G39" s="45" t="s">
        <v>74</v>
      </c>
      <c r="H39" s="45" t="s">
        <v>28</v>
      </c>
      <c r="I39" s="45" t="s">
        <v>1</v>
      </c>
      <c r="J39" s="45" t="s">
        <v>16</v>
      </c>
      <c r="K39" s="45" t="s">
        <v>17</v>
      </c>
      <c r="L39" s="45" t="s">
        <v>18</v>
      </c>
      <c r="M39" s="45" t="s">
        <v>19</v>
      </c>
      <c r="N39" s="89" t="s">
        <v>20</v>
      </c>
      <c r="O39" s="47" t="s">
        <v>21</v>
      </c>
      <c r="P39" s="47" t="s">
        <v>22</v>
      </c>
      <c r="Q39" s="98" t="s">
        <v>23</v>
      </c>
    </row>
    <row r="40" spans="1:17" ht="11.25" customHeight="1" x14ac:dyDescent="0.2">
      <c r="A40" s="41"/>
      <c r="B40" s="43"/>
      <c r="C40" s="43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89"/>
      <c r="O40" s="47"/>
      <c r="P40" s="47"/>
      <c r="Q40" s="99"/>
    </row>
    <row r="41" spans="1:17" ht="32.25" customHeight="1" x14ac:dyDescent="0.2">
      <c r="A41" s="42"/>
      <c r="B41" s="44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89"/>
      <c r="O41" s="47"/>
      <c r="P41" s="47"/>
      <c r="Q41" s="100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48" t="s">
        <v>80</v>
      </c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4.75" customHeight="1" x14ac:dyDescent="0.2">
      <c r="A44" s="34" t="s">
        <v>41</v>
      </c>
      <c r="B44" s="35">
        <f>69892805.9</f>
        <v>69892805.900000006</v>
      </c>
      <c r="C44" s="35">
        <f>69892805.9</f>
        <v>69892805.900000006</v>
      </c>
      <c r="D44" s="35">
        <f>0</f>
        <v>0</v>
      </c>
      <c r="E44" s="35">
        <f>0</f>
        <v>0</v>
      </c>
      <c r="F44" s="35">
        <f>0</f>
        <v>0</v>
      </c>
      <c r="G44" s="35">
        <f>0</f>
        <v>0</v>
      </c>
      <c r="H44" s="35">
        <f>0</f>
        <v>0</v>
      </c>
      <c r="I44" s="35">
        <f>0</f>
        <v>0</v>
      </c>
      <c r="J44" s="35">
        <f>69878205.9</f>
        <v>69878205.900000006</v>
      </c>
      <c r="K44" s="35">
        <f>0</f>
        <v>0</v>
      </c>
      <c r="L44" s="35">
        <f>1000</f>
        <v>1000</v>
      </c>
      <c r="M44" s="35">
        <f>0</f>
        <v>0</v>
      </c>
      <c r="N44" s="35">
        <f>13600</f>
        <v>13600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0</f>
        <v>0</v>
      </c>
      <c r="C45" s="26">
        <f>0</f>
        <v>0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0</f>
        <v>0</v>
      </c>
      <c r="K45" s="26">
        <f>0</f>
        <v>0</v>
      </c>
      <c r="L45" s="26">
        <f>0</f>
        <v>0</v>
      </c>
      <c r="M45" s="26">
        <f>0</f>
        <v>0</v>
      </c>
      <c r="N45" s="26">
        <f>0</f>
        <v>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69892805.9</f>
        <v>69892805.900000006</v>
      </c>
      <c r="C46" s="26">
        <f>69892805.9</f>
        <v>69892805.900000006</v>
      </c>
      <c r="D46" s="26">
        <f>0</f>
        <v>0</v>
      </c>
      <c r="E46" s="26">
        <f>0</f>
        <v>0</v>
      </c>
      <c r="F46" s="26">
        <f>0</f>
        <v>0</v>
      </c>
      <c r="G46" s="26">
        <f>0</f>
        <v>0</v>
      </c>
      <c r="H46" s="26">
        <f>0</f>
        <v>0</v>
      </c>
      <c r="I46" s="26">
        <f>0</f>
        <v>0</v>
      </c>
      <c r="J46" s="26">
        <f>69878205.9</f>
        <v>69878205.900000006</v>
      </c>
      <c r="K46" s="26">
        <f>0</f>
        <v>0</v>
      </c>
      <c r="L46" s="26">
        <f>1000</f>
        <v>1000</v>
      </c>
      <c r="M46" s="26">
        <f>0</f>
        <v>0</v>
      </c>
      <c r="N46" s="26">
        <f>13600</f>
        <v>13600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419308388.79</f>
        <v>419308388.79000002</v>
      </c>
      <c r="C47" s="26">
        <f>419294289.57</f>
        <v>419294289.56999999</v>
      </c>
      <c r="D47" s="26">
        <f>30260998.14</f>
        <v>30260998.140000001</v>
      </c>
      <c r="E47" s="26">
        <f>16950.55</f>
        <v>16950.55</v>
      </c>
      <c r="F47" s="26">
        <f>753765.05</f>
        <v>753765.05</v>
      </c>
      <c r="G47" s="26">
        <f>25140782.54</f>
        <v>25140782.539999999</v>
      </c>
      <c r="H47" s="26">
        <f>4349500</f>
        <v>4349500</v>
      </c>
      <c r="I47" s="26">
        <f>0</f>
        <v>0</v>
      </c>
      <c r="J47" s="26">
        <f>44425.22</f>
        <v>44425.22</v>
      </c>
      <c r="K47" s="26">
        <f>52360</f>
        <v>52360</v>
      </c>
      <c r="L47" s="26">
        <f>182031015.99</f>
        <v>182031015.99000001</v>
      </c>
      <c r="M47" s="26">
        <f>189377499.11</f>
        <v>189377499.11000001</v>
      </c>
      <c r="N47" s="26">
        <f>17527991.11</f>
        <v>17527991.109999999</v>
      </c>
      <c r="O47" s="15">
        <f>14099.22</f>
        <v>14099.22</v>
      </c>
      <c r="P47" s="15">
        <f>14099.22</f>
        <v>14099.22</v>
      </c>
      <c r="Q47" s="15">
        <f>0</f>
        <v>0</v>
      </c>
    </row>
    <row r="48" spans="1:17" ht="24.75" customHeight="1" x14ac:dyDescent="0.2">
      <c r="A48" s="23" t="s">
        <v>31</v>
      </c>
      <c r="B48" s="26">
        <f>16709683.8</f>
        <v>16709683.800000001</v>
      </c>
      <c r="C48" s="26">
        <f>16709683.8</f>
        <v>16709683.800000001</v>
      </c>
      <c r="D48" s="26">
        <f>6717170.57</f>
        <v>6717170.5700000003</v>
      </c>
      <c r="E48" s="26">
        <f>0</f>
        <v>0</v>
      </c>
      <c r="F48" s="26">
        <f>0</f>
        <v>0</v>
      </c>
      <c r="G48" s="26">
        <f>2367670.57</f>
        <v>2367670.5699999998</v>
      </c>
      <c r="H48" s="26">
        <f>4349500</f>
        <v>4349500</v>
      </c>
      <c r="I48" s="26">
        <f>0</f>
        <v>0</v>
      </c>
      <c r="J48" s="26">
        <f>0</f>
        <v>0</v>
      </c>
      <c r="K48" s="26">
        <f>0</f>
        <v>0</v>
      </c>
      <c r="L48" s="26">
        <f>4429474.25</f>
        <v>4429474.25</v>
      </c>
      <c r="M48" s="26">
        <f>2138960.77</f>
        <v>2138960.77</v>
      </c>
      <c r="N48" s="26">
        <f>3424078.21</f>
        <v>3424078.21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402598704.99</f>
        <v>402598704.99000001</v>
      </c>
      <c r="C49" s="26">
        <f>402584605.77</f>
        <v>402584605.76999998</v>
      </c>
      <c r="D49" s="26">
        <f>23543827.57</f>
        <v>23543827.57</v>
      </c>
      <c r="E49" s="26">
        <f>16950.55</f>
        <v>16950.55</v>
      </c>
      <c r="F49" s="26">
        <f>753765.05</f>
        <v>753765.05</v>
      </c>
      <c r="G49" s="26">
        <f>22773111.97</f>
        <v>22773111.969999999</v>
      </c>
      <c r="H49" s="26">
        <f>0</f>
        <v>0</v>
      </c>
      <c r="I49" s="26">
        <f>0</f>
        <v>0</v>
      </c>
      <c r="J49" s="26">
        <f>44425.22</f>
        <v>44425.22</v>
      </c>
      <c r="K49" s="26">
        <f>52360</f>
        <v>52360</v>
      </c>
      <c r="L49" s="26">
        <f>177601541.74</f>
        <v>177601541.74000001</v>
      </c>
      <c r="M49" s="26">
        <f>187238538.34</f>
        <v>187238538.34</v>
      </c>
      <c r="N49" s="26">
        <f>14103912.9</f>
        <v>14103912.9</v>
      </c>
      <c r="O49" s="15">
        <f>14099.22</f>
        <v>14099.22</v>
      </c>
      <c r="P49" s="15">
        <f>14099.22</f>
        <v>14099.22</v>
      </c>
      <c r="Q49" s="15">
        <f>0</f>
        <v>0</v>
      </c>
    </row>
    <row r="50" spans="1:17" ht="24.75" customHeight="1" x14ac:dyDescent="0.2">
      <c r="A50" s="34" t="s">
        <v>43</v>
      </c>
      <c r="B50" s="35">
        <f>26971117725.56</f>
        <v>26971117725.560001</v>
      </c>
      <c r="C50" s="35">
        <f>26971117725.56</f>
        <v>26971117725.560001</v>
      </c>
      <c r="D50" s="35">
        <f>1407648.47</f>
        <v>1407648.47</v>
      </c>
      <c r="E50" s="35">
        <f>450783.08</f>
        <v>450783.08</v>
      </c>
      <c r="F50" s="35">
        <f>2780.38</f>
        <v>2780.38</v>
      </c>
      <c r="G50" s="35">
        <f>954085.01</f>
        <v>954085.01</v>
      </c>
      <c r="H50" s="35">
        <f>0</f>
        <v>0</v>
      </c>
      <c r="I50" s="35">
        <f>0</f>
        <v>0</v>
      </c>
      <c r="J50" s="35">
        <f>26954274231.35</f>
        <v>26954274231.349998</v>
      </c>
      <c r="K50" s="35">
        <f>105787.75</f>
        <v>105787.75</v>
      </c>
      <c r="L50" s="35">
        <f>15196578.3</f>
        <v>15196578.300000001</v>
      </c>
      <c r="M50" s="35">
        <f>133479.69</f>
        <v>133479.69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882119.81</f>
        <v>882119.81</v>
      </c>
      <c r="C51" s="26">
        <f>882119.81</f>
        <v>882119.81</v>
      </c>
      <c r="D51" s="26">
        <f>882119.81</f>
        <v>882119.81</v>
      </c>
      <c r="E51" s="26">
        <f>0</f>
        <v>0</v>
      </c>
      <c r="F51" s="26">
        <f>0</f>
        <v>0</v>
      </c>
      <c r="G51" s="26">
        <f>882119.81</f>
        <v>882119.81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25712422413.02</f>
        <v>25712422413.02</v>
      </c>
      <c r="C52" s="26">
        <f>25712422413.02</f>
        <v>25712422413.02</v>
      </c>
      <c r="D52" s="26">
        <f>122484.39</f>
        <v>122484.39</v>
      </c>
      <c r="E52" s="26">
        <f>111469.39</f>
        <v>111469.39</v>
      </c>
      <c r="F52" s="26">
        <f>500</f>
        <v>500</v>
      </c>
      <c r="G52" s="26">
        <f>10515</f>
        <v>10515</v>
      </c>
      <c r="H52" s="26">
        <f>0</f>
        <v>0</v>
      </c>
      <c r="I52" s="26">
        <f>0</f>
        <v>0</v>
      </c>
      <c r="J52" s="26">
        <f>25697267688.26</f>
        <v>25697267688.259998</v>
      </c>
      <c r="K52" s="26">
        <f>105787.75</f>
        <v>105787.75</v>
      </c>
      <c r="L52" s="26">
        <f>14926452.62</f>
        <v>14926452.619999999</v>
      </c>
      <c r="M52" s="26">
        <f>0</f>
        <v>0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1257813192.73</f>
        <v>1257813192.73</v>
      </c>
      <c r="C53" s="26">
        <f>1257813192.73</f>
        <v>1257813192.73</v>
      </c>
      <c r="D53" s="26">
        <f>403044.27</f>
        <v>403044.27</v>
      </c>
      <c r="E53" s="26">
        <f>339313.69</f>
        <v>339313.69</v>
      </c>
      <c r="F53" s="26">
        <f>2280.38</f>
        <v>2280.38</v>
      </c>
      <c r="G53" s="26">
        <f>61450.2</f>
        <v>61450.2</v>
      </c>
      <c r="H53" s="26">
        <f>0</f>
        <v>0</v>
      </c>
      <c r="I53" s="26">
        <f>0</f>
        <v>0</v>
      </c>
      <c r="J53" s="26">
        <f>1257006543.09</f>
        <v>1257006543.0899999</v>
      </c>
      <c r="K53" s="26">
        <f>0</f>
        <v>0</v>
      </c>
      <c r="L53" s="26">
        <f>270125.68</f>
        <v>270125.68</v>
      </c>
      <c r="M53" s="26">
        <f>133479.69</f>
        <v>133479.69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10485257525.7</f>
        <v>10485257525.700001</v>
      </c>
      <c r="C54" s="35">
        <f>10455622695.55</f>
        <v>10455622695.549999</v>
      </c>
      <c r="D54" s="35">
        <f>102608739.86</f>
        <v>102608739.86</v>
      </c>
      <c r="E54" s="35">
        <f>63921763.04</f>
        <v>63921763.039999999</v>
      </c>
      <c r="F54" s="35">
        <f>4888266.6</f>
        <v>4888266.5999999996</v>
      </c>
      <c r="G54" s="35">
        <f>32835008.39</f>
        <v>32835008.390000001</v>
      </c>
      <c r="H54" s="35">
        <f>963701.83</f>
        <v>963701.83</v>
      </c>
      <c r="I54" s="35">
        <f>902</f>
        <v>902</v>
      </c>
      <c r="J54" s="35">
        <f>9419647.17</f>
        <v>9419647.1699999999</v>
      </c>
      <c r="K54" s="35">
        <f>10151449.46</f>
        <v>10151449.460000001</v>
      </c>
      <c r="L54" s="35">
        <f>2281144852.68</f>
        <v>2281144852.6799998</v>
      </c>
      <c r="M54" s="35">
        <f>7967805833.62</f>
        <v>7967805833.6199999</v>
      </c>
      <c r="N54" s="35">
        <f>84491270.76</f>
        <v>84491270.760000005</v>
      </c>
      <c r="O54" s="35">
        <f>29634830.15</f>
        <v>29634830.149999999</v>
      </c>
      <c r="P54" s="35">
        <f>20102889.91</f>
        <v>20102889.91</v>
      </c>
      <c r="Q54" s="35">
        <f>9531940.24</f>
        <v>9531940.2400000002</v>
      </c>
    </row>
    <row r="55" spans="1:17" ht="24.75" customHeight="1" x14ac:dyDescent="0.2">
      <c r="A55" s="22" t="s">
        <v>36</v>
      </c>
      <c r="B55" s="26">
        <f>1451563961.52</f>
        <v>1451563961.52</v>
      </c>
      <c r="C55" s="26">
        <f>1450887142.1</f>
        <v>1450887142.0999999</v>
      </c>
      <c r="D55" s="26">
        <f>5324026.42</f>
        <v>5324026.42</v>
      </c>
      <c r="E55" s="26">
        <f>326555.82</f>
        <v>326555.82</v>
      </c>
      <c r="F55" s="26">
        <f>91476.38</f>
        <v>91476.38</v>
      </c>
      <c r="G55" s="26">
        <f>4317574.55</f>
        <v>4317574.55</v>
      </c>
      <c r="H55" s="26">
        <f>588419.67</f>
        <v>588419.67000000004</v>
      </c>
      <c r="I55" s="26">
        <f>0</f>
        <v>0</v>
      </c>
      <c r="J55" s="26">
        <f>59534.58</f>
        <v>59534.58</v>
      </c>
      <c r="K55" s="26">
        <f>177172.67</f>
        <v>177172.67</v>
      </c>
      <c r="L55" s="26">
        <f>297284990.37</f>
        <v>297284990.37</v>
      </c>
      <c r="M55" s="26">
        <f>1113515948.3</f>
        <v>1113515948.3</v>
      </c>
      <c r="N55" s="26">
        <f>34525469.76</f>
        <v>34525469.759999998</v>
      </c>
      <c r="O55" s="15">
        <f>676819.42</f>
        <v>676819.42</v>
      </c>
      <c r="P55" s="15">
        <f>300693.9</f>
        <v>300693.90000000002</v>
      </c>
      <c r="Q55" s="15">
        <f>376125.52</f>
        <v>376125.52</v>
      </c>
    </row>
    <row r="56" spans="1:17" ht="24.75" customHeight="1" x14ac:dyDescent="0.2">
      <c r="A56" s="23" t="s">
        <v>37</v>
      </c>
      <c r="B56" s="26">
        <f>9033693564.18</f>
        <v>9033693564.1800003</v>
      </c>
      <c r="C56" s="26">
        <f>9004735553.45</f>
        <v>9004735553.4500008</v>
      </c>
      <c r="D56" s="26">
        <f>97284713.44</f>
        <v>97284713.439999998</v>
      </c>
      <c r="E56" s="26">
        <f>63595207.22</f>
        <v>63595207.219999999</v>
      </c>
      <c r="F56" s="26">
        <f>4796790.22</f>
        <v>4796790.22</v>
      </c>
      <c r="G56" s="26">
        <f>28517433.84</f>
        <v>28517433.84</v>
      </c>
      <c r="H56" s="26">
        <f>375282.16</f>
        <v>375282.16</v>
      </c>
      <c r="I56" s="26">
        <f>902</f>
        <v>902</v>
      </c>
      <c r="J56" s="26">
        <f>9360112.59</f>
        <v>9360112.5899999999</v>
      </c>
      <c r="K56" s="26">
        <f>9974276.79</f>
        <v>9974276.7899999991</v>
      </c>
      <c r="L56" s="26">
        <f>1983859862.31</f>
        <v>1983859862.3099999</v>
      </c>
      <c r="M56" s="26">
        <f>6854289885.32</f>
        <v>6854289885.3199997</v>
      </c>
      <c r="N56" s="26">
        <f>49965801</f>
        <v>49965801</v>
      </c>
      <c r="O56" s="15">
        <f>28958010.73</f>
        <v>28958010.73</v>
      </c>
      <c r="P56" s="15">
        <f>19802196.01</f>
        <v>19802196.010000002</v>
      </c>
      <c r="Q56" s="15">
        <f>9155814.72</f>
        <v>9155814.7200000007</v>
      </c>
    </row>
    <row r="57" spans="1:17" ht="24.75" customHeight="1" x14ac:dyDescent="0.2">
      <c r="A57" s="34" t="s">
        <v>45</v>
      </c>
      <c r="B57" s="35">
        <f>3197925873.43</f>
        <v>3197925873.4299998</v>
      </c>
      <c r="C57" s="35">
        <f>3197200637.69</f>
        <v>3197200637.6900001</v>
      </c>
      <c r="D57" s="35">
        <f>601946081.1</f>
        <v>601946081.10000002</v>
      </c>
      <c r="E57" s="35">
        <f>420697582.2</f>
        <v>420697582.19999999</v>
      </c>
      <c r="F57" s="35">
        <f>6843714.55</f>
        <v>6843714.5499999998</v>
      </c>
      <c r="G57" s="35">
        <f>160980984.99</f>
        <v>160980984.99000001</v>
      </c>
      <c r="H57" s="35">
        <f>13423799.36</f>
        <v>13423799.359999999</v>
      </c>
      <c r="I57" s="35">
        <f>0</f>
        <v>0</v>
      </c>
      <c r="J57" s="35">
        <f>1165827.58</f>
        <v>1165827.58</v>
      </c>
      <c r="K57" s="35">
        <f>5888899.53</f>
        <v>5888899.5300000003</v>
      </c>
      <c r="L57" s="35">
        <f>1558417164.73</f>
        <v>1558417164.73</v>
      </c>
      <c r="M57" s="35">
        <f>976986041.2</f>
        <v>976986041.20000005</v>
      </c>
      <c r="N57" s="35">
        <f>52796623.55</f>
        <v>52796623.549999997</v>
      </c>
      <c r="O57" s="35">
        <f>725235.74</f>
        <v>725235.74</v>
      </c>
      <c r="P57" s="35">
        <f>613432.41</f>
        <v>613432.41</v>
      </c>
      <c r="Q57" s="35">
        <f>111803.33</f>
        <v>111803.33</v>
      </c>
    </row>
    <row r="58" spans="1:17" ht="30" customHeight="1" x14ac:dyDescent="0.2">
      <c r="A58" s="22" t="s">
        <v>38</v>
      </c>
      <c r="B58" s="26">
        <f>638994496.03</f>
        <v>638994496.02999997</v>
      </c>
      <c r="C58" s="26">
        <f>638835688.79</f>
        <v>638835688.78999996</v>
      </c>
      <c r="D58" s="26">
        <f>38571095.22</f>
        <v>38571095.219999999</v>
      </c>
      <c r="E58" s="26">
        <f>4567890.96</f>
        <v>4567890.96</v>
      </c>
      <c r="F58" s="26">
        <f>408517.21</f>
        <v>408517.21</v>
      </c>
      <c r="G58" s="26">
        <f>28932876.83</f>
        <v>28932876.829999998</v>
      </c>
      <c r="H58" s="26">
        <f>4661810.22</f>
        <v>4661810.22</v>
      </c>
      <c r="I58" s="26">
        <f>0</f>
        <v>0</v>
      </c>
      <c r="J58" s="26">
        <f>108764.49</f>
        <v>108764.49</v>
      </c>
      <c r="K58" s="26">
        <f>346395</f>
        <v>346395</v>
      </c>
      <c r="L58" s="26">
        <f>278782906.99</f>
        <v>278782906.99000001</v>
      </c>
      <c r="M58" s="26">
        <f>304778093.32</f>
        <v>304778093.31999999</v>
      </c>
      <c r="N58" s="26">
        <f>16248433.77</f>
        <v>16248433.77</v>
      </c>
      <c r="O58" s="15">
        <f>158807.24</f>
        <v>158807.24</v>
      </c>
      <c r="P58" s="15">
        <f>48728.91</f>
        <v>48728.91</v>
      </c>
      <c r="Q58" s="15">
        <f>110078.33</f>
        <v>110078.33</v>
      </c>
    </row>
    <row r="59" spans="1:17" ht="36" x14ac:dyDescent="0.2">
      <c r="A59" s="22" t="s">
        <v>39</v>
      </c>
      <c r="B59" s="26">
        <f>473196126.82</f>
        <v>473196126.81999999</v>
      </c>
      <c r="C59" s="26">
        <f>473051665.04</f>
        <v>473051665.04000002</v>
      </c>
      <c r="D59" s="26">
        <f>117205583.64</f>
        <v>117205583.64</v>
      </c>
      <c r="E59" s="26">
        <f>103377344.35</f>
        <v>103377344.34999999</v>
      </c>
      <c r="F59" s="26">
        <f>228358.96</f>
        <v>228358.96</v>
      </c>
      <c r="G59" s="26">
        <f>12727785.37</f>
        <v>12727785.369999999</v>
      </c>
      <c r="H59" s="26">
        <f>872094.96</f>
        <v>872094.96</v>
      </c>
      <c r="I59" s="26">
        <f>0</f>
        <v>0</v>
      </c>
      <c r="J59" s="26">
        <f>74639.96</f>
        <v>74639.960000000006</v>
      </c>
      <c r="K59" s="26">
        <f>1653128.74</f>
        <v>1653128.74</v>
      </c>
      <c r="L59" s="26">
        <f>220450514.72</f>
        <v>220450514.72</v>
      </c>
      <c r="M59" s="26">
        <f>131308354.44</f>
        <v>131308354.44</v>
      </c>
      <c r="N59" s="26">
        <f>2359443.54</f>
        <v>2359443.54</v>
      </c>
      <c r="O59" s="15">
        <f>144461.78</f>
        <v>144461.78</v>
      </c>
      <c r="P59" s="15">
        <f>144461.78</f>
        <v>144461.78</v>
      </c>
      <c r="Q59" s="15">
        <f>0</f>
        <v>0</v>
      </c>
    </row>
    <row r="60" spans="1:17" ht="30.75" customHeight="1" x14ac:dyDescent="0.2">
      <c r="A60" s="22" t="s">
        <v>40</v>
      </c>
      <c r="B60" s="26">
        <f>2085735250.58</f>
        <v>2085735250.5799999</v>
      </c>
      <c r="C60" s="26">
        <f>2085313283.86</f>
        <v>2085313283.8599999</v>
      </c>
      <c r="D60" s="26">
        <f>446169402.24</f>
        <v>446169402.24000001</v>
      </c>
      <c r="E60" s="26">
        <f>312752346.89</f>
        <v>312752346.88999999</v>
      </c>
      <c r="F60" s="26">
        <f>6206838.38</f>
        <v>6206838.3799999999</v>
      </c>
      <c r="G60" s="26">
        <f>119320322.79</f>
        <v>119320322.79000001</v>
      </c>
      <c r="H60" s="26">
        <f>7889894.18</f>
        <v>7889894.1799999997</v>
      </c>
      <c r="I60" s="26">
        <f>0</f>
        <v>0</v>
      </c>
      <c r="J60" s="26">
        <f>982423.13</f>
        <v>982423.13</v>
      </c>
      <c r="K60" s="26">
        <f>3889375.79</f>
        <v>3889375.79</v>
      </c>
      <c r="L60" s="26">
        <f>1059183743.02</f>
        <v>1059183743.02</v>
      </c>
      <c r="M60" s="26">
        <f>540899593.44</f>
        <v>540899593.44000006</v>
      </c>
      <c r="N60" s="26">
        <f>34188746.24</f>
        <v>34188746.240000002</v>
      </c>
      <c r="O60" s="15">
        <f>421966.72</f>
        <v>421966.72</v>
      </c>
      <c r="P60" s="15">
        <f>420241.72</f>
        <v>420241.72</v>
      </c>
      <c r="Q60" s="15">
        <f>1725</f>
        <v>1725</v>
      </c>
    </row>
    <row r="77" spans="1:13" ht="75" customHeight="1" x14ac:dyDescent="0.2">
      <c r="A77" s="51" t="str">
        <f>CONCATENATE("Informacja z wykonania budżetów gmin za ",$C$104," ",$B$105," roku   ",$B$107,"")</f>
        <v xml:space="preserve">Informacja z wykonania budżetów gmin za IV Kwartały 2025 roku   </v>
      </c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</row>
    <row r="78" spans="1:13" ht="13.5" customHeight="1" x14ac:dyDescent="0.2">
      <c r="B78" s="55" t="s">
        <v>2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</row>
    <row r="80" spans="1:13" ht="13.5" customHeight="1" x14ac:dyDescent="0.2">
      <c r="B80" s="80" t="s">
        <v>0</v>
      </c>
      <c r="C80" s="81"/>
      <c r="D80" s="81"/>
      <c r="E80" s="82"/>
      <c r="F80" s="90" t="s">
        <v>72</v>
      </c>
      <c r="G80" s="62" t="s">
        <v>78</v>
      </c>
      <c r="H80" s="63"/>
      <c r="I80" s="63"/>
      <c r="J80" s="63"/>
      <c r="K80" s="63"/>
      <c r="L80" s="64"/>
    </row>
    <row r="81" spans="1:13" ht="13.5" customHeight="1" x14ac:dyDescent="0.2">
      <c r="B81" s="83"/>
      <c r="C81" s="84"/>
      <c r="D81" s="84"/>
      <c r="E81" s="85"/>
      <c r="F81" s="91"/>
      <c r="G81" s="93" t="s">
        <v>73</v>
      </c>
      <c r="H81" s="46" t="s">
        <v>70</v>
      </c>
      <c r="I81" s="46" t="s">
        <v>71</v>
      </c>
      <c r="J81" s="46" t="s">
        <v>74</v>
      </c>
      <c r="K81" s="46" t="s">
        <v>75</v>
      </c>
      <c r="L81" s="94" t="s">
        <v>76</v>
      </c>
    </row>
    <row r="82" spans="1:13" ht="13.5" customHeight="1" x14ac:dyDescent="0.2">
      <c r="B82" s="83"/>
      <c r="C82" s="84"/>
      <c r="D82" s="84"/>
      <c r="E82" s="85"/>
      <c r="F82" s="91"/>
      <c r="G82" s="93"/>
      <c r="H82" s="46"/>
      <c r="I82" s="46"/>
      <c r="J82" s="46"/>
      <c r="K82" s="46"/>
      <c r="L82" s="94"/>
    </row>
    <row r="83" spans="1:13" ht="11.25" customHeight="1" x14ac:dyDescent="0.2">
      <c r="B83" s="83"/>
      <c r="C83" s="84"/>
      <c r="D83" s="84"/>
      <c r="E83" s="85"/>
      <c r="F83" s="91"/>
      <c r="G83" s="93"/>
      <c r="H83" s="46"/>
      <c r="I83" s="46"/>
      <c r="J83" s="46"/>
      <c r="K83" s="46"/>
      <c r="L83" s="94"/>
    </row>
    <row r="84" spans="1:13" ht="11.25" customHeight="1" x14ac:dyDescent="0.2">
      <c r="B84" s="86"/>
      <c r="C84" s="87"/>
      <c r="D84" s="87"/>
      <c r="E84" s="88"/>
      <c r="F84" s="92"/>
      <c r="G84" s="93"/>
      <c r="H84" s="46"/>
      <c r="I84" s="46"/>
      <c r="J84" s="46"/>
      <c r="K84" s="46"/>
      <c r="L84" s="94"/>
    </row>
    <row r="85" spans="1:13" ht="11.25" customHeight="1" x14ac:dyDescent="0.2">
      <c r="B85" s="46">
        <v>1</v>
      </c>
      <c r="C85" s="46"/>
      <c r="D85" s="46"/>
      <c r="E85" s="46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6"/>
      <c r="C86" s="46"/>
      <c r="D86" s="46"/>
      <c r="E86" s="46"/>
      <c r="F86" s="62" t="s">
        <v>80</v>
      </c>
      <c r="G86" s="38"/>
      <c r="H86" s="38"/>
      <c r="I86" s="38"/>
      <c r="J86" s="38"/>
      <c r="K86" s="38"/>
      <c r="L86" s="39"/>
    </row>
    <row r="87" spans="1:13" ht="33.75" customHeight="1" x14ac:dyDescent="0.2">
      <c r="B87" s="73" t="s">
        <v>57</v>
      </c>
      <c r="C87" s="74"/>
      <c r="D87" s="74"/>
      <c r="E87" s="75"/>
      <c r="F87" s="33">
        <f>1053341922.8</f>
        <v>1053341922.8</v>
      </c>
      <c r="G87" s="33">
        <f>360788267.01</f>
        <v>360788267.00999999</v>
      </c>
      <c r="H87" s="33">
        <f>21568386.44</f>
        <v>21568386.440000001</v>
      </c>
      <c r="I87" s="33">
        <f>120117507.58</f>
        <v>120117507.58</v>
      </c>
      <c r="J87" s="33">
        <f>208629547.49</f>
        <v>208629547.49000001</v>
      </c>
      <c r="K87" s="33">
        <f>10472825.5</f>
        <v>10472825.5</v>
      </c>
      <c r="L87" s="33">
        <f>692553655.79</f>
        <v>692553655.78999996</v>
      </c>
    </row>
    <row r="88" spans="1:13" ht="33.75" customHeight="1" x14ac:dyDescent="0.2">
      <c r="B88" s="73" t="s">
        <v>58</v>
      </c>
      <c r="C88" s="74"/>
      <c r="D88" s="74"/>
      <c r="E88" s="75"/>
      <c r="F88" s="33">
        <f>13190241.96</f>
        <v>13190241.960000001</v>
      </c>
      <c r="G88" s="33">
        <f>689459</f>
        <v>689459</v>
      </c>
      <c r="H88" s="33">
        <f>489459</f>
        <v>489459</v>
      </c>
      <c r="I88" s="33">
        <f>0</f>
        <v>0</v>
      </c>
      <c r="J88" s="33">
        <f>0</f>
        <v>0</v>
      </c>
      <c r="K88" s="33">
        <f>200000</f>
        <v>200000</v>
      </c>
      <c r="L88" s="33">
        <f>12500782.96</f>
        <v>12500782.960000001</v>
      </c>
    </row>
    <row r="89" spans="1:13" ht="33.75" customHeight="1" x14ac:dyDescent="0.2">
      <c r="B89" s="73" t="s">
        <v>59</v>
      </c>
      <c r="C89" s="74"/>
      <c r="D89" s="74"/>
      <c r="E89" s="75"/>
      <c r="F89" s="33">
        <f>73683071.81</f>
        <v>73683071.810000002</v>
      </c>
      <c r="G89" s="33">
        <f>11128415.07</f>
        <v>11128415.07</v>
      </c>
      <c r="H89" s="33">
        <f>0</f>
        <v>0</v>
      </c>
      <c r="I89" s="33">
        <f>5197275.71</f>
        <v>5197275.71</v>
      </c>
      <c r="J89" s="33">
        <f>5821553.32</f>
        <v>5821553.3200000003</v>
      </c>
      <c r="K89" s="33">
        <f>109586.04</f>
        <v>109586.04</v>
      </c>
      <c r="L89" s="33">
        <f>62554656.74</f>
        <v>62554656.740000002</v>
      </c>
    </row>
    <row r="90" spans="1:13" ht="22.5" customHeight="1" x14ac:dyDescent="0.2">
      <c r="B90" s="73" t="s">
        <v>60</v>
      </c>
      <c r="C90" s="74"/>
      <c r="D90" s="74"/>
      <c r="E90" s="75"/>
      <c r="F90" s="33">
        <f>4836395.99</f>
        <v>4836395.99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4836395.99</f>
        <v>4836395.99</v>
      </c>
    </row>
    <row r="91" spans="1:13" ht="33.75" customHeight="1" x14ac:dyDescent="0.2">
      <c r="B91" s="73" t="s">
        <v>61</v>
      </c>
      <c r="C91" s="74"/>
      <c r="D91" s="74"/>
      <c r="E91" s="75"/>
      <c r="F91" s="33">
        <f>30731.24</f>
        <v>30731.24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30731.24</f>
        <v>30731.24</v>
      </c>
    </row>
    <row r="92" spans="1:13" ht="33.75" customHeight="1" x14ac:dyDescent="0.2">
      <c r="B92" s="73" t="s">
        <v>62</v>
      </c>
      <c r="C92" s="74"/>
      <c r="D92" s="74"/>
      <c r="E92" s="75"/>
      <c r="F92" s="33">
        <f>1593583.43</f>
        <v>1593583.43</v>
      </c>
      <c r="G92" s="33">
        <f>30000</f>
        <v>30000</v>
      </c>
      <c r="H92" s="33">
        <f>0</f>
        <v>0</v>
      </c>
      <c r="I92" s="33">
        <f>30000</f>
        <v>30000</v>
      </c>
      <c r="J92" s="33">
        <f>0</f>
        <v>0</v>
      </c>
      <c r="K92" s="33">
        <f>0</f>
        <v>0</v>
      </c>
      <c r="L92" s="33">
        <f>1563583.43</f>
        <v>1563583.43</v>
      </c>
    </row>
    <row r="93" spans="1:13" ht="22.5" customHeight="1" x14ac:dyDescent="0.2">
      <c r="B93" s="73" t="s">
        <v>63</v>
      </c>
      <c r="C93" s="74"/>
      <c r="D93" s="74"/>
      <c r="E93" s="75"/>
      <c r="F93" s="33">
        <f>120000</f>
        <v>120000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120000</f>
        <v>120000</v>
      </c>
    </row>
    <row r="96" spans="1:13" ht="75" customHeight="1" x14ac:dyDescent="0.2">
      <c r="A96" s="51" t="str">
        <f>CONCATENATE("Informacja z wykonania budżetów gmin za ",$C$104," ",$B$105," roku   ",$B$107,"")</f>
        <v xml:space="preserve">Informacja z wykonania budżetów gmin za IV Kwartały 2025 roku   </v>
      </c>
      <c r="B96" s="51"/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63"/>
      <c r="E98" s="63"/>
      <c r="F98" s="64"/>
      <c r="G98" s="62" t="s">
        <v>3</v>
      </c>
      <c r="H98" s="64"/>
      <c r="I98" s="62" t="s">
        <v>4</v>
      </c>
      <c r="J98" s="64"/>
      <c r="K98" s="5"/>
    </row>
    <row r="99" spans="1:11" ht="13.5" customHeight="1" x14ac:dyDescent="0.2">
      <c r="B99" s="6"/>
      <c r="C99" s="70" t="s">
        <v>5</v>
      </c>
      <c r="D99" s="71"/>
      <c r="E99" s="71"/>
      <c r="F99" s="72"/>
      <c r="G99" s="66">
        <f>1452</f>
        <v>1452</v>
      </c>
      <c r="H99" s="67"/>
      <c r="I99" s="68">
        <f>6359636737.1</f>
        <v>6359636737.1000004</v>
      </c>
      <c r="J99" s="69"/>
      <c r="K99" s="7"/>
    </row>
    <row r="100" spans="1:11" ht="13.5" customHeight="1" x14ac:dyDescent="0.2">
      <c r="B100" s="6"/>
      <c r="C100" s="73" t="s">
        <v>6</v>
      </c>
      <c r="D100" s="74"/>
      <c r="E100" s="74"/>
      <c r="F100" s="75"/>
      <c r="G100" s="76">
        <f>961</f>
        <v>961</v>
      </c>
      <c r="H100" s="77"/>
      <c r="I100" s="78">
        <f>-3885093417.72</f>
        <v>-3885093417.7199998</v>
      </c>
      <c r="J100" s="79"/>
      <c r="K100" s="7"/>
    </row>
    <row r="101" spans="1:11" ht="13.5" customHeight="1" x14ac:dyDescent="0.2">
      <c r="B101" s="6"/>
      <c r="C101" s="70" t="s">
        <v>7</v>
      </c>
      <c r="D101" s="71"/>
      <c r="E101" s="71"/>
      <c r="F101" s="72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4</f>
        <v>4</v>
      </c>
      <c r="C104" s="8" t="str">
        <f>IF(B104=1,"I Kwartał",IF(B104=2,"II Kwartały",IF(B104=3,"III Kwartały",IF(B104=4,"IV Kwartały","-"))))</f>
        <v>IV Kwartały</v>
      </c>
    </row>
    <row r="105" spans="1:11" ht="13.5" customHeight="1" x14ac:dyDescent="0.2">
      <c r="A105" s="8" t="s">
        <v>9</v>
      </c>
      <c r="B105" s="8">
        <f>2025</f>
        <v>2025</v>
      </c>
      <c r="C105" s="9"/>
    </row>
    <row r="106" spans="1:11" ht="13.5" customHeight="1" x14ac:dyDescent="0.2">
      <c r="A106" s="8" t="s">
        <v>10</v>
      </c>
      <c r="B106" s="10" t="str">
        <f>"Mar 18 2026 12:00AM"</f>
        <v>Mar 18 2026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O6:Q6"/>
    <mergeCell ref="O7:O10"/>
    <mergeCell ref="A77:M77"/>
    <mergeCell ref="L39:L41"/>
    <mergeCell ref="P39:P41"/>
    <mergeCell ref="Q39:Q41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A1:M1"/>
    <mergeCell ref="C5:M5"/>
    <mergeCell ref="A3:M3"/>
    <mergeCell ref="K7:K10"/>
    <mergeCell ref="C7:C10"/>
    <mergeCell ref="H7:H10"/>
    <mergeCell ref="I7:I10"/>
    <mergeCell ref="J7:J10"/>
    <mergeCell ref="G80:L80"/>
    <mergeCell ref="H81:H84"/>
    <mergeCell ref="I81:I84"/>
    <mergeCell ref="J81:J84"/>
    <mergeCell ref="B78:M78"/>
    <mergeCell ref="D39:D41"/>
    <mergeCell ref="M39:M41"/>
    <mergeCell ref="B43:Q43"/>
    <mergeCell ref="Q7:Q10"/>
    <mergeCell ref="C38:N38"/>
    <mergeCell ref="L7:L10"/>
    <mergeCell ref="M7:M10"/>
    <mergeCell ref="N7:N10"/>
    <mergeCell ref="P7:P10"/>
    <mergeCell ref="A34:M34"/>
    <mergeCell ref="O38:Q38"/>
    <mergeCell ref="A36:M36"/>
    <mergeCell ref="B6:B10"/>
    <mergeCell ref="A6:A10"/>
    <mergeCell ref="C6:N6"/>
    <mergeCell ref="D7:D10"/>
    <mergeCell ref="E7:E10"/>
    <mergeCell ref="G7:G10"/>
    <mergeCell ref="F7:F10"/>
    <mergeCell ref="B12:Q12"/>
    <mergeCell ref="A38:A41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B38:B41"/>
    <mergeCell ref="N39:N41"/>
    <mergeCell ref="O39:O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2026-03-25T10:13:49Z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2026-03-25T11:13:48.6432506+01:00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GRN-012ce642-7869-4445-8872-e331b30a59ab</vt:lpwstr>
  </property>
  <property fmtid="{D5CDD505-2E9C-101B-9397-08002B2CF9AE}" pid="7" name="MFHash">
    <vt:lpwstr>P5PFe8Hd0sxhPVjnn7B3EhvDvn1AMPPzLRRZScfiTS8=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