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definedNames>
    <definedName name="_xlnm.Print_Area" localSheetId="0">doch_wyd!$A$1:$M$136</definedName>
  </definedNames>
  <calcPr calcId="152511"/>
</workbook>
</file>

<file path=xl/calcChain.xml><?xml version="1.0" encoding="utf-8"?>
<calcChain xmlns="http://schemas.openxmlformats.org/spreadsheetml/2006/main">
  <c r="C136" i="4" l="1"/>
  <c r="C135" i="4"/>
  <c r="C134" i="4"/>
  <c r="C133" i="4"/>
  <c r="D131" i="4"/>
  <c r="C131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J98" i="4" s="1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E86" i="4" s="1"/>
  <c r="D83" i="4"/>
  <c r="C83" i="4"/>
  <c r="C93" i="4" s="1"/>
  <c r="I72" i="4"/>
  <c r="H72" i="4"/>
  <c r="G72" i="4"/>
  <c r="F72" i="4"/>
  <c r="E72" i="4"/>
  <c r="D72" i="4"/>
  <c r="C72" i="4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C58" i="4"/>
  <c r="D57" i="4"/>
  <c r="C57" i="4"/>
  <c r="D56" i="4"/>
  <c r="C56" i="4"/>
  <c r="K56" i="4" s="1"/>
  <c r="D55" i="4"/>
  <c r="C55" i="4"/>
  <c r="D54" i="4"/>
  <c r="C54" i="4"/>
  <c r="D53" i="4"/>
  <c r="C53" i="4"/>
  <c r="D52" i="4"/>
  <c r="K52" i="4" s="1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J34" i="4" s="1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K11" i="4" s="1"/>
  <c r="I10" i="4"/>
  <c r="H10" i="4"/>
  <c r="G10" i="4"/>
  <c r="F10" i="4"/>
  <c r="E10" i="4"/>
  <c r="D10" i="4"/>
  <c r="C10" i="4"/>
  <c r="K10" i="4" s="1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J41" i="4"/>
  <c r="J43" i="4"/>
  <c r="J42" i="4"/>
  <c r="J40" i="4"/>
  <c r="K42" i="4"/>
  <c r="K40" i="4"/>
  <c r="K41" i="4"/>
  <c r="K43" i="4"/>
  <c r="K7" i="4"/>
  <c r="K15" i="4"/>
  <c r="K90" i="4"/>
  <c r="E99" i="4"/>
  <c r="F108" i="4"/>
  <c r="F112" i="4"/>
  <c r="F116" i="4"/>
  <c r="K5" i="4"/>
  <c r="C71" i="4"/>
  <c r="K14" i="4"/>
  <c r="K26" i="4"/>
  <c r="C25" i="4"/>
  <c r="K30" i="4"/>
  <c r="K35" i="4"/>
  <c r="K44" i="4"/>
  <c r="C39" i="4"/>
  <c r="K48" i="4"/>
  <c r="K61" i="4"/>
  <c r="K66" i="4"/>
  <c r="F86" i="4"/>
  <c r="F92" i="4" s="1"/>
  <c r="K89" i="4"/>
  <c r="F99" i="4"/>
  <c r="G86" i="4"/>
  <c r="G92" i="4"/>
  <c r="K88" i="4"/>
  <c r="G99" i="4"/>
  <c r="F109" i="4"/>
  <c r="F113" i="4"/>
  <c r="F117" i="4"/>
  <c r="J62" i="4"/>
  <c r="J54" i="4"/>
  <c r="J52" i="4"/>
  <c r="J46" i="4"/>
  <c r="J28" i="4"/>
  <c r="J51" i="4"/>
  <c r="J33" i="4"/>
  <c r="J59" i="4"/>
  <c r="D93" i="4"/>
  <c r="J16" i="4"/>
  <c r="J17" i="4"/>
  <c r="J31" i="4"/>
  <c r="J68" i="4"/>
  <c r="J66" i="4"/>
  <c r="J47" i="4"/>
  <c r="J55" i="4"/>
  <c r="D71" i="4"/>
  <c r="D73" i="4"/>
  <c r="J73" i="4" s="1"/>
  <c r="J36" i="4"/>
  <c r="J20" i="4"/>
  <c r="J48" i="4"/>
  <c r="J64" i="4"/>
  <c r="J30" i="4"/>
  <c r="J37" i="4"/>
  <c r="J21" i="4"/>
  <c r="J5" i="4"/>
  <c r="J9" i="4"/>
  <c r="J69" i="4"/>
  <c r="J11" i="4"/>
  <c r="J27" i="4"/>
  <c r="J44" i="4"/>
  <c r="J65" i="4"/>
  <c r="J45" i="4"/>
  <c r="J10" i="4"/>
  <c r="J49" i="4"/>
  <c r="J61" i="4"/>
  <c r="J58" i="4"/>
  <c r="J26" i="4"/>
  <c r="J7" i="4"/>
  <c r="J19" i="4"/>
  <c r="J50" i="4"/>
  <c r="J8" i="4"/>
  <c r="J35" i="4"/>
  <c r="J13" i="4"/>
  <c r="J29" i="4"/>
  <c r="J15" i="4"/>
  <c r="J72" i="4"/>
  <c r="J57" i="4"/>
  <c r="J12" i="4"/>
  <c r="J71" i="4"/>
  <c r="J56" i="4"/>
  <c r="J14" i="4"/>
  <c r="J53" i="4"/>
  <c r="J18" i="4"/>
  <c r="J38" i="4"/>
  <c r="D25" i="4"/>
  <c r="J25" i="4" s="1"/>
  <c r="D39" i="4"/>
  <c r="J39" i="4" s="1"/>
  <c r="E71" i="4"/>
  <c r="E73" i="4"/>
  <c r="E6" i="4"/>
  <c r="K12" i="4"/>
  <c r="K20" i="4"/>
  <c r="K27" i="4"/>
  <c r="K31" i="4"/>
  <c r="K36" i="4"/>
  <c r="K45" i="4"/>
  <c r="K49" i="4"/>
  <c r="K53" i="4"/>
  <c r="K57" i="4"/>
  <c r="K62" i="4"/>
  <c r="K68" i="4"/>
  <c r="C67" i="4"/>
  <c r="K67" i="4" s="1"/>
  <c r="H86" i="4"/>
  <c r="H92" i="4" s="1"/>
  <c r="K87" i="4"/>
  <c r="H99" i="4"/>
  <c r="K21" i="4"/>
  <c r="F71" i="4"/>
  <c r="F73" i="4"/>
  <c r="F6" i="4"/>
  <c r="F22" i="4" s="1"/>
  <c r="K19" i="4"/>
  <c r="D67" i="4"/>
  <c r="J67" i="4" s="1"/>
  <c r="I86" i="4"/>
  <c r="I92" i="4" s="1"/>
  <c r="K85" i="4"/>
  <c r="I99" i="4"/>
  <c r="F106" i="4"/>
  <c r="F110" i="4"/>
  <c r="F118" i="4"/>
  <c r="D133" i="4"/>
  <c r="K18" i="4"/>
  <c r="K28" i="4"/>
  <c r="C32" i="4"/>
  <c r="C24" i="4" s="1"/>
  <c r="C23" i="4" s="1"/>
  <c r="K33" i="4"/>
  <c r="K37" i="4"/>
  <c r="K46" i="4"/>
  <c r="K50" i="4"/>
  <c r="K54" i="4"/>
  <c r="K58" i="4"/>
  <c r="K64" i="4"/>
  <c r="C63" i="4"/>
  <c r="K69" i="4"/>
  <c r="K84" i="4"/>
  <c r="E111" i="4"/>
  <c r="E107" i="4"/>
  <c r="E108" i="4"/>
  <c r="E113" i="4"/>
  <c r="E106" i="4"/>
  <c r="E112" i="4"/>
  <c r="E110" i="4"/>
  <c r="E109" i="4"/>
  <c r="K13" i="4"/>
  <c r="G71" i="4"/>
  <c r="G73" i="4"/>
  <c r="G6" i="4"/>
  <c r="H71" i="4"/>
  <c r="H73" i="4"/>
  <c r="H6" i="4"/>
  <c r="H22" i="4" s="1"/>
  <c r="K9" i="4"/>
  <c r="K17" i="4"/>
  <c r="D32" i="4"/>
  <c r="J32" i="4" s="1"/>
  <c r="D63" i="4"/>
  <c r="K83" i="4"/>
  <c r="C99" i="4"/>
  <c r="K99" i="4" s="1"/>
  <c r="K97" i="4"/>
  <c r="F107" i="4"/>
  <c r="F111" i="4"/>
  <c r="F115" i="4"/>
  <c r="F119" i="4"/>
  <c r="I6" i="4"/>
  <c r="I71" i="4"/>
  <c r="I73" i="4" s="1"/>
  <c r="K8" i="4"/>
  <c r="K16" i="4"/>
  <c r="K29" i="4"/>
  <c r="K34" i="4"/>
  <c r="K38" i="4"/>
  <c r="K47" i="4"/>
  <c r="K51" i="4"/>
  <c r="K55" i="4"/>
  <c r="K59" i="4"/>
  <c r="K65" i="4"/>
  <c r="K72" i="4"/>
  <c r="J83" i="4"/>
  <c r="D86" i="4"/>
  <c r="D92" i="4" s="1"/>
  <c r="J92" i="4" s="1"/>
  <c r="J90" i="4"/>
  <c r="J87" i="4"/>
  <c r="J91" i="4"/>
  <c r="J89" i="4"/>
  <c r="J84" i="4"/>
  <c r="J88" i="4"/>
  <c r="J85" i="4"/>
  <c r="K91" i="4"/>
  <c r="D99" i="4"/>
  <c r="J99" i="4" s="1"/>
  <c r="J97" i="4"/>
  <c r="E119" i="4"/>
  <c r="E118" i="4"/>
  <c r="E115" i="4"/>
  <c r="E117" i="4"/>
  <c r="E116" i="4"/>
  <c r="C73" i="4"/>
  <c r="K71" i="4"/>
  <c r="C60" i="4" l="1"/>
  <c r="E22" i="4"/>
  <c r="D60" i="4"/>
  <c r="J60" i="4" s="1"/>
  <c r="G22" i="4"/>
  <c r="B101" i="4"/>
  <c r="B1" i="4"/>
  <c r="B76" i="4"/>
  <c r="K98" i="4"/>
  <c r="E92" i="4"/>
  <c r="J86" i="4"/>
  <c r="C86" i="4"/>
  <c r="D94" i="4"/>
  <c r="K73" i="4"/>
  <c r="K63" i="4"/>
  <c r="J63" i="4"/>
  <c r="K60" i="4"/>
  <c r="K39" i="4"/>
  <c r="K32" i="4"/>
  <c r="K25" i="4"/>
  <c r="D24" i="4"/>
  <c r="C6" i="4"/>
  <c r="C22" i="4" s="1"/>
  <c r="I22" i="4"/>
  <c r="K86" i="4" l="1"/>
  <c r="C92" i="4"/>
  <c r="K92" i="4" s="1"/>
  <c r="C94" i="4"/>
  <c r="D23" i="4"/>
  <c r="J24" i="4"/>
  <c r="K24" i="4"/>
  <c r="J23" i="4" l="1"/>
  <c r="D6" i="4"/>
  <c r="K23" i="4"/>
  <c r="D22" i="4" l="1"/>
  <c r="L22" i="4" s="1"/>
  <c r="L9" i="4"/>
  <c r="L20" i="4"/>
  <c r="L6" i="4"/>
  <c r="L8" i="4"/>
  <c r="L17" i="4"/>
  <c r="L16" i="4"/>
  <c r="L21" i="4"/>
  <c r="L18" i="4"/>
  <c r="L7" i="4"/>
  <c r="L11" i="4"/>
  <c r="L13" i="4"/>
  <c r="L19" i="4"/>
  <c r="L12" i="4"/>
  <c r="L15" i="4"/>
  <c r="L10" i="4"/>
  <c r="L14" i="4"/>
  <c r="J6" i="4"/>
  <c r="K6" i="4"/>
  <c r="J22" i="4" l="1"/>
  <c r="K22" i="4"/>
</calcChain>
</file>

<file path=xl/sharedStrings.xml><?xml version="1.0" encoding="utf-8"?>
<sst xmlns="http://schemas.openxmlformats.org/spreadsheetml/2006/main" count="385" uniqueCount="122">
  <si>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</si>
  <si>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</si>
  <si>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</si>
  <si>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</si>
  <si>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</si>
  <si>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</si>
  <si>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</si>
  <si>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</si>
  <si>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</si>
  <si>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</si>
  <si>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</si>
  <si>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</si>
  <si>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</si>
  <si>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</si>
  <si>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</si>
  <si>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</si>
  <si>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</si>
  <si>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</si>
  <si>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</si>
  <si>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</si>
  <si>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</si>
  <si>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</si>
  <si>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</si>
  <si>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</si>
  <si>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</si>
  <si>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</si>
  <si>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</si>
  <si>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inne cele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</si>
  <si>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</si>
  <si>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</si>
  <si>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</si>
  <si>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</si>
  <si>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</si>
  <si>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</si>
  <si>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</si>
  <si>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</si>
  <si>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</si>
  <si>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</si>
  <si>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</si>
  <si>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</si>
  <si>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</si>
  <si>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</si>
  <si>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</si>
  <si>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</si>
  <si>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</si>
  <si>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</si>
  <si>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</si>
  <si>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</si>
  <si>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</si>
  <si>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</si>
  <si>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</si>
  <si>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</si>
  <si>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</si>
  <si>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</si>
  <si>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</si>
  <si>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</si>
  <si>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</si>
  <si>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</si>
  <si>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</si>
  <si>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</si>
  <si>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</si>
  <si>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</si>
  <si>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</si>
  <si>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</si>
  <si>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</si>
  <si>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</si>
  <si>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</si>
  <si>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</si>
  <si>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</si>
  <si>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</si>
  <si>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</si>
  <si>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</si>
  <si>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</si>
  <si>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</si>
  <si>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</si>
  <si>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</si>
  <si>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</si>
  <si>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</si>
  <si>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</si>
  <si>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</si>
  <si>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</si>
  <si>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</si>
  <si>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</si>
  <si>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</si>
  <si>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</si>
  <si>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</si>
  <si>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</si>
  <si>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</si>
  <si>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</si>
  <si>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</si>
  <si>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</si>
  <si>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</si>
  <si>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</si>
  <si>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</si>
  <si>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</si>
  <si>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</si>
  <si>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</si>
  <si>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</si>
  <si>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</si>
  <si>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</si>
  <si>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</si>
  <si>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</si>
  <si>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</si>
  <si>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</si>
  <si>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</si>
  <si>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</si>
  <si>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</si>
  <si>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</si>
  <si>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FINANSOWANIE DEFICYTU (E1+E2+E3+E4+E5+E6+E7) 
z tego: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</si>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</sst>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4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 vertical="center"/>
    </xf>
    <xf numFmtId="164" fontId="34" fillId="20" borderId="10" xfId="28" applyNumberFormat="1" applyFont="1" applyFill="1" applyBorder="1" applyAlignment="1">
      <alignment horizontal="center" vertical="center"/>
    </xf>
    <xf numFmtId="164" fontId="34" fillId="22" borderId="10" xfId="28" applyNumberFormat="1" applyFont="1" applyFill="1" applyBorder="1" applyAlignment="1">
      <alignment horizontal="center" vertical="center"/>
    </xf>
    <xf numFmtId="164" fontId="34" fillId="22" borderId="10" xfId="0" applyNumberFormat="1" applyFont="1" applyFill="1" applyBorder="1" applyAlignment="1">
      <alignment horizontal="center" vertical="center"/>
    </xf>
    <xf numFmtId="164" fontId="34" fillId="0" borderId="10" xfId="28" applyNumberFormat="1" applyFont="1" applyFill="1" applyBorder="1" applyAlignment="1">
      <alignment horizontal="center" vertical="center"/>
    </xf>
    <xf numFmtId="164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1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1" applyFont="1" applyFill="1" applyBorder="1" applyAlignment="1">
      <alignment horizontal="left" vertical="center" wrapText="1" indent="1"/>
    </xf>
    <xf numFmtId="0" fontId="10" fillId="0" borderId="14" xfId="41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2 2" xfId="29"/>
    <cellStyle name="Dziesiętny 3" xfId="30"/>
    <cellStyle name="Dziesiętny 3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y" xfId="0" builtinId="0"/>
    <cellStyle name="Normalny 2" xfId="41"/>
    <cellStyle name="Normalny 2 2" xfId="42"/>
    <cellStyle name="Note" xfId="43"/>
    <cellStyle name="Note 2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36"/>
  <sheetViews>
    <sheetView tabSelected="1" topLeftCell="B1" zoomScaleNormal="100" workbookViewId="0"/>
  </sheetViews>
  <sheetFormatPr defaultColWidth="9.1796875" defaultRowHeight="12.5" outlineLevelRow="1" outlineLevelCol="1" x14ac:dyDescent="0.25"/>
  <cols>
    <col min="1" max="1" width="5.7265625" style="15" hidden="1" customWidth="1"/>
    <col min="2" max="2" width="30.7265625" style="15" customWidth="1"/>
    <col min="3" max="4" width="14.54296875" style="15" customWidth="1"/>
    <col min="5" max="5" width="14.54296875" style="15" customWidth="1" outlineLevel="1"/>
    <col min="6" max="6" width="13.81640625" style="15" customWidth="1" outlineLevel="1"/>
    <col min="7" max="7" width="13" style="15" customWidth="1" outlineLevel="1"/>
    <col min="8" max="9" width="12.26953125" style="15" customWidth="1" outlineLevel="1"/>
    <col min="10" max="10" width="13" style="15" customWidth="1"/>
    <col min="11" max="11" width="7.453125" style="15" customWidth="1"/>
    <col min="12" max="12" width="8.81640625" style="15" customWidth="1"/>
    <col min="13" max="13" width="8.1796875" style="15" customWidth="1"/>
    <col min="14" max="16384" width="9.1796875" style="15"/>
  </cols>
  <sheetData>
    <row r="1" spans="2:13" ht="27.75" customHeight="1" x14ac:dyDescent="0.25">
      <c r="B1" s="87" t="str">
        <f>CONCATENATE("Informacja z wykonania budżetów miast na prawach powiatu za ",$D$133," ",$C$134," rok    ",$C$136,"")</f>
        <v xml:space="preserve">Informacja z wykonania budżetów miast na prawach powiatu za III Kwartały 2022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5">
      <c r="B2" s="109" t="s">
        <v>0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6" t="s">
        <v>2</v>
      </c>
      <c r="K2" s="5" t="s">
        <v>16</v>
      </c>
      <c r="L2" s="5" t="s">
        <v>3</v>
      </c>
    </row>
    <row r="3" spans="2:13" x14ac:dyDescent="0.25">
      <c r="B3" s="109"/>
      <c r="C3" s="116" t="s">
        <v>79</v>
      </c>
      <c r="D3" s="117"/>
      <c r="E3" s="117"/>
      <c r="F3" s="117"/>
      <c r="G3" s="117"/>
      <c r="H3" s="117"/>
      <c r="I3" s="118"/>
      <c r="J3" s="124" t="s">
        <v>4</v>
      </c>
      <c r="K3" s="124"/>
      <c r="L3" s="124"/>
    </row>
    <row r="4" spans="2:13" x14ac:dyDescent="0.25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3" customHeight="1" x14ac:dyDescent="0.25">
      <c r="B5" s="65" t="s">
        <v>5</v>
      </c>
      <c r="C5" s="67">
        <f>106924621790.66</f>
        <v>106924621790.66</v>
      </c>
      <c r="D5" s="67">
        <f>82173383695.19</f>
        <v>82173383695.190002</v>
      </c>
      <c r="E5" s="67">
        <f>402774033.61</f>
        <v>402774033.61000001</v>
      </c>
      <c r="F5" s="67">
        <f>101551999.87</f>
        <v>101551999.87</v>
      </c>
      <c r="G5" s="67">
        <f>18210470.55</f>
        <v>18210470.550000001</v>
      </c>
      <c r="H5" s="67">
        <f>90831738.95</f>
        <v>90831738.950000003</v>
      </c>
      <c r="I5" s="67">
        <f>212780.77</f>
        <v>212780.77</v>
      </c>
      <c r="J5" s="16">
        <f t="shared" ref="J5:J73" si="0">IF($D$5=0,"",100*$D5/$D$5)</f>
        <v>100</v>
      </c>
      <c r="K5" s="16">
        <f t="shared" ref="K5:K49" si="1">IF(C5=0,"",100*D5/C5)</f>
        <v>76.851694510616397</v>
      </c>
      <c r="L5" s="16"/>
    </row>
    <row r="6" spans="2:13" ht="25.5" customHeight="1" x14ac:dyDescent="0.25">
      <c r="B6" s="88" t="s">
        <v>58</v>
      </c>
      <c r="C6" s="67">
        <f>C5-C23-C60</f>
        <v>62666469914.269989</v>
      </c>
      <c r="D6" s="67">
        <f>D5-D23-D60</f>
        <v>47506514528.150002</v>
      </c>
      <c r="E6" s="67">
        <f>E5</f>
        <v>402774033.61000001</v>
      </c>
      <c r="F6" s="67">
        <f>F5</f>
        <v>101551999.87</v>
      </c>
      <c r="G6" s="67">
        <f>G5</f>
        <v>18210470.550000001</v>
      </c>
      <c r="H6" s="67">
        <f>H5</f>
        <v>90831738.950000003</v>
      </c>
      <c r="I6" s="67">
        <f>I5</f>
        <v>212780.77</v>
      </c>
      <c r="J6" s="16">
        <f t="shared" si="0"/>
        <v>57.812532953940874</v>
      </c>
      <c r="K6" s="16">
        <f t="shared" si="1"/>
        <v>75.808505877450315</v>
      </c>
      <c r="L6" s="16">
        <f t="shared" ref="L6:L22" si="2">IF($D$6=0,"",100*$D6/$D$6)</f>
        <v>100</v>
      </c>
    </row>
    <row r="7" spans="2:13" ht="20" outlineLevel="1" x14ac:dyDescent="0.25">
      <c r="B7" s="89" t="s">
        <v>59</v>
      </c>
      <c r="C7" s="68">
        <f>2929560892</f>
        <v>2929560892</v>
      </c>
      <c r="D7" s="68">
        <f>2194156070.76</f>
        <v>2194156070.7600002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2.670154217938618</v>
      </c>
      <c r="K7" s="18">
        <f t="shared" si="1"/>
        <v>74.897097266411777</v>
      </c>
      <c r="L7" s="18">
        <f t="shared" si="2"/>
        <v>4.6186425010402568</v>
      </c>
    </row>
    <row r="8" spans="2:13" ht="20" outlineLevel="1" x14ac:dyDescent="0.25">
      <c r="B8" s="10" t="s">
        <v>60</v>
      </c>
      <c r="C8" s="69">
        <f>613979714</f>
        <v>613979714</v>
      </c>
      <c r="D8" s="69">
        <f>459855571.77</f>
        <v>459855571.76999998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0.55961620550489455</v>
      </c>
      <c r="K8" s="18">
        <f t="shared" si="1"/>
        <v>74.897518807925962</v>
      </c>
      <c r="L8" s="18">
        <f t="shared" si="2"/>
        <v>0.96798423613568285</v>
      </c>
    </row>
    <row r="9" spans="2:13" ht="20" outlineLevel="1" x14ac:dyDescent="0.25">
      <c r="B9" s="10" t="s">
        <v>61</v>
      </c>
      <c r="C9" s="69">
        <f>18732096444</f>
        <v>18732096444</v>
      </c>
      <c r="D9" s="69">
        <f>14034306546</f>
        <v>14034306546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17.078895762718233</v>
      </c>
      <c r="K9" s="18">
        <f t="shared" si="1"/>
        <v>74.921173868370033</v>
      </c>
      <c r="L9" s="18">
        <f t="shared" si="2"/>
        <v>29.541856912453483</v>
      </c>
    </row>
    <row r="10" spans="2:13" ht="20" outlineLevel="1" x14ac:dyDescent="0.25">
      <c r="B10" s="10" t="s">
        <v>62</v>
      </c>
      <c r="C10" s="69">
        <f>5002665340</f>
        <v>5002665340</v>
      </c>
      <c r="D10" s="69">
        <f>3751999047</f>
        <v>3751999047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4.5659541791749563</v>
      </c>
      <c r="K10" s="18">
        <f t="shared" si="1"/>
        <v>75.000000839552456</v>
      </c>
      <c r="L10" s="18">
        <f t="shared" si="2"/>
        <v>7.8978621864097223</v>
      </c>
    </row>
    <row r="11" spans="2:13" ht="13" customHeight="1" outlineLevel="1" x14ac:dyDescent="0.25">
      <c r="B11" s="10" t="s">
        <v>17</v>
      </c>
      <c r="C11" s="69">
        <f>23307935</f>
        <v>23307935</v>
      </c>
      <c r="D11" s="69">
        <f>20118861.3</f>
        <v>20118861.300000001</v>
      </c>
      <c r="E11" s="69">
        <f>505036.3</f>
        <v>505036.3</v>
      </c>
      <c r="F11" s="69">
        <f>6328.3</f>
        <v>6328.3</v>
      </c>
      <c r="G11" s="69">
        <f>12030.07</f>
        <v>12030.07</v>
      </c>
      <c r="H11" s="69">
        <f>61895.62</f>
        <v>61895.62</v>
      </c>
      <c r="I11" s="69">
        <f>0</f>
        <v>0</v>
      </c>
      <c r="J11" s="18">
        <f t="shared" si="0"/>
        <v>2.4483428082538183E-2</v>
      </c>
      <c r="K11" s="18">
        <f t="shared" si="1"/>
        <v>86.317648045611932</v>
      </c>
      <c r="L11" s="18">
        <f t="shared" si="2"/>
        <v>4.2349689300145481E-2</v>
      </c>
    </row>
    <row r="12" spans="2:13" ht="13" customHeight="1" outlineLevel="1" x14ac:dyDescent="0.25">
      <c r="B12" s="10" t="s">
        <v>18</v>
      </c>
      <c r="C12" s="69">
        <f>10471286840.57</f>
        <v>10471286840.57</v>
      </c>
      <c r="D12" s="70">
        <f>8082578217.24</f>
        <v>8082578217.2399998</v>
      </c>
      <c r="E12" s="69">
        <f>151374001.9</f>
        <v>151374001.90000001</v>
      </c>
      <c r="F12" s="69">
        <f>91896802.38</f>
        <v>91896802.379999995</v>
      </c>
      <c r="G12" s="69">
        <f>15359230.5</f>
        <v>15359230.5</v>
      </c>
      <c r="H12" s="69">
        <f>73133284.49</f>
        <v>73133284.489999995</v>
      </c>
      <c r="I12" s="69">
        <f>194677.64</f>
        <v>194677.64</v>
      </c>
      <c r="J12" s="18">
        <f t="shared" si="0"/>
        <v>9.8360051074702319</v>
      </c>
      <c r="K12" s="18">
        <f t="shared" si="1"/>
        <v>77.188012708474602</v>
      </c>
      <c r="L12" s="18">
        <f t="shared" si="2"/>
        <v>17.013620758160791</v>
      </c>
    </row>
    <row r="13" spans="2:13" ht="13" customHeight="1" outlineLevel="1" x14ac:dyDescent="0.25">
      <c r="B13" s="10" t="s">
        <v>19</v>
      </c>
      <c r="C13" s="69">
        <f>4624850</f>
        <v>4624850</v>
      </c>
      <c r="D13" s="70">
        <f>3900458.73</f>
        <v>3900458.73</v>
      </c>
      <c r="E13" s="69">
        <f>0</f>
        <v>0</v>
      </c>
      <c r="F13" s="69">
        <f>21459.35</f>
        <v>21459.35</v>
      </c>
      <c r="G13" s="69">
        <f>1486.33</f>
        <v>1486.33</v>
      </c>
      <c r="H13" s="69">
        <f>1388.93</f>
        <v>1388.93</v>
      </c>
      <c r="I13" s="69">
        <f>0</f>
        <v>0</v>
      </c>
      <c r="J13" s="18">
        <f t="shared" si="0"/>
        <v>4.7466205656909229E-3</v>
      </c>
      <c r="K13" s="18">
        <f t="shared" si="1"/>
        <v>84.336978064153428</v>
      </c>
      <c r="L13" s="18">
        <f t="shared" si="2"/>
        <v>8.2103660281976319E-3</v>
      </c>
    </row>
    <row r="14" spans="2:13" ht="13" customHeight="1" outlineLevel="1" x14ac:dyDescent="0.25">
      <c r="B14" s="10" t="s">
        <v>20</v>
      </c>
      <c r="C14" s="69">
        <f>367592366</f>
        <v>367592366</v>
      </c>
      <c r="D14" s="70">
        <f>339675401.87</f>
        <v>339675401.87</v>
      </c>
      <c r="E14" s="69">
        <f>248193667.91</f>
        <v>248193667.91</v>
      </c>
      <c r="F14" s="69">
        <f>392625.5</f>
        <v>392625.5</v>
      </c>
      <c r="G14" s="69">
        <f>105745.78</f>
        <v>105745.78</v>
      </c>
      <c r="H14" s="69">
        <f>855571.45</f>
        <v>855571.45</v>
      </c>
      <c r="I14" s="69">
        <f>0</f>
        <v>0</v>
      </c>
      <c r="J14" s="18">
        <f t="shared" si="0"/>
        <v>0.41336426297105594</v>
      </c>
      <c r="K14" s="18">
        <f t="shared" si="1"/>
        <v>92.405455958244787</v>
      </c>
      <c r="L14" s="18">
        <f t="shared" si="2"/>
        <v>0.715008047304176</v>
      </c>
    </row>
    <row r="15" spans="2:13" ht="20" outlineLevel="1" x14ac:dyDescent="0.25">
      <c r="B15" s="10" t="s">
        <v>37</v>
      </c>
      <c r="C15" s="69">
        <f>66531360</f>
        <v>66531360</v>
      </c>
      <c r="D15" s="70">
        <f>70993742.49</f>
        <v>70993742.489999995</v>
      </c>
      <c r="E15" s="69">
        <f>0</f>
        <v>0</v>
      </c>
      <c r="F15" s="69">
        <f>0</f>
        <v>0</v>
      </c>
      <c r="G15" s="69">
        <f>20395.63</f>
        <v>20395.63</v>
      </c>
      <c r="H15" s="69">
        <f>272851.83</f>
        <v>272851.83</v>
      </c>
      <c r="I15" s="69">
        <f>0</f>
        <v>0</v>
      </c>
      <c r="J15" s="18">
        <f t="shared" si="0"/>
        <v>8.6395057982936133E-2</v>
      </c>
      <c r="K15" s="18">
        <f t="shared" si="1"/>
        <v>106.70718664100657</v>
      </c>
      <c r="L15" s="18">
        <f t="shared" si="2"/>
        <v>0.14944001511189087</v>
      </c>
    </row>
    <row r="16" spans="2:13" ht="13" customHeight="1" outlineLevel="1" x14ac:dyDescent="0.25">
      <c r="B16" s="10" t="s">
        <v>25</v>
      </c>
      <c r="C16" s="69">
        <f>204706760.62</f>
        <v>204706760.62</v>
      </c>
      <c r="D16" s="70">
        <f>210712651.28</f>
        <v>210712651.28</v>
      </c>
      <c r="E16" s="69">
        <f>0</f>
        <v>0</v>
      </c>
      <c r="F16" s="69">
        <f>0</f>
        <v>0</v>
      </c>
      <c r="G16" s="69">
        <f>1057249.5</f>
        <v>1057249.5</v>
      </c>
      <c r="H16" s="69">
        <f>6211041.88</f>
        <v>6211041.8799999999</v>
      </c>
      <c r="I16" s="69">
        <f>0</f>
        <v>0</v>
      </c>
      <c r="J16" s="18">
        <f t="shared" si="0"/>
        <v>0.25642445498119848</v>
      </c>
      <c r="K16" s="18">
        <f t="shared" si="1"/>
        <v>102.93389951646434</v>
      </c>
      <c r="L16" s="18">
        <f t="shared" si="2"/>
        <v>0.44354475038395447</v>
      </c>
    </row>
    <row r="17" spans="2:12" ht="22.5" customHeight="1" outlineLevel="1" x14ac:dyDescent="0.25">
      <c r="B17" s="10" t="s">
        <v>26</v>
      </c>
      <c r="C17" s="69">
        <f>1954626973.44</f>
        <v>1954626973.4400001</v>
      </c>
      <c r="D17" s="70">
        <f>1755356147.05</f>
        <v>1755356147.05</v>
      </c>
      <c r="E17" s="69">
        <f>0</f>
        <v>0</v>
      </c>
      <c r="F17" s="69">
        <f>0</f>
        <v>0</v>
      </c>
      <c r="G17" s="69">
        <f>50442</f>
        <v>50442</v>
      </c>
      <c r="H17" s="69">
        <f>197559.32</f>
        <v>197559.32</v>
      </c>
      <c r="I17" s="69">
        <f>0</f>
        <v>0</v>
      </c>
      <c r="J17" s="18">
        <f t="shared" si="0"/>
        <v>2.1361614529118498</v>
      </c>
      <c r="K17" s="18">
        <f t="shared" si="1"/>
        <v>89.805173616360264</v>
      </c>
      <c r="L17" s="18">
        <f t="shared" si="2"/>
        <v>3.694979866413612</v>
      </c>
    </row>
    <row r="18" spans="2:12" ht="13" customHeight="1" outlineLevel="1" x14ac:dyDescent="0.25">
      <c r="B18" s="10" t="s">
        <v>51</v>
      </c>
      <c r="C18" s="69">
        <f>367856500</f>
        <v>367856500</v>
      </c>
      <c r="D18" s="70">
        <f>313443947.88</f>
        <v>313443947.88</v>
      </c>
      <c r="E18" s="69">
        <f>0</f>
        <v>0</v>
      </c>
      <c r="F18" s="69">
        <f>0</f>
        <v>0</v>
      </c>
      <c r="G18" s="69">
        <f>4621</f>
        <v>4621</v>
      </c>
      <c r="H18" s="69">
        <f>0</f>
        <v>0</v>
      </c>
      <c r="I18" s="69">
        <f>0</f>
        <v>0</v>
      </c>
      <c r="J18" s="18">
        <f t="shared" si="0"/>
        <v>0.38144218210932374</v>
      </c>
      <c r="K18" s="18">
        <f t="shared" si="1"/>
        <v>85.208212408914889</v>
      </c>
      <c r="L18" s="18">
        <f t="shared" si="2"/>
        <v>0.6597915064770089</v>
      </c>
    </row>
    <row r="19" spans="2:12" ht="13" customHeight="1" outlineLevel="1" x14ac:dyDescent="0.25">
      <c r="B19" s="10" t="s">
        <v>52</v>
      </c>
      <c r="C19" s="69">
        <f>9532608.34</f>
        <v>9532608.3399999999</v>
      </c>
      <c r="D19" s="70">
        <f>9511495.8</f>
        <v>9511495.8000000007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1.1574910722042902E-2</v>
      </c>
      <c r="K19" s="18">
        <f t="shared" si="1"/>
        <v>99.778522947267135</v>
      </c>
      <c r="L19" s="18">
        <f t="shared" si="2"/>
        <v>2.0021455782372671E-2</v>
      </c>
    </row>
    <row r="20" spans="2:12" ht="13" customHeight="1" outlineLevel="1" x14ac:dyDescent="0.25">
      <c r="B20" s="10" t="s">
        <v>53</v>
      </c>
      <c r="C20" s="69">
        <f>16532500</f>
        <v>16532500</v>
      </c>
      <c r="D20" s="70">
        <f>10323548.71</f>
        <v>10323548.710000001</v>
      </c>
      <c r="E20" s="69">
        <f>0</f>
        <v>0</v>
      </c>
      <c r="F20" s="69">
        <f>0</f>
        <v>0</v>
      </c>
      <c r="G20" s="69">
        <f>300</f>
        <v>300</v>
      </c>
      <c r="H20" s="69">
        <f>0</f>
        <v>0</v>
      </c>
      <c r="I20" s="69">
        <f>0</f>
        <v>0</v>
      </c>
      <c r="J20" s="18">
        <f t="shared" si="0"/>
        <v>1.2563129623934773E-2</v>
      </c>
      <c r="K20" s="18">
        <f t="shared" si="1"/>
        <v>62.443966187811895</v>
      </c>
      <c r="L20" s="18">
        <f t="shared" si="2"/>
        <v>2.1730806422101918E-2</v>
      </c>
    </row>
    <row r="21" spans="2:12" ht="13" customHeight="1" outlineLevel="1" x14ac:dyDescent="0.25">
      <c r="B21" s="10" t="s">
        <v>21</v>
      </c>
      <c r="C21" s="69">
        <f>5460221983.01</f>
        <v>5460221983.0100002</v>
      </c>
      <c r="D21" s="70">
        <f>3522379114.67</f>
        <v>3522379114.6700001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4.2865207154371827</v>
      </c>
      <c r="K21" s="18">
        <f t="shared" si="1"/>
        <v>64.509815271800619</v>
      </c>
      <c r="L21" s="18">
        <f t="shared" si="2"/>
        <v>7.4145180922140961</v>
      </c>
    </row>
    <row r="22" spans="2:12" ht="13" customHeight="1" outlineLevel="1" x14ac:dyDescent="0.25">
      <c r="B22" s="10" t="s">
        <v>22</v>
      </c>
      <c r="C22" s="69">
        <f>C6-SUM(C7:C21)</f>
        <v>16441346847.289986</v>
      </c>
      <c r="D22" s="69">
        <f t="shared" ref="D22:I22" si="3">D6-SUM(D7:D21)</f>
        <v>12727203705.600006</v>
      </c>
      <c r="E22" s="69">
        <f t="shared" si="3"/>
        <v>2701327.5</v>
      </c>
      <c r="F22" s="69">
        <f t="shared" si="3"/>
        <v>9234784.3400000185</v>
      </c>
      <c r="G22" s="69">
        <f t="shared" si="3"/>
        <v>1598969.7400000002</v>
      </c>
      <c r="H22" s="69">
        <f t="shared" si="3"/>
        <v>10098145.430000007</v>
      </c>
      <c r="I22" s="69">
        <f t="shared" si="3"/>
        <v>18103.129999999976</v>
      </c>
      <c r="J22" s="18">
        <f t="shared" si="0"/>
        <v>15.488231265746196</v>
      </c>
      <c r="K22" s="18">
        <f t="shared" si="1"/>
        <v>77.409739140062115</v>
      </c>
      <c r="L22" s="18">
        <f t="shared" si="2"/>
        <v>26.790438810362517</v>
      </c>
    </row>
    <row r="23" spans="2:12" ht="26.25" customHeight="1" x14ac:dyDescent="0.25">
      <c r="B23" s="88" t="s">
        <v>109</v>
      </c>
      <c r="C23" s="67">
        <f>C24+C56+C58</f>
        <v>23353184342.390011</v>
      </c>
      <c r="D23" s="67">
        <f>D24+D56+D58</f>
        <v>17214457319.040001</v>
      </c>
      <c r="E23" s="20" t="s">
        <v>57</v>
      </c>
      <c r="F23" s="20" t="s">
        <v>57</v>
      </c>
      <c r="G23" s="20" t="s">
        <v>57</v>
      </c>
      <c r="H23" s="20" t="s">
        <v>57</v>
      </c>
      <c r="I23" s="20" t="s">
        <v>57</v>
      </c>
      <c r="J23" s="16">
        <f t="shared" si="0"/>
        <v>20.948945443082252</v>
      </c>
      <c r="K23" s="16">
        <f t="shared" si="1"/>
        <v>73.713533309428925</v>
      </c>
      <c r="L23" s="21"/>
    </row>
    <row r="24" spans="2:12" ht="25.5" customHeight="1" outlineLevel="1" x14ac:dyDescent="0.25">
      <c r="B24" s="90" t="s">
        <v>63</v>
      </c>
      <c r="C24" s="67">
        <f>C25+C32+C39</f>
        <v>17345470316.84</v>
      </c>
      <c r="D24" s="67">
        <f>D25+D32+D39</f>
        <v>14458457944.110001</v>
      </c>
      <c r="E24" s="20" t="s">
        <v>57</v>
      </c>
      <c r="F24" s="20" t="s">
        <v>57</v>
      </c>
      <c r="G24" s="20" t="s">
        <v>57</v>
      </c>
      <c r="H24" s="20" t="s">
        <v>57</v>
      </c>
      <c r="I24" s="20" t="s">
        <v>57</v>
      </c>
      <c r="J24" s="16">
        <f t="shared" si="0"/>
        <v>17.595062164826398</v>
      </c>
      <c r="K24" s="16">
        <f t="shared" si="1"/>
        <v>83.355813823467685</v>
      </c>
      <c r="L24" s="22"/>
    </row>
    <row r="25" spans="2:12" ht="13.5" customHeight="1" outlineLevel="1" x14ac:dyDescent="0.25">
      <c r="B25" s="91" t="s">
        <v>54</v>
      </c>
      <c r="C25" s="67">
        <f>C26+C28+C30</f>
        <v>10939439615.780001</v>
      </c>
      <c r="D25" s="67">
        <f>D26+D28+D30</f>
        <v>9598781250.2399998</v>
      </c>
      <c r="E25" s="20" t="s">
        <v>57</v>
      </c>
      <c r="F25" s="20" t="s">
        <v>57</v>
      </c>
      <c r="G25" s="20" t="s">
        <v>57</v>
      </c>
      <c r="H25" s="20" t="s">
        <v>57</v>
      </c>
      <c r="I25" s="20" t="s">
        <v>57</v>
      </c>
      <c r="J25" s="16">
        <f t="shared" si="0"/>
        <v>11.681131795479249</v>
      </c>
      <c r="K25" s="16">
        <f t="shared" si="1"/>
        <v>87.744725391544563</v>
      </c>
      <c r="L25" s="22"/>
    </row>
    <row r="26" spans="2:12" ht="22.5" customHeight="1" outlineLevel="1" x14ac:dyDescent="0.25">
      <c r="B26" s="93" t="s">
        <v>115</v>
      </c>
      <c r="C26" s="68">
        <f>9171409269.78</f>
        <v>9171409269.7800007</v>
      </c>
      <c r="D26" s="71">
        <f>8419968697.95</f>
        <v>8419968697.9499998</v>
      </c>
      <c r="E26" s="17" t="s">
        <v>57</v>
      </c>
      <c r="F26" s="17" t="s">
        <v>57</v>
      </c>
      <c r="G26" s="17" t="s">
        <v>57</v>
      </c>
      <c r="H26" s="17" t="s">
        <v>57</v>
      </c>
      <c r="I26" s="17" t="s">
        <v>57</v>
      </c>
      <c r="J26" s="18">
        <f t="shared" si="0"/>
        <v>10.246588760641313</v>
      </c>
      <c r="K26" s="18">
        <f t="shared" si="1"/>
        <v>91.806705493930863</v>
      </c>
      <c r="L26" s="22"/>
    </row>
    <row r="27" spans="2:12" ht="13" customHeight="1" outlineLevel="1" x14ac:dyDescent="0.25">
      <c r="B27" s="95" t="s">
        <v>6</v>
      </c>
      <c r="C27" s="69">
        <f>2803912.32</f>
        <v>2803912.32</v>
      </c>
      <c r="D27" s="69">
        <f>1091358.45</f>
        <v>1091358.45</v>
      </c>
      <c r="E27" s="19" t="s">
        <v>57</v>
      </c>
      <c r="F27" s="19" t="s">
        <v>57</v>
      </c>
      <c r="G27" s="19" t="s">
        <v>57</v>
      </c>
      <c r="H27" s="19" t="s">
        <v>57</v>
      </c>
      <c r="I27" s="19" t="s">
        <v>57</v>
      </c>
      <c r="J27" s="18">
        <f t="shared" si="0"/>
        <v>1.3281167221350317E-3</v>
      </c>
      <c r="K27" s="18">
        <f t="shared" si="1"/>
        <v>38.922702475946181</v>
      </c>
      <c r="L27" s="22"/>
    </row>
    <row r="28" spans="2:12" ht="13.5" customHeight="1" outlineLevel="1" x14ac:dyDescent="0.25">
      <c r="B28" s="93" t="s">
        <v>116</v>
      </c>
      <c r="C28" s="69">
        <f>1736697102.47</f>
        <v>1736697102.47</v>
      </c>
      <c r="D28" s="70">
        <f>1158077697.72</f>
        <v>1158077697.72</v>
      </c>
      <c r="E28" s="19" t="s">
        <v>57</v>
      </c>
      <c r="F28" s="19" t="s">
        <v>57</v>
      </c>
      <c r="G28" s="19" t="s">
        <v>57</v>
      </c>
      <c r="H28" s="19" t="s">
        <v>57</v>
      </c>
      <c r="I28" s="19" t="s">
        <v>57</v>
      </c>
      <c r="J28" s="18">
        <f t="shared" si="0"/>
        <v>1.409309980486769</v>
      </c>
      <c r="K28" s="18">
        <f t="shared" si="1"/>
        <v>66.682767885829691</v>
      </c>
      <c r="L28" s="22"/>
    </row>
    <row r="29" spans="2:12" ht="13" customHeight="1" outlineLevel="1" x14ac:dyDescent="0.25">
      <c r="B29" s="95" t="s">
        <v>6</v>
      </c>
      <c r="C29" s="69">
        <f>282587123.43</f>
        <v>282587123.43000001</v>
      </c>
      <c r="D29" s="69">
        <f>69837577.38</f>
        <v>69837577.379999995</v>
      </c>
      <c r="E29" s="19" t="s">
        <v>57</v>
      </c>
      <c r="F29" s="19" t="s">
        <v>57</v>
      </c>
      <c r="G29" s="19" t="s">
        <v>57</v>
      </c>
      <c r="H29" s="19" t="s">
        <v>57</v>
      </c>
      <c r="I29" s="19" t="s">
        <v>57</v>
      </c>
      <c r="J29" s="18">
        <f t="shared" si="0"/>
        <v>8.4988075505144284E-2</v>
      </c>
      <c r="K29" s="18">
        <f t="shared" si="1"/>
        <v>24.713644603590563</v>
      </c>
      <c r="L29" s="22"/>
    </row>
    <row r="30" spans="2:12" ht="20" outlineLevel="1" x14ac:dyDescent="0.25">
      <c r="B30" s="93" t="s">
        <v>8</v>
      </c>
      <c r="C30" s="69">
        <f>31333243.53</f>
        <v>31333243.530000001</v>
      </c>
      <c r="D30" s="70">
        <f>20734854.57</f>
        <v>20734854.57</v>
      </c>
      <c r="E30" s="19" t="s">
        <v>57</v>
      </c>
      <c r="F30" s="19" t="s">
        <v>57</v>
      </c>
      <c r="G30" s="19" t="s">
        <v>57</v>
      </c>
      <c r="H30" s="19" t="s">
        <v>57</v>
      </c>
      <c r="I30" s="19" t="s">
        <v>57</v>
      </c>
      <c r="J30" s="18">
        <f t="shared" si="0"/>
        <v>2.5233054351166642E-2</v>
      </c>
      <c r="K30" s="18">
        <f t="shared" si="1"/>
        <v>66.175257439107511</v>
      </c>
      <c r="L30" s="22"/>
    </row>
    <row r="31" spans="2:12" ht="13" customHeight="1" outlineLevel="1" x14ac:dyDescent="0.25">
      <c r="B31" s="95" t="s">
        <v>6</v>
      </c>
      <c r="C31" s="69">
        <f>3161121.11</f>
        <v>3161121.11</v>
      </c>
      <c r="D31" s="69">
        <f>2114900.96</f>
        <v>2114900.96</v>
      </c>
      <c r="E31" s="19" t="s">
        <v>57</v>
      </c>
      <c r="F31" s="19" t="s">
        <v>57</v>
      </c>
      <c r="G31" s="19" t="s">
        <v>57</v>
      </c>
      <c r="H31" s="19" t="s">
        <v>57</v>
      </c>
      <c r="I31" s="19" t="s">
        <v>57</v>
      </c>
      <c r="J31" s="18">
        <f t="shared" si="0"/>
        <v>2.5737055782501447E-3</v>
      </c>
      <c r="K31" s="18">
        <f t="shared" si="1"/>
        <v>66.903509432449425</v>
      </c>
      <c r="L31" s="22"/>
    </row>
    <row r="32" spans="2:12" ht="13.5" customHeight="1" outlineLevel="1" x14ac:dyDescent="0.25">
      <c r="B32" s="92" t="s">
        <v>55</v>
      </c>
      <c r="C32" s="67">
        <f>C33+C35+C37</f>
        <v>2284072740.25</v>
      </c>
      <c r="D32" s="67">
        <f>D33+D35+D37</f>
        <v>1850738878.03</v>
      </c>
      <c r="E32" s="20" t="s">
        <v>57</v>
      </c>
      <c r="F32" s="20" t="s">
        <v>57</v>
      </c>
      <c r="G32" s="20" t="s">
        <v>57</v>
      </c>
      <c r="H32" s="20" t="s">
        <v>57</v>
      </c>
      <c r="I32" s="20" t="s">
        <v>57</v>
      </c>
      <c r="J32" s="16">
        <f t="shared" si="0"/>
        <v>2.25223642352984</v>
      </c>
      <c r="K32" s="16">
        <f t="shared" si="1"/>
        <v>81.028018303280035</v>
      </c>
      <c r="L32" s="22"/>
    </row>
    <row r="33" spans="2:12" ht="20" outlineLevel="1" x14ac:dyDescent="0.25">
      <c r="B33" s="93" t="s">
        <v>115</v>
      </c>
      <c r="C33" s="69">
        <f>1976847956.72</f>
        <v>1976847956.72</v>
      </c>
      <c r="D33" s="69">
        <f>1658705729.68</f>
        <v>1658705729.6800001</v>
      </c>
      <c r="E33" s="19" t="s">
        <v>57</v>
      </c>
      <c r="F33" s="19" t="s">
        <v>57</v>
      </c>
      <c r="G33" s="19" t="s">
        <v>57</v>
      </c>
      <c r="H33" s="19" t="s">
        <v>57</v>
      </c>
      <c r="I33" s="19" t="s">
        <v>57</v>
      </c>
      <c r="J33" s="18">
        <f t="shared" si="0"/>
        <v>2.0185437852148369</v>
      </c>
      <c r="K33" s="18">
        <f t="shared" si="1"/>
        <v>83.906590997121299</v>
      </c>
      <c r="L33" s="22"/>
    </row>
    <row r="34" spans="2:12" ht="13" customHeight="1" outlineLevel="1" x14ac:dyDescent="0.25">
      <c r="B34" s="95" t="s">
        <v>6</v>
      </c>
      <c r="C34" s="69">
        <f>16662593.76</f>
        <v>16662593.76</v>
      </c>
      <c r="D34" s="70">
        <f>4644615.12</f>
        <v>4644615.12</v>
      </c>
      <c r="E34" s="19" t="s">
        <v>57</v>
      </c>
      <c r="F34" s="19" t="s">
        <v>57</v>
      </c>
      <c r="G34" s="19" t="s">
        <v>57</v>
      </c>
      <c r="H34" s="19" t="s">
        <v>57</v>
      </c>
      <c r="I34" s="19" t="s">
        <v>57</v>
      </c>
      <c r="J34" s="18">
        <f t="shared" si="0"/>
        <v>5.6522135406137245E-3</v>
      </c>
      <c r="K34" s="18">
        <f t="shared" si="1"/>
        <v>27.874502534832249</v>
      </c>
      <c r="L34" s="22"/>
    </row>
    <row r="35" spans="2:12" ht="13" customHeight="1" outlineLevel="1" x14ac:dyDescent="0.25">
      <c r="B35" s="93" t="s">
        <v>116</v>
      </c>
      <c r="C35" s="69">
        <f>237513704.14</f>
        <v>237513704.13999999</v>
      </c>
      <c r="D35" s="69">
        <f>131743682.8</f>
        <v>131743682.8</v>
      </c>
      <c r="E35" s="19" t="s">
        <v>57</v>
      </c>
      <c r="F35" s="19" t="s">
        <v>57</v>
      </c>
      <c r="G35" s="19" t="s">
        <v>57</v>
      </c>
      <c r="H35" s="19" t="s">
        <v>57</v>
      </c>
      <c r="I35" s="19" t="s">
        <v>57</v>
      </c>
      <c r="J35" s="18">
        <f t="shared" si="0"/>
        <v>0.16032403300889211</v>
      </c>
      <c r="K35" s="18">
        <f t="shared" si="1"/>
        <v>55.467823752327597</v>
      </c>
      <c r="L35" s="22"/>
    </row>
    <row r="36" spans="2:12" ht="13" customHeight="1" outlineLevel="1" x14ac:dyDescent="0.25">
      <c r="B36" s="95" t="s">
        <v>6</v>
      </c>
      <c r="C36" s="69">
        <f>72898527</f>
        <v>72898527</v>
      </c>
      <c r="D36" s="70">
        <f>6763083.6</f>
        <v>6763083.5999999996</v>
      </c>
      <c r="E36" s="19" t="s">
        <v>57</v>
      </c>
      <c r="F36" s="19" t="s">
        <v>57</v>
      </c>
      <c r="G36" s="19" t="s">
        <v>57</v>
      </c>
      <c r="H36" s="19" t="s">
        <v>57</v>
      </c>
      <c r="I36" s="19" t="s">
        <v>57</v>
      </c>
      <c r="J36" s="18">
        <f t="shared" si="0"/>
        <v>8.2302605732856964E-3</v>
      </c>
      <c r="K36" s="18">
        <f t="shared" si="1"/>
        <v>9.2773940411717781</v>
      </c>
      <c r="L36" s="22"/>
    </row>
    <row r="37" spans="2:12" ht="20" outlineLevel="1" x14ac:dyDescent="0.25">
      <c r="B37" s="93" t="s">
        <v>8</v>
      </c>
      <c r="C37" s="69">
        <f>69711079.39</f>
        <v>69711079.390000001</v>
      </c>
      <c r="D37" s="69">
        <f>60289465.55</f>
        <v>60289465.549999997</v>
      </c>
      <c r="E37" s="19" t="s">
        <v>57</v>
      </c>
      <c r="F37" s="19" t="s">
        <v>57</v>
      </c>
      <c r="G37" s="19" t="s">
        <v>57</v>
      </c>
      <c r="H37" s="19" t="s">
        <v>57</v>
      </c>
      <c r="I37" s="19" t="s">
        <v>57</v>
      </c>
      <c r="J37" s="18">
        <f t="shared" si="0"/>
        <v>7.3368605306110848E-2</v>
      </c>
      <c r="K37" s="18">
        <f t="shared" si="1"/>
        <v>86.484768386255226</v>
      </c>
      <c r="L37" s="22"/>
    </row>
    <row r="38" spans="2:12" ht="13" customHeight="1" outlineLevel="1" x14ac:dyDescent="0.25">
      <c r="B38" s="95" t="s">
        <v>6</v>
      </c>
      <c r="C38" s="69">
        <f>0</f>
        <v>0</v>
      </c>
      <c r="D38" s="70">
        <f>0</f>
        <v>0</v>
      </c>
      <c r="E38" s="19" t="s">
        <v>57</v>
      </c>
      <c r="F38" s="19" t="s">
        <v>57</v>
      </c>
      <c r="G38" s="19" t="s">
        <v>57</v>
      </c>
      <c r="H38" s="19" t="s">
        <v>57</v>
      </c>
      <c r="I38" s="19" t="s">
        <v>57</v>
      </c>
      <c r="J38" s="18">
        <f t="shared" si="0"/>
        <v>0</v>
      </c>
      <c r="K38" s="18" t="str">
        <f t="shared" si="1"/>
        <v/>
      </c>
      <c r="L38" s="22"/>
    </row>
    <row r="39" spans="2:12" ht="13.5" customHeight="1" outlineLevel="1" x14ac:dyDescent="0.25">
      <c r="B39" s="91" t="s">
        <v>56</v>
      </c>
      <c r="C39" s="67">
        <f>C44+C48+C50+C46+C52+C54</f>
        <v>4121957960.8099999</v>
      </c>
      <c r="D39" s="67">
        <f>D44+D48+D50+D46+D52+D54</f>
        <v>3008937815.8400002</v>
      </c>
      <c r="E39" s="20" t="s">
        <v>57</v>
      </c>
      <c r="F39" s="20" t="s">
        <v>57</v>
      </c>
      <c r="G39" s="20" t="s">
        <v>57</v>
      </c>
      <c r="H39" s="20" t="s">
        <v>57</v>
      </c>
      <c r="I39" s="20" t="s">
        <v>57</v>
      </c>
      <c r="J39" s="16">
        <f t="shared" si="0"/>
        <v>3.661693945817309</v>
      </c>
      <c r="K39" s="16">
        <f t="shared" si="1"/>
        <v>72.997780289072097</v>
      </c>
      <c r="L39" s="22"/>
    </row>
    <row r="40" spans="2:12" ht="20" outlineLevel="1" x14ac:dyDescent="0.25">
      <c r="B40" s="93" t="s">
        <v>120</v>
      </c>
      <c r="C40" s="68">
        <f>177795</f>
        <v>177795</v>
      </c>
      <c r="D40" s="71">
        <f>177795</f>
        <v>177795</v>
      </c>
      <c r="E40" s="19" t="s">
        <v>57</v>
      </c>
      <c r="F40" s="19" t="s">
        <v>57</v>
      </c>
      <c r="G40" s="19" t="s">
        <v>57</v>
      </c>
      <c r="H40" s="19" t="s">
        <v>57</v>
      </c>
      <c r="I40" s="19" t="s">
        <v>57</v>
      </c>
      <c r="J40" s="18">
        <f t="shared" si="0"/>
        <v>2.1636567949970788E-4</v>
      </c>
      <c r="K40" s="18">
        <f t="shared" si="1"/>
        <v>100</v>
      </c>
      <c r="L40" s="22"/>
    </row>
    <row r="41" spans="2:12" ht="13.5" customHeight="1" outlineLevel="1" x14ac:dyDescent="0.25">
      <c r="B41" s="95" t="s">
        <v>6</v>
      </c>
      <c r="C41" s="68">
        <f>0</f>
        <v>0</v>
      </c>
      <c r="D41" s="71">
        <f>0</f>
        <v>0</v>
      </c>
      <c r="E41" s="19" t="s">
        <v>57</v>
      </c>
      <c r="F41" s="19" t="s">
        <v>57</v>
      </c>
      <c r="G41" s="19" t="s">
        <v>57</v>
      </c>
      <c r="H41" s="19" t="s">
        <v>57</v>
      </c>
      <c r="I41" s="19" t="s">
        <v>57</v>
      </c>
      <c r="J41" s="18">
        <f t="shared" si="0"/>
        <v>0</v>
      </c>
      <c r="K41" s="18" t="str">
        <f t="shared" si="1"/>
        <v/>
      </c>
      <c r="L41" s="22"/>
    </row>
    <row r="42" spans="2:12" ht="20" outlineLevel="1" x14ac:dyDescent="0.25">
      <c r="B42" s="93" t="s">
        <v>121</v>
      </c>
      <c r="C42" s="68">
        <f>5291917</f>
        <v>5291917</v>
      </c>
      <c r="D42" s="71">
        <f>4100876.94</f>
        <v>4100876.94</v>
      </c>
      <c r="E42" s="19" t="s">
        <v>57</v>
      </c>
      <c r="F42" s="19" t="s">
        <v>57</v>
      </c>
      <c r="G42" s="19" t="s">
        <v>57</v>
      </c>
      <c r="H42" s="19" t="s">
        <v>57</v>
      </c>
      <c r="I42" s="19" t="s">
        <v>57</v>
      </c>
      <c r="J42" s="18">
        <f t="shared" si="0"/>
        <v>4.9905173130165795E-3</v>
      </c>
      <c r="K42" s="18">
        <f t="shared" si="1"/>
        <v>77.493221076596626</v>
      </c>
      <c r="L42" s="22"/>
    </row>
    <row r="43" spans="2:12" ht="13.5" customHeight="1" outlineLevel="1" x14ac:dyDescent="0.25">
      <c r="B43" s="95" t="s">
        <v>6</v>
      </c>
      <c r="C43" s="68">
        <f>527394</f>
        <v>527394</v>
      </c>
      <c r="D43" s="71">
        <f>444000</f>
        <v>444000</v>
      </c>
      <c r="E43" s="19" t="s">
        <v>57</v>
      </c>
      <c r="F43" s="19" t="s">
        <v>57</v>
      </c>
      <c r="G43" s="19" t="s">
        <v>57</v>
      </c>
      <c r="H43" s="19" t="s">
        <v>57</v>
      </c>
      <c r="I43" s="19" t="s">
        <v>57</v>
      </c>
      <c r="J43" s="18">
        <f t="shared" si="0"/>
        <v>5.4032094095936495E-4</v>
      </c>
      <c r="K43" s="18">
        <f t="shared" si="1"/>
        <v>84.187533419037763</v>
      </c>
      <c r="L43" s="22"/>
    </row>
    <row r="44" spans="2:12" ht="20" outlineLevel="1" x14ac:dyDescent="0.25">
      <c r="B44" s="93" t="s">
        <v>9</v>
      </c>
      <c r="C44" s="68">
        <f>540547267.09</f>
        <v>540547267.09000003</v>
      </c>
      <c r="D44" s="71">
        <f>399090302.18</f>
        <v>399090302.18000001</v>
      </c>
      <c r="E44" s="17" t="s">
        <v>57</v>
      </c>
      <c r="F44" s="17" t="s">
        <v>57</v>
      </c>
      <c r="G44" s="17" t="s">
        <v>57</v>
      </c>
      <c r="H44" s="17" t="s">
        <v>57</v>
      </c>
      <c r="I44" s="17" t="s">
        <v>57</v>
      </c>
      <c r="J44" s="18">
        <f t="shared" si="0"/>
        <v>0.48566857567940291</v>
      </c>
      <c r="K44" s="18">
        <f t="shared" si="1"/>
        <v>73.830787144383478</v>
      </c>
      <c r="L44" s="22"/>
    </row>
    <row r="45" spans="2:12" ht="13" customHeight="1" outlineLevel="1" x14ac:dyDescent="0.25">
      <c r="B45" s="95" t="s">
        <v>6</v>
      </c>
      <c r="C45" s="69">
        <f>3807847.02</f>
        <v>3807847.02</v>
      </c>
      <c r="D45" s="69">
        <f>4707320.14</f>
        <v>4707320.1399999997</v>
      </c>
      <c r="E45" s="19" t="s">
        <v>57</v>
      </c>
      <c r="F45" s="19" t="s">
        <v>57</v>
      </c>
      <c r="G45" s="19" t="s">
        <v>57</v>
      </c>
      <c r="H45" s="19" t="s">
        <v>57</v>
      </c>
      <c r="I45" s="19" t="s">
        <v>57</v>
      </c>
      <c r="J45" s="18">
        <f t="shared" si="0"/>
        <v>5.7285217284724537E-3</v>
      </c>
      <c r="K45" s="18">
        <f t="shared" si="1"/>
        <v>123.62156660379701</v>
      </c>
      <c r="L45" s="22"/>
    </row>
    <row r="46" spans="2:12" ht="30" outlineLevel="1" x14ac:dyDescent="0.25">
      <c r="B46" s="93" t="s">
        <v>80</v>
      </c>
      <c r="C46" s="69">
        <f>96910400.75</f>
        <v>96910400.75</v>
      </c>
      <c r="D46" s="69">
        <f>51913490.87</f>
        <v>51913490.869999997</v>
      </c>
      <c r="E46" s="19" t="s">
        <v>57</v>
      </c>
      <c r="F46" s="19" t="s">
        <v>57</v>
      </c>
      <c r="G46" s="19" t="s">
        <v>57</v>
      </c>
      <c r="H46" s="19" t="s">
        <v>57</v>
      </c>
      <c r="I46" s="19" t="s">
        <v>57</v>
      </c>
      <c r="J46" s="18">
        <f>IF($D$5=0,"",100*$D46/$D$5)</f>
        <v>6.3175554584152707E-2</v>
      </c>
      <c r="K46" s="18">
        <f>IF(C46=0,"",100*D46/C46)</f>
        <v>53.568544210152801</v>
      </c>
      <c r="L46" s="22"/>
    </row>
    <row r="47" spans="2:12" ht="13" customHeight="1" outlineLevel="1" x14ac:dyDescent="0.25">
      <c r="B47" s="95" t="s">
        <v>6</v>
      </c>
      <c r="C47" s="69">
        <f>77247778.75</f>
        <v>77247778.75</v>
      </c>
      <c r="D47" s="69">
        <f>34236268.43</f>
        <v>34236268.43</v>
      </c>
      <c r="E47" s="19" t="s">
        <v>57</v>
      </c>
      <c r="F47" s="19" t="s">
        <v>57</v>
      </c>
      <c r="G47" s="19" t="s">
        <v>57</v>
      </c>
      <c r="H47" s="19" t="s">
        <v>57</v>
      </c>
      <c r="I47" s="19" t="s">
        <v>57</v>
      </c>
      <c r="J47" s="18">
        <f>IF($D$5=0,"",100*$D47/$D$5)</f>
        <v>4.1663452191520269E-2</v>
      </c>
      <c r="K47" s="18">
        <f>IF(C47=0,"",100*D47/C47)</f>
        <v>44.320068465399075</v>
      </c>
      <c r="L47" s="22"/>
    </row>
    <row r="48" spans="2:12" ht="13" customHeight="1" outlineLevel="1" x14ac:dyDescent="0.25">
      <c r="B48" s="93" t="s">
        <v>7</v>
      </c>
      <c r="C48" s="69">
        <f>156447471.42</f>
        <v>156447471.41999999</v>
      </c>
      <c r="D48" s="70">
        <f>65115144.71</f>
        <v>65115144.710000001</v>
      </c>
      <c r="E48" s="19" t="s">
        <v>57</v>
      </c>
      <c r="F48" s="19" t="s">
        <v>57</v>
      </c>
      <c r="G48" s="19" t="s">
        <v>57</v>
      </c>
      <c r="H48" s="19" t="s">
        <v>57</v>
      </c>
      <c r="I48" s="19" t="s">
        <v>57</v>
      </c>
      <c r="J48" s="18">
        <f t="shared" si="0"/>
        <v>7.9241162748676611E-2</v>
      </c>
      <c r="K48" s="18">
        <f t="shared" si="1"/>
        <v>41.621091168160476</v>
      </c>
      <c r="L48" s="22"/>
    </row>
    <row r="49" spans="2:12" ht="13" customHeight="1" outlineLevel="1" x14ac:dyDescent="0.25">
      <c r="B49" s="95" t="s">
        <v>6</v>
      </c>
      <c r="C49" s="69">
        <f>128050978.91</f>
        <v>128050978.91</v>
      </c>
      <c r="D49" s="69">
        <f>43588895.48</f>
        <v>43588895.479999997</v>
      </c>
      <c r="E49" s="19" t="s">
        <v>57</v>
      </c>
      <c r="F49" s="19" t="s">
        <v>57</v>
      </c>
      <c r="G49" s="19" t="s">
        <v>57</v>
      </c>
      <c r="H49" s="19" t="s">
        <v>57</v>
      </c>
      <c r="I49" s="19" t="s">
        <v>57</v>
      </c>
      <c r="J49" s="18">
        <f t="shared" si="0"/>
        <v>5.3045029326876152E-2</v>
      </c>
      <c r="K49" s="18">
        <f t="shared" si="1"/>
        <v>34.040267283420178</v>
      </c>
      <c r="L49" s="22"/>
    </row>
    <row r="50" spans="2:12" ht="40" outlineLevel="1" x14ac:dyDescent="0.25">
      <c r="B50" s="93" t="s">
        <v>102</v>
      </c>
      <c r="C50" s="69">
        <f>1118730.97</f>
        <v>1118730.97</v>
      </c>
      <c r="D50" s="69">
        <f>1143780.27</f>
        <v>1143780.27</v>
      </c>
      <c r="E50" s="19" t="s">
        <v>57</v>
      </c>
      <c r="F50" s="19" t="s">
        <v>57</v>
      </c>
      <c r="G50" s="19" t="s">
        <v>57</v>
      </c>
      <c r="H50" s="19" t="s">
        <v>57</v>
      </c>
      <c r="I50" s="19" t="s">
        <v>57</v>
      </c>
      <c r="J50" s="18">
        <f t="shared" si="0"/>
        <v>1.391910882290893E-3</v>
      </c>
      <c r="K50" s="18">
        <f>IF(C50=0,"",100*D50/C50)</f>
        <v>102.23908166232316</v>
      </c>
      <c r="L50" s="22"/>
    </row>
    <row r="51" spans="2:12" ht="13" customHeight="1" outlineLevel="1" x14ac:dyDescent="0.25">
      <c r="B51" s="95" t="s">
        <v>101</v>
      </c>
      <c r="C51" s="69">
        <f>1038730.97</f>
        <v>1038730.97</v>
      </c>
      <c r="D51" s="69">
        <f>1063780.27</f>
        <v>1063780.27</v>
      </c>
      <c r="E51" s="19" t="s">
        <v>57</v>
      </c>
      <c r="F51" s="19" t="s">
        <v>57</v>
      </c>
      <c r="G51" s="19" t="s">
        <v>57</v>
      </c>
      <c r="H51" s="19" t="s">
        <v>57</v>
      </c>
      <c r="I51" s="19" t="s">
        <v>57</v>
      </c>
      <c r="J51" s="18">
        <f t="shared" si="0"/>
        <v>1.2945557577937101E-3</v>
      </c>
      <c r="K51" s="18">
        <f>IF(C51=0,"",100*D51/C51)</f>
        <v>102.41152913732803</v>
      </c>
      <c r="L51" s="22"/>
    </row>
    <row r="52" spans="2:12" ht="40" outlineLevel="1" x14ac:dyDescent="0.25">
      <c r="B52" s="94" t="s">
        <v>100</v>
      </c>
      <c r="C52" s="72">
        <f>1558030974.35</f>
        <v>1558030974.3499999</v>
      </c>
      <c r="D52" s="72">
        <f>731395519.58</f>
        <v>731395519.58000004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25">
        <f>IF($D$5=0,"",100*$D52/$D$5)</f>
        <v>0.89006377331740816</v>
      </c>
      <c r="K52" s="25">
        <f>IF(C52=0,"",100*D52/C52)</f>
        <v>46.943580174016333</v>
      </c>
      <c r="L52" s="22"/>
    </row>
    <row r="53" spans="2:12" ht="13" customHeight="1" outlineLevel="1" x14ac:dyDescent="0.25">
      <c r="B53" s="95" t="s">
        <v>101</v>
      </c>
      <c r="C53" s="69">
        <f>305020121.1</f>
        <v>305020121.10000002</v>
      </c>
      <c r="D53" s="69">
        <f>52577419.39</f>
        <v>52577419.390000001</v>
      </c>
      <c r="E53" s="19" t="s">
        <v>57</v>
      </c>
      <c r="F53" s="19" t="s">
        <v>57</v>
      </c>
      <c r="G53" s="19" t="s">
        <v>57</v>
      </c>
      <c r="H53" s="19" t="s">
        <v>57</v>
      </c>
      <c r="I53" s="19" t="s">
        <v>57</v>
      </c>
      <c r="J53" s="18">
        <f t="shared" si="0"/>
        <v>6.3983515130675586E-2</v>
      </c>
      <c r="K53" s="18">
        <f t="shared" ref="K53:K69" si="4">IF(C53=0,"",100*D53/C53)</f>
        <v>17.237360997821725</v>
      </c>
      <c r="L53" s="22"/>
    </row>
    <row r="54" spans="2:12" ht="20" outlineLevel="1" x14ac:dyDescent="0.25">
      <c r="B54" s="94" t="s">
        <v>117</v>
      </c>
      <c r="C54" s="69">
        <f>1768903116.23</f>
        <v>1768903116.23</v>
      </c>
      <c r="D54" s="69">
        <f>1760279578.23</f>
        <v>1760279578.23</v>
      </c>
      <c r="E54" s="19" t="s">
        <v>57</v>
      </c>
      <c r="F54" s="19" t="s">
        <v>57</v>
      </c>
      <c r="G54" s="19" t="s">
        <v>57</v>
      </c>
      <c r="H54" s="19" t="s">
        <v>57</v>
      </c>
      <c r="I54" s="19" t="s">
        <v>57</v>
      </c>
      <c r="J54" s="18">
        <f t="shared" si="0"/>
        <v>2.1421529686053775</v>
      </c>
      <c r="K54" s="18">
        <f t="shared" si="4"/>
        <v>99.512492350718503</v>
      </c>
      <c r="L54" s="22"/>
    </row>
    <row r="55" spans="2:12" ht="13" customHeight="1" outlineLevel="1" x14ac:dyDescent="0.25">
      <c r="B55" s="95" t="s">
        <v>6</v>
      </c>
      <c r="C55" s="69">
        <f>1493383.07</f>
        <v>1493383.07</v>
      </c>
      <c r="D55" s="69">
        <f>1254278.07</f>
        <v>1254278.07</v>
      </c>
      <c r="E55" s="19" t="s">
        <v>57</v>
      </c>
      <c r="F55" s="19" t="s">
        <v>57</v>
      </c>
      <c r="G55" s="19" t="s">
        <v>57</v>
      </c>
      <c r="H55" s="19" t="s">
        <v>57</v>
      </c>
      <c r="I55" s="19" t="s">
        <v>57</v>
      </c>
      <c r="J55" s="18">
        <f t="shared" si="0"/>
        <v>1.5263799707367033E-3</v>
      </c>
      <c r="K55" s="18">
        <f t="shared" si="4"/>
        <v>83.989037722250316</v>
      </c>
      <c r="L55" s="22"/>
    </row>
    <row r="56" spans="2:12" ht="13.5" customHeight="1" outlineLevel="1" x14ac:dyDescent="0.25">
      <c r="B56" s="90" t="s">
        <v>87</v>
      </c>
      <c r="C56" s="67">
        <f>321690431.34</f>
        <v>321690431.33999997</v>
      </c>
      <c r="D56" s="67">
        <f>142164898.91</f>
        <v>142164898.91</v>
      </c>
      <c r="E56" s="20" t="s">
        <v>57</v>
      </c>
      <c r="F56" s="20" t="s">
        <v>57</v>
      </c>
      <c r="G56" s="20" t="s">
        <v>57</v>
      </c>
      <c r="H56" s="20" t="s">
        <v>57</v>
      </c>
      <c r="I56" s="20" t="s">
        <v>57</v>
      </c>
      <c r="J56" s="16">
        <f t="shared" si="0"/>
        <v>0.17300601790640585</v>
      </c>
      <c r="K56" s="16">
        <f t="shared" si="4"/>
        <v>44.193076653791906</v>
      </c>
      <c r="L56" s="22"/>
    </row>
    <row r="57" spans="2:12" ht="13" customHeight="1" outlineLevel="1" x14ac:dyDescent="0.25">
      <c r="B57" s="93" t="s">
        <v>88</v>
      </c>
      <c r="C57" s="69">
        <f>260994375.79</f>
        <v>260994375.78999999</v>
      </c>
      <c r="D57" s="69">
        <f>110987913.04</f>
        <v>110987913.04000001</v>
      </c>
      <c r="E57" s="19" t="s">
        <v>57</v>
      </c>
      <c r="F57" s="19" t="s">
        <v>57</v>
      </c>
      <c r="G57" s="19" t="s">
        <v>57</v>
      </c>
      <c r="H57" s="19" t="s">
        <v>57</v>
      </c>
      <c r="I57" s="19" t="s">
        <v>57</v>
      </c>
      <c r="J57" s="18">
        <f t="shared" si="0"/>
        <v>0.13506552614614634</v>
      </c>
      <c r="K57" s="18">
        <f t="shared" si="4"/>
        <v>42.525020971832184</v>
      </c>
      <c r="L57" s="22"/>
    </row>
    <row r="58" spans="2:12" ht="13.5" customHeight="1" outlineLevel="1" x14ac:dyDescent="0.25">
      <c r="B58" s="90" t="s">
        <v>89</v>
      </c>
      <c r="C58" s="73">
        <f>5686023594.21001</f>
        <v>5686023594.2100096</v>
      </c>
      <c r="D58" s="73">
        <f>2613834476.02</f>
        <v>2613834476.02</v>
      </c>
      <c r="E58" s="20" t="s">
        <v>57</v>
      </c>
      <c r="F58" s="20" t="s">
        <v>57</v>
      </c>
      <c r="G58" s="20" t="s">
        <v>57</v>
      </c>
      <c r="H58" s="20" t="s">
        <v>57</v>
      </c>
      <c r="I58" s="20" t="s">
        <v>57</v>
      </c>
      <c r="J58" s="23">
        <f t="shared" si="0"/>
        <v>3.1808772603494484</v>
      </c>
      <c r="K58" s="23">
        <f t="shared" si="4"/>
        <v>45.969462361739538</v>
      </c>
      <c r="L58" s="22"/>
    </row>
    <row r="59" spans="2:12" ht="13" customHeight="1" outlineLevel="1" x14ac:dyDescent="0.25">
      <c r="B59" s="94" t="s">
        <v>90</v>
      </c>
      <c r="C59" s="72">
        <f>5069992695.41</f>
        <v>5069992695.4099998</v>
      </c>
      <c r="D59" s="72">
        <f>2261809845.37</f>
        <v>2261809845.3699999</v>
      </c>
      <c r="E59" s="24" t="s">
        <v>57</v>
      </c>
      <c r="F59" s="24" t="s">
        <v>57</v>
      </c>
      <c r="G59" s="24" t="s">
        <v>57</v>
      </c>
      <c r="H59" s="24" t="s">
        <v>57</v>
      </c>
      <c r="I59" s="24" t="s">
        <v>57</v>
      </c>
      <c r="J59" s="25">
        <f t="shared" si="0"/>
        <v>2.7524847385618787</v>
      </c>
      <c r="K59" s="25">
        <f t="shared" si="4"/>
        <v>44.611698305160814</v>
      </c>
      <c r="L59" s="22"/>
    </row>
    <row r="60" spans="2:12" s="26" customFormat="1" ht="25.5" customHeight="1" x14ac:dyDescent="0.25">
      <c r="B60" s="88" t="s">
        <v>64</v>
      </c>
      <c r="C60" s="67">
        <f>C61+C62+C63+C67</f>
        <v>20904967534</v>
      </c>
      <c r="D60" s="67">
        <f>D61+D62+D63+D67</f>
        <v>17452411848</v>
      </c>
      <c r="E60" s="20" t="s">
        <v>57</v>
      </c>
      <c r="F60" s="20" t="s">
        <v>57</v>
      </c>
      <c r="G60" s="20" t="s">
        <v>57</v>
      </c>
      <c r="H60" s="20" t="s">
        <v>57</v>
      </c>
      <c r="I60" s="20" t="s">
        <v>57</v>
      </c>
      <c r="J60" s="16">
        <f t="shared" si="0"/>
        <v>21.238521602976867</v>
      </c>
      <c r="K60" s="16">
        <f t="shared" si="4"/>
        <v>83.48452022044647</v>
      </c>
      <c r="L60" s="27"/>
    </row>
    <row r="61" spans="2:12" ht="13" customHeight="1" outlineLevel="1" x14ac:dyDescent="0.25">
      <c r="B61" s="10" t="s">
        <v>40</v>
      </c>
      <c r="C61" s="69">
        <f>19426475080</f>
        <v>19426475080</v>
      </c>
      <c r="D61" s="69">
        <f>16322605413</f>
        <v>16322605413</v>
      </c>
      <c r="E61" s="19" t="s">
        <v>57</v>
      </c>
      <c r="F61" s="19" t="s">
        <v>57</v>
      </c>
      <c r="G61" s="19" t="s">
        <v>57</v>
      </c>
      <c r="H61" s="19" t="s">
        <v>57</v>
      </c>
      <c r="I61" s="19" t="s">
        <v>57</v>
      </c>
      <c r="J61" s="18">
        <f t="shared" si="0"/>
        <v>19.863616026262576</v>
      </c>
      <c r="K61" s="18">
        <f t="shared" si="4"/>
        <v>84.022476263871951</v>
      </c>
      <c r="L61" s="22"/>
    </row>
    <row r="62" spans="2:12" s="26" customFormat="1" ht="13" customHeight="1" outlineLevel="1" x14ac:dyDescent="0.25">
      <c r="B62" s="10" t="s">
        <v>36</v>
      </c>
      <c r="C62" s="68">
        <f>105622096</f>
        <v>105622096</v>
      </c>
      <c r="D62" s="71">
        <f>102462339</f>
        <v>102462339</v>
      </c>
      <c r="E62" s="17" t="s">
        <v>57</v>
      </c>
      <c r="F62" s="17" t="s">
        <v>57</v>
      </c>
      <c r="G62" s="17" t="s">
        <v>57</v>
      </c>
      <c r="H62" s="17" t="s">
        <v>57</v>
      </c>
      <c r="I62" s="17" t="s">
        <v>57</v>
      </c>
      <c r="J62" s="18">
        <f t="shared" si="0"/>
        <v>0.12469042212021945</v>
      </c>
      <c r="K62" s="18">
        <f t="shared" si="4"/>
        <v>97.008431834187419</v>
      </c>
      <c r="L62" s="27"/>
    </row>
    <row r="63" spans="2:12" s="26" customFormat="1" ht="25.5" customHeight="1" outlineLevel="1" x14ac:dyDescent="0.25">
      <c r="B63" s="90" t="s">
        <v>110</v>
      </c>
      <c r="C63" s="67">
        <f>C64+C65+C66</f>
        <v>385441121</v>
      </c>
      <c r="D63" s="67">
        <f>D64+D65+D66</f>
        <v>286772103</v>
      </c>
      <c r="E63" s="20" t="s">
        <v>57</v>
      </c>
      <c r="F63" s="20" t="s">
        <v>57</v>
      </c>
      <c r="G63" s="20" t="s">
        <v>57</v>
      </c>
      <c r="H63" s="20" t="s">
        <v>57</v>
      </c>
      <c r="I63" s="20" t="s">
        <v>57</v>
      </c>
      <c r="J63" s="16">
        <f t="shared" si="0"/>
        <v>0.3489841723735494</v>
      </c>
      <c r="K63" s="16">
        <f t="shared" si="4"/>
        <v>74.401014156452703</v>
      </c>
      <c r="L63" s="27"/>
    </row>
    <row r="64" spans="2:12" ht="13" customHeight="1" outlineLevel="1" x14ac:dyDescent="0.25">
      <c r="B64" s="93" t="s">
        <v>41</v>
      </c>
      <c r="C64" s="68">
        <f>286421192</f>
        <v>286421192</v>
      </c>
      <c r="D64" s="71">
        <f>214815924</f>
        <v>214815924</v>
      </c>
      <c r="E64" s="17" t="s">
        <v>57</v>
      </c>
      <c r="F64" s="17" t="s">
        <v>57</v>
      </c>
      <c r="G64" s="17" t="s">
        <v>57</v>
      </c>
      <c r="H64" s="17" t="s">
        <v>57</v>
      </c>
      <c r="I64" s="17" t="s">
        <v>57</v>
      </c>
      <c r="J64" s="18">
        <f t="shared" si="0"/>
        <v>0.26141788781246716</v>
      </c>
      <c r="K64" s="18">
        <f t="shared" si="4"/>
        <v>75.000010474085315</v>
      </c>
      <c r="L64" s="22"/>
    </row>
    <row r="65" spans="1:26" ht="13" customHeight="1" outlineLevel="1" x14ac:dyDescent="0.25">
      <c r="B65" s="93" t="s">
        <v>39</v>
      </c>
      <c r="C65" s="69">
        <f>3078384</f>
        <v>3078384</v>
      </c>
      <c r="D65" s="69">
        <f>0</f>
        <v>0</v>
      </c>
      <c r="E65" s="19" t="s">
        <v>57</v>
      </c>
      <c r="F65" s="19" t="s">
        <v>57</v>
      </c>
      <c r="G65" s="19" t="s">
        <v>57</v>
      </c>
      <c r="H65" s="19" t="s">
        <v>57</v>
      </c>
      <c r="I65" s="19" t="s">
        <v>57</v>
      </c>
      <c r="J65" s="18">
        <f t="shared" si="0"/>
        <v>0</v>
      </c>
      <c r="K65" s="18">
        <f t="shared" si="4"/>
        <v>0</v>
      </c>
      <c r="L65" s="22"/>
    </row>
    <row r="66" spans="1:26" ht="13" customHeight="1" outlineLevel="1" x14ac:dyDescent="0.25">
      <c r="B66" s="93" t="s">
        <v>38</v>
      </c>
      <c r="C66" s="68">
        <f>95941545</f>
        <v>95941545</v>
      </c>
      <c r="D66" s="71">
        <f>71956179</f>
        <v>71956179</v>
      </c>
      <c r="E66" s="17" t="s">
        <v>57</v>
      </c>
      <c r="F66" s="17" t="s">
        <v>57</v>
      </c>
      <c r="G66" s="17" t="s">
        <v>57</v>
      </c>
      <c r="H66" s="17" t="s">
        <v>57</v>
      </c>
      <c r="I66" s="17" t="s">
        <v>57</v>
      </c>
      <c r="J66" s="18">
        <f t="shared" si="0"/>
        <v>8.7566284561082203E-2</v>
      </c>
      <c r="K66" s="18">
        <f t="shared" si="4"/>
        <v>75.000021106601949</v>
      </c>
      <c r="L66" s="22"/>
    </row>
    <row r="67" spans="1:26" s="26" customFormat="1" ht="40.5" customHeight="1" outlineLevel="1" x14ac:dyDescent="0.25">
      <c r="B67" s="90" t="s">
        <v>111</v>
      </c>
      <c r="C67" s="67">
        <f>C68+C69</f>
        <v>987429237</v>
      </c>
      <c r="D67" s="67">
        <f>D68+D69</f>
        <v>740571993</v>
      </c>
      <c r="E67" s="20" t="s">
        <v>57</v>
      </c>
      <c r="F67" s="20" t="s">
        <v>57</v>
      </c>
      <c r="G67" s="20" t="s">
        <v>57</v>
      </c>
      <c r="H67" s="20" t="s">
        <v>57</v>
      </c>
      <c r="I67" s="20" t="s">
        <v>57</v>
      </c>
      <c r="J67" s="16">
        <f t="shared" si="0"/>
        <v>0.901230982220523</v>
      </c>
      <c r="K67" s="16">
        <f t="shared" si="4"/>
        <v>75.00000660806846</v>
      </c>
      <c r="L67" s="27"/>
    </row>
    <row r="68" spans="1:26" ht="13" customHeight="1" outlineLevel="1" x14ac:dyDescent="0.25">
      <c r="B68" s="93" t="s">
        <v>38</v>
      </c>
      <c r="C68" s="68">
        <f>841010099</f>
        <v>841010099</v>
      </c>
      <c r="D68" s="71">
        <f>630757611</f>
        <v>630757611</v>
      </c>
      <c r="E68" s="17" t="s">
        <v>57</v>
      </c>
      <c r="F68" s="17" t="s">
        <v>57</v>
      </c>
      <c r="G68" s="17" t="s">
        <v>57</v>
      </c>
      <c r="H68" s="17" t="s">
        <v>57</v>
      </c>
      <c r="I68" s="17" t="s">
        <v>57</v>
      </c>
      <c r="J68" s="18">
        <f t="shared" si="0"/>
        <v>0.76759357183063304</v>
      </c>
      <c r="K68" s="18">
        <f t="shared" si="4"/>
        <v>75.000004369745383</v>
      </c>
      <c r="L68" s="22"/>
    </row>
    <row r="69" spans="1:26" ht="13" customHeight="1" outlineLevel="1" x14ac:dyDescent="0.25">
      <c r="B69" s="93" t="s">
        <v>41</v>
      </c>
      <c r="C69" s="69">
        <f>146419138</f>
        <v>146419138</v>
      </c>
      <c r="D69" s="69">
        <f>109814382</f>
        <v>109814382</v>
      </c>
      <c r="E69" s="19" t="s">
        <v>57</v>
      </c>
      <c r="F69" s="19" t="s">
        <v>57</v>
      </c>
      <c r="G69" s="19" t="s">
        <v>57</v>
      </c>
      <c r="H69" s="19" t="s">
        <v>57</v>
      </c>
      <c r="I69" s="19" t="s">
        <v>57</v>
      </c>
      <c r="J69" s="18">
        <f t="shared" si="0"/>
        <v>0.13363741038988997</v>
      </c>
      <c r="K69" s="18">
        <f t="shared" si="4"/>
        <v>75.000019464668611</v>
      </c>
      <c r="L69" s="22"/>
    </row>
    <row r="70" spans="1:26" ht="11.25" customHeight="1" x14ac:dyDescent="0.25">
      <c r="B70" s="28"/>
      <c r="C70" s="29"/>
      <c r="D70" s="29"/>
      <c r="E70" s="29"/>
      <c r="F70" s="29"/>
      <c r="G70" s="29"/>
      <c r="H70" s="29"/>
      <c r="I70" s="29"/>
      <c r="J70" s="21"/>
      <c r="K70" s="21"/>
      <c r="L70" s="22"/>
    </row>
    <row r="71" spans="1:26" ht="13.5" customHeight="1" x14ac:dyDescent="0.25">
      <c r="B71" s="65" t="s">
        <v>5</v>
      </c>
      <c r="C71" s="20">
        <f t="shared" ref="C71:I71" si="5">+C5</f>
        <v>106924621790.66</v>
      </c>
      <c r="D71" s="20">
        <f t="shared" si="5"/>
        <v>82173383695.190002</v>
      </c>
      <c r="E71" s="20">
        <f t="shared" si="5"/>
        <v>402774033.61000001</v>
      </c>
      <c r="F71" s="20">
        <f t="shared" si="5"/>
        <v>101551999.87</v>
      </c>
      <c r="G71" s="20">
        <f t="shared" si="5"/>
        <v>18210470.550000001</v>
      </c>
      <c r="H71" s="20">
        <f t="shared" si="5"/>
        <v>90831738.950000003</v>
      </c>
      <c r="I71" s="20">
        <f t="shared" si="5"/>
        <v>212780.77</v>
      </c>
      <c r="J71" s="16">
        <f t="shared" si="0"/>
        <v>100</v>
      </c>
      <c r="K71" s="16">
        <f>IF(C71=0,"",100*D71/C71)</f>
        <v>76.851694510616397</v>
      </c>
      <c r="L71" s="22"/>
    </row>
    <row r="72" spans="1:26" ht="13" x14ac:dyDescent="0.25">
      <c r="B72" s="100" t="s">
        <v>75</v>
      </c>
      <c r="C72" s="19">
        <f>10033038019.42</f>
        <v>10033038019.42</v>
      </c>
      <c r="D72" s="19">
        <f>4745897011.09</f>
        <v>4745897011.0900002</v>
      </c>
      <c r="E72" s="19">
        <f>0</f>
        <v>0</v>
      </c>
      <c r="F72" s="19">
        <f>0</f>
        <v>0</v>
      </c>
      <c r="G72" s="19">
        <f>0</f>
        <v>0</v>
      </c>
      <c r="H72" s="19">
        <f>0</f>
        <v>0</v>
      </c>
      <c r="I72" s="19">
        <f>0</f>
        <v>0</v>
      </c>
      <c r="J72" s="18">
        <f t="shared" si="0"/>
        <v>5.7754674295684376</v>
      </c>
      <c r="K72" s="18">
        <f>IF(C72=0,"",100*D72/C72)</f>
        <v>47.302691387233033</v>
      </c>
      <c r="L72" s="22"/>
    </row>
    <row r="73" spans="1:26" s="26" customFormat="1" ht="13" x14ac:dyDescent="0.25">
      <c r="A73" s="9"/>
      <c r="B73" s="100" t="s">
        <v>76</v>
      </c>
      <c r="C73" s="19">
        <f>C71-C72</f>
        <v>96891583771.240005</v>
      </c>
      <c r="D73" s="19">
        <f t="shared" ref="D73:I73" si="6">D71-D72</f>
        <v>77427486684.100006</v>
      </c>
      <c r="E73" s="19">
        <f t="shared" si="6"/>
        <v>402774033.61000001</v>
      </c>
      <c r="F73" s="19">
        <f t="shared" si="6"/>
        <v>101551999.87</v>
      </c>
      <c r="G73" s="19">
        <f t="shared" si="6"/>
        <v>18210470.550000001</v>
      </c>
      <c r="H73" s="19">
        <f t="shared" si="6"/>
        <v>90831738.950000003</v>
      </c>
      <c r="I73" s="19">
        <f t="shared" si="6"/>
        <v>212780.77</v>
      </c>
      <c r="J73" s="18">
        <f t="shared" si="0"/>
        <v>94.224532570431577</v>
      </c>
      <c r="K73" s="18">
        <f>IF(C73=0,"",100*D73/C73)</f>
        <v>79.911467715199578</v>
      </c>
      <c r="L73" s="30"/>
    </row>
    <row r="74" spans="1:26" s="26" customFormat="1" x14ac:dyDescent="0.25">
      <c r="A74" s="9"/>
      <c r="B74" s="106" t="s">
        <v>119</v>
      </c>
      <c r="C74" s="29"/>
      <c r="D74" s="29"/>
      <c r="E74" s="29"/>
      <c r="F74" s="29"/>
      <c r="G74" s="29"/>
      <c r="H74" s="29"/>
      <c r="I74" s="29"/>
      <c r="J74" s="21"/>
      <c r="K74" s="21"/>
      <c r="L74" s="30"/>
    </row>
    <row r="75" spans="1:26" s="26" customFormat="1" x14ac:dyDescent="0.25">
      <c r="A75" s="9"/>
      <c r="B75" s="105" t="s">
        <v>118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ht="17.5" x14ac:dyDescent="0.25">
      <c r="B76" s="87" t="str">
        <f>CONCATENATE("Informacja z wykonania budżetów miast na prawach powiatu za ",$D$133," ",$C$134," rok    ",$C$136,"")</f>
        <v xml:space="preserve">Informacja z wykonania budżetów miast na prawach powiatu za III Kwartały 2022 rok    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</row>
    <row r="77" spans="1:26" s="26" customFormat="1" x14ac:dyDescent="0.25">
      <c r="B77" s="31"/>
      <c r="C77" s="32"/>
      <c r="D77" s="32"/>
      <c r="E77" s="32"/>
      <c r="F77" s="33"/>
      <c r="G77" s="33"/>
      <c r="H77" s="33"/>
      <c r="I77" s="33"/>
      <c r="J77" s="33"/>
      <c r="K77" s="1"/>
      <c r="L77" s="1"/>
      <c r="M77" s="34"/>
    </row>
    <row r="78" spans="1:26" ht="29.25" customHeight="1" x14ac:dyDescent="0.25">
      <c r="B78" s="110" t="s">
        <v>0</v>
      </c>
      <c r="C78" s="107" t="s">
        <v>47</v>
      </c>
      <c r="D78" s="107" t="s">
        <v>49</v>
      </c>
      <c r="E78" s="107" t="s">
        <v>48</v>
      </c>
      <c r="F78" s="107" t="s">
        <v>10</v>
      </c>
      <c r="G78" s="107"/>
      <c r="H78" s="107"/>
      <c r="I78" s="113" t="s">
        <v>86</v>
      </c>
      <c r="J78" s="107" t="s">
        <v>2</v>
      </c>
      <c r="K78" s="111" t="s">
        <v>16</v>
      </c>
      <c r="M78" s="35"/>
      <c r="N78" s="52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" customHeight="1" x14ac:dyDescent="0.25">
      <c r="B79" s="110"/>
      <c r="C79" s="107"/>
      <c r="D79" s="107"/>
      <c r="E79" s="108"/>
      <c r="F79" s="112" t="s">
        <v>50</v>
      </c>
      <c r="G79" s="127" t="s">
        <v>28</v>
      </c>
      <c r="H79" s="108"/>
      <c r="I79" s="114"/>
      <c r="J79" s="107"/>
      <c r="K79" s="111"/>
      <c r="L79" s="2"/>
      <c r="M79" s="3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58.5" customHeight="1" x14ac:dyDescent="0.25">
      <c r="B80" s="110"/>
      <c r="C80" s="107"/>
      <c r="D80" s="107"/>
      <c r="E80" s="108"/>
      <c r="F80" s="108"/>
      <c r="G80" s="7" t="s">
        <v>45</v>
      </c>
      <c r="H80" s="7" t="s">
        <v>46</v>
      </c>
      <c r="I80" s="115"/>
      <c r="J80" s="107"/>
      <c r="K80" s="111"/>
      <c r="L80" s="2"/>
      <c r="M80" s="35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13.5" customHeight="1" x14ac:dyDescent="0.25">
      <c r="B81" s="110"/>
      <c r="C81" s="116" t="s">
        <v>79</v>
      </c>
      <c r="D81" s="117"/>
      <c r="E81" s="117"/>
      <c r="F81" s="117"/>
      <c r="G81" s="117"/>
      <c r="H81" s="117"/>
      <c r="I81" s="118"/>
      <c r="J81" s="124" t="s">
        <v>4</v>
      </c>
      <c r="K81" s="124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1.25" customHeight="1" x14ac:dyDescent="0.25">
      <c r="B82" s="6">
        <v>1</v>
      </c>
      <c r="C82" s="8">
        <v>2</v>
      </c>
      <c r="D82" s="8">
        <v>3</v>
      </c>
      <c r="E82" s="8">
        <v>4</v>
      </c>
      <c r="F82" s="6">
        <v>5</v>
      </c>
      <c r="G82" s="6">
        <v>6</v>
      </c>
      <c r="H82" s="8">
        <v>7</v>
      </c>
      <c r="I82" s="8">
        <v>8</v>
      </c>
      <c r="J82" s="6">
        <v>9</v>
      </c>
      <c r="K82" s="8">
        <v>10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25.5" customHeight="1" x14ac:dyDescent="0.25">
      <c r="B83" s="65" t="s">
        <v>65</v>
      </c>
      <c r="C83" s="74">
        <f>121518726325.79</f>
        <v>121518726325.78999</v>
      </c>
      <c r="D83" s="74">
        <f>80054002815.6</f>
        <v>80054002815.600006</v>
      </c>
      <c r="E83" s="74">
        <f>105953691528.43</f>
        <v>105953691528.42999</v>
      </c>
      <c r="F83" s="74">
        <f>2962342038.11</f>
        <v>2962342038.1100001</v>
      </c>
      <c r="G83" s="74">
        <f>512345.35</f>
        <v>512345.35</v>
      </c>
      <c r="H83" s="74">
        <f>919005.7</f>
        <v>919005.7</v>
      </c>
      <c r="I83" s="74">
        <f>0</f>
        <v>0</v>
      </c>
      <c r="J83" s="43">
        <f>IF($D$83=0,"",100*$D83/$D$83)</f>
        <v>100</v>
      </c>
      <c r="K83" s="43">
        <f>IF(C83=0,"",100*D83/C83)</f>
        <v>65.877914652410325</v>
      </c>
      <c r="N83" s="53"/>
      <c r="O83" s="54"/>
    </row>
    <row r="84" spans="2:26" ht="13" x14ac:dyDescent="0.25">
      <c r="B84" s="88" t="s">
        <v>12</v>
      </c>
      <c r="C84" s="75">
        <f>23812985183.22</f>
        <v>23812985183.220001</v>
      </c>
      <c r="D84" s="75">
        <f>9342939777.75</f>
        <v>9342939777.75</v>
      </c>
      <c r="E84" s="75">
        <f>17559384424.89</f>
        <v>17559384424.889999</v>
      </c>
      <c r="F84" s="75">
        <f>719159492.97</f>
        <v>719159492.97000003</v>
      </c>
      <c r="G84" s="75">
        <f>567.01</f>
        <v>567.01</v>
      </c>
      <c r="H84" s="75">
        <f>41.26</f>
        <v>41.26</v>
      </c>
      <c r="I84" s="75">
        <f>0</f>
        <v>0</v>
      </c>
      <c r="J84" s="43">
        <f t="shared" ref="J84:J92" si="7">IF($D$83=0,"",100*$D84/$D$83)</f>
        <v>11.670796523780265</v>
      </c>
      <c r="K84" s="43">
        <f t="shared" ref="K84:K92" si="8">IF(C84=0,"",100*D84/C84)</f>
        <v>39.234643224544449</v>
      </c>
      <c r="N84" s="55"/>
      <c r="O84" s="54"/>
    </row>
    <row r="85" spans="2:26" ht="13" customHeight="1" outlineLevel="1" x14ac:dyDescent="0.25">
      <c r="B85" s="10" t="s">
        <v>11</v>
      </c>
      <c r="C85" s="69">
        <f>21202732793.77</f>
        <v>21202732793.77</v>
      </c>
      <c r="D85" s="69">
        <f>7750822073.51</f>
        <v>7750822073.5100002</v>
      </c>
      <c r="E85" s="69">
        <f>15829243284.95</f>
        <v>15829243284.950001</v>
      </c>
      <c r="F85" s="69">
        <f>684535707.28</f>
        <v>684535707.27999997</v>
      </c>
      <c r="G85" s="69">
        <f>567.01</f>
        <v>567.01</v>
      </c>
      <c r="H85" s="69">
        <f>41.26</f>
        <v>41.26</v>
      </c>
      <c r="I85" s="69">
        <f>0</f>
        <v>0</v>
      </c>
      <c r="J85" s="43">
        <f t="shared" si="7"/>
        <v>9.6819919065928435</v>
      </c>
      <c r="K85" s="43">
        <f t="shared" si="8"/>
        <v>36.555769243988323</v>
      </c>
      <c r="N85" s="29"/>
      <c r="O85" s="54"/>
    </row>
    <row r="86" spans="2:26" ht="25.5" customHeight="1" x14ac:dyDescent="0.25">
      <c r="B86" s="88" t="s">
        <v>66</v>
      </c>
      <c r="C86" s="75">
        <f t="shared" ref="C86:I86" si="9">C83-C84</f>
        <v>97705741142.569992</v>
      </c>
      <c r="D86" s="75">
        <f t="shared" si="9"/>
        <v>70711063037.850006</v>
      </c>
      <c r="E86" s="75">
        <f>E83-E84</f>
        <v>88394307103.539993</v>
      </c>
      <c r="F86" s="75">
        <f t="shared" si="9"/>
        <v>2243182545.1400003</v>
      </c>
      <c r="G86" s="75">
        <f t="shared" si="9"/>
        <v>511778.33999999997</v>
      </c>
      <c r="H86" s="75">
        <f t="shared" si="9"/>
        <v>918964.44</v>
      </c>
      <c r="I86" s="75">
        <f t="shared" si="9"/>
        <v>0</v>
      </c>
      <c r="J86" s="43">
        <f t="shared" si="7"/>
        <v>88.329203476219746</v>
      </c>
      <c r="K86" s="43">
        <f t="shared" si="8"/>
        <v>72.371451473532176</v>
      </c>
      <c r="N86" s="55"/>
      <c r="O86" s="54"/>
    </row>
    <row r="87" spans="2:26" ht="24" customHeight="1" outlineLevel="1" x14ac:dyDescent="0.25">
      <c r="B87" s="10" t="s">
        <v>107</v>
      </c>
      <c r="C87" s="69">
        <f>36842769185.13</f>
        <v>36842769185.129997</v>
      </c>
      <c r="D87" s="69">
        <f>27491759331.26</f>
        <v>27491759331.259998</v>
      </c>
      <c r="E87" s="69">
        <f>35151685052.43</f>
        <v>35151685052.43</v>
      </c>
      <c r="F87" s="69">
        <f>1025925007.29</f>
        <v>1025925007.29</v>
      </c>
      <c r="G87" s="69">
        <f>7394.77</f>
        <v>7394.77</v>
      </c>
      <c r="H87" s="69">
        <f>22373.57</f>
        <v>22373.57</v>
      </c>
      <c r="I87" s="69">
        <f>0</f>
        <v>0</v>
      </c>
      <c r="J87" s="43">
        <f t="shared" si="7"/>
        <v>34.341517431159261</v>
      </c>
      <c r="K87" s="43">
        <f t="shared" si="8"/>
        <v>74.619144921266852</v>
      </c>
      <c r="N87" s="29"/>
      <c r="O87" s="54"/>
    </row>
    <row r="88" spans="2:26" ht="13" customHeight="1" outlineLevel="1" x14ac:dyDescent="0.25">
      <c r="B88" s="10" t="s">
        <v>44</v>
      </c>
      <c r="C88" s="76">
        <f>11192092758.11</f>
        <v>11192092758.110001</v>
      </c>
      <c r="D88" s="76">
        <f>8866237321.85</f>
        <v>8866237321.8500004</v>
      </c>
      <c r="E88" s="76">
        <f>10186898316.5</f>
        <v>10186898316.5</v>
      </c>
      <c r="F88" s="76">
        <f>51954584.91</f>
        <v>51954584.909999996</v>
      </c>
      <c r="G88" s="76">
        <f>0</f>
        <v>0</v>
      </c>
      <c r="H88" s="76">
        <f>0</f>
        <v>0</v>
      </c>
      <c r="I88" s="76">
        <f>0</f>
        <v>0</v>
      </c>
      <c r="J88" s="43">
        <f t="shared" si="7"/>
        <v>11.075320421232265</v>
      </c>
      <c r="K88" s="43">
        <f t="shared" si="8"/>
        <v>79.218761973048856</v>
      </c>
      <c r="N88" s="56"/>
      <c r="O88" s="54"/>
    </row>
    <row r="89" spans="2:26" ht="13" customHeight="1" outlineLevel="1" x14ac:dyDescent="0.25">
      <c r="B89" s="10" t="s">
        <v>43</v>
      </c>
      <c r="C89" s="69">
        <f>1774558901.32</f>
        <v>1774558901.3199999</v>
      </c>
      <c r="D89" s="69">
        <f>1103590657.73</f>
        <v>1103590657.73</v>
      </c>
      <c r="E89" s="69">
        <f>1455334236.94</f>
        <v>1455334236.9400001</v>
      </c>
      <c r="F89" s="69">
        <f>64636207.37</f>
        <v>64636207.369999997</v>
      </c>
      <c r="G89" s="69">
        <f>0</f>
        <v>0</v>
      </c>
      <c r="H89" s="69">
        <f>0</f>
        <v>0</v>
      </c>
      <c r="I89" s="69">
        <f>0</f>
        <v>0</v>
      </c>
      <c r="J89" s="43">
        <f t="shared" si="7"/>
        <v>1.3785577471648238</v>
      </c>
      <c r="K89" s="43">
        <f t="shared" si="8"/>
        <v>62.189576063612073</v>
      </c>
      <c r="N89" s="29"/>
      <c r="O89" s="54"/>
    </row>
    <row r="90" spans="2:26" ht="22.5" customHeight="1" outlineLevel="1" x14ac:dyDescent="0.25">
      <c r="B90" s="10" t="s">
        <v>72</v>
      </c>
      <c r="C90" s="76">
        <f>103394978.22</f>
        <v>103394978.22</v>
      </c>
      <c r="D90" s="76">
        <f>16851502.12</f>
        <v>16851502.120000001</v>
      </c>
      <c r="E90" s="76">
        <f>31015707.43</f>
        <v>31015707.43</v>
      </c>
      <c r="F90" s="76">
        <f>146344.19</f>
        <v>146344.19</v>
      </c>
      <c r="G90" s="76">
        <f>0</f>
        <v>0</v>
      </c>
      <c r="H90" s="76">
        <f>0</f>
        <v>0</v>
      </c>
      <c r="I90" s="76">
        <f>0</f>
        <v>0</v>
      </c>
      <c r="J90" s="43">
        <f t="shared" si="7"/>
        <v>2.105016804570848E-2</v>
      </c>
      <c r="K90" s="43">
        <f t="shared" si="8"/>
        <v>16.298182378010662</v>
      </c>
      <c r="N90" s="56"/>
      <c r="O90" s="54"/>
    </row>
    <row r="91" spans="2:26" ht="22.5" customHeight="1" outlineLevel="1" x14ac:dyDescent="0.25">
      <c r="B91" s="10" t="s">
        <v>73</v>
      </c>
      <c r="C91" s="76">
        <f>12973225093.9</f>
        <v>12973225093.9</v>
      </c>
      <c r="D91" s="76">
        <f>10625342555.26</f>
        <v>10625342555.26</v>
      </c>
      <c r="E91" s="76">
        <f>11604459792.83</f>
        <v>11604459792.83</v>
      </c>
      <c r="F91" s="76">
        <f>63666203.61</f>
        <v>63666203.609999999</v>
      </c>
      <c r="G91" s="76">
        <f>16974.02</f>
        <v>16974.02</v>
      </c>
      <c r="H91" s="76">
        <f>33715.3</f>
        <v>33715.300000000003</v>
      </c>
      <c r="I91" s="77">
        <f>0</f>
        <v>0</v>
      </c>
      <c r="J91" s="43">
        <f t="shared" si="7"/>
        <v>13.272718641858411</v>
      </c>
      <c r="K91" s="43">
        <f t="shared" si="8"/>
        <v>81.902090485241231</v>
      </c>
      <c r="N91" s="56"/>
      <c r="O91" s="54"/>
    </row>
    <row r="92" spans="2:26" ht="13" customHeight="1" outlineLevel="1" x14ac:dyDescent="0.25">
      <c r="B92" s="10" t="s">
        <v>42</v>
      </c>
      <c r="C92" s="69">
        <f t="shared" ref="C92:I92" si="10">C86-C87-C88-C89-C90-C91</f>
        <v>34819700225.889992</v>
      </c>
      <c r="D92" s="69">
        <f t="shared" si="10"/>
        <v>22607281669.630013</v>
      </c>
      <c r="E92" s="69">
        <f>E86-E87-E88-E89-E90-E91</f>
        <v>29964913997.409988</v>
      </c>
      <c r="F92" s="69">
        <f t="shared" si="10"/>
        <v>1036854197.7700003</v>
      </c>
      <c r="G92" s="69">
        <f t="shared" si="10"/>
        <v>487409.54999999993</v>
      </c>
      <c r="H92" s="69">
        <f t="shared" si="10"/>
        <v>862875.57</v>
      </c>
      <c r="I92" s="77">
        <f t="shared" si="10"/>
        <v>0</v>
      </c>
      <c r="J92" s="43">
        <f t="shared" si="7"/>
        <v>28.24003906675928</v>
      </c>
      <c r="K92" s="43">
        <f t="shared" si="8"/>
        <v>64.92669817076856</v>
      </c>
      <c r="N92" s="29"/>
      <c r="O92" s="54"/>
    </row>
    <row r="93" spans="2:26" ht="13" x14ac:dyDescent="0.25">
      <c r="B93" s="65" t="s">
        <v>13</v>
      </c>
      <c r="C93" s="75">
        <f>C5-C83</f>
        <v>-14594104535.12999</v>
      </c>
      <c r="D93" s="75">
        <f>D5-D83</f>
        <v>2119380879.5899963</v>
      </c>
      <c r="E93" s="61"/>
      <c r="F93" s="55"/>
      <c r="G93" s="55"/>
      <c r="H93" s="55"/>
      <c r="I93" s="128"/>
      <c r="J93" s="128"/>
      <c r="K93" s="37"/>
      <c r="L93" s="37"/>
      <c r="M93" s="4"/>
      <c r="N93" s="54"/>
      <c r="O93" s="55"/>
    </row>
    <row r="94" spans="2:26" ht="39" x14ac:dyDescent="0.25">
      <c r="B94" s="96" t="s">
        <v>112</v>
      </c>
      <c r="C94" s="75">
        <f>+C73-C86</f>
        <v>-814157371.32998657</v>
      </c>
      <c r="D94" s="75">
        <f>+D73-D86</f>
        <v>6716423646.25</v>
      </c>
      <c r="E94" s="61"/>
      <c r="F94" s="55"/>
      <c r="G94" s="55"/>
      <c r="H94" s="55"/>
      <c r="I94" s="55"/>
      <c r="J94" s="55"/>
      <c r="K94" s="37"/>
      <c r="L94" s="37"/>
      <c r="M94" s="4"/>
      <c r="N94" s="54"/>
      <c r="O94" s="55"/>
    </row>
    <row r="95" spans="2:26" ht="8.25" customHeight="1" x14ac:dyDescent="0.25">
      <c r="B95" s="38"/>
      <c r="C95" s="39"/>
      <c r="D95" s="39"/>
      <c r="E95" s="39"/>
      <c r="F95" s="40"/>
      <c r="G95" s="40"/>
      <c r="H95" s="40"/>
      <c r="I95" s="40"/>
      <c r="J95" s="41"/>
      <c r="K95" s="41"/>
      <c r="L95" s="42"/>
      <c r="M95" s="35"/>
    </row>
    <row r="96" spans="2:26" ht="13" x14ac:dyDescent="0.25">
      <c r="B96" s="104" t="s">
        <v>114</v>
      </c>
      <c r="C96" s="57"/>
      <c r="D96" s="57"/>
      <c r="E96" s="57"/>
      <c r="F96" s="58"/>
      <c r="G96" s="58"/>
      <c r="H96" s="58"/>
      <c r="I96" s="58"/>
      <c r="J96" s="59"/>
      <c r="K96" s="59"/>
      <c r="L96" s="42"/>
      <c r="M96" s="35"/>
    </row>
    <row r="97" spans="2:13" ht="26.25" customHeight="1" x14ac:dyDescent="0.25">
      <c r="B97" s="65" t="s">
        <v>91</v>
      </c>
      <c r="C97" s="78">
        <f>8918516567.62999</f>
        <v>8918516567.6299896</v>
      </c>
      <c r="D97" s="79">
        <f>3722728565.79</f>
        <v>3722728565.79</v>
      </c>
      <c r="E97" s="79">
        <f>6949265790.07001</f>
        <v>6949265790.0700102</v>
      </c>
      <c r="F97" s="79">
        <f>237919364.65</f>
        <v>237919364.65000001</v>
      </c>
      <c r="G97" s="79">
        <f>0</f>
        <v>0</v>
      </c>
      <c r="H97" s="79">
        <f>0</f>
        <v>0</v>
      </c>
      <c r="I97" s="79">
        <f>0</f>
        <v>0</v>
      </c>
      <c r="J97" s="62">
        <f>IF($D$97=0,"",100*$D97/$D$97)</f>
        <v>100</v>
      </c>
      <c r="K97" s="43">
        <f>IF(C97=0,"",100*D97/C97)</f>
        <v>41.741566969800218</v>
      </c>
      <c r="L97" s="35"/>
    </row>
    <row r="98" spans="2:13" ht="15" customHeight="1" x14ac:dyDescent="0.25">
      <c r="B98" s="101" t="s">
        <v>77</v>
      </c>
      <c r="C98" s="80">
        <f>7904556062.78</f>
        <v>7904556062.7799997</v>
      </c>
      <c r="D98" s="76">
        <f>3232502349.74</f>
        <v>3232502349.7399998</v>
      </c>
      <c r="E98" s="76">
        <f>6316527667.31</f>
        <v>6316527667.3100004</v>
      </c>
      <c r="F98" s="76">
        <f>231072734.9</f>
        <v>231072734.90000001</v>
      </c>
      <c r="G98" s="76">
        <f>0</f>
        <v>0</v>
      </c>
      <c r="H98" s="76">
        <f>0</f>
        <v>0</v>
      </c>
      <c r="I98" s="76">
        <f>0</f>
        <v>0</v>
      </c>
      <c r="J98" s="62">
        <f>IF($D$97=0,"",100*$D98/$D$97)</f>
        <v>86.831534789967449</v>
      </c>
      <c r="K98" s="62">
        <f>IF(C98=0,"",100*D98/C98)</f>
        <v>40.894166909142555</v>
      </c>
      <c r="L98" s="35"/>
    </row>
    <row r="99" spans="2:13" ht="13" x14ac:dyDescent="0.3">
      <c r="B99" s="102" t="s">
        <v>78</v>
      </c>
      <c r="C99" s="80">
        <f>C97-C98</f>
        <v>1013960504.8499899</v>
      </c>
      <c r="D99" s="76">
        <f t="shared" ref="D99:I99" si="11">D97-D98</f>
        <v>490226216.05000019</v>
      </c>
      <c r="E99" s="76">
        <f t="shared" si="11"/>
        <v>632738122.76000977</v>
      </c>
      <c r="F99" s="76">
        <f t="shared" si="11"/>
        <v>6846629.75</v>
      </c>
      <c r="G99" s="76">
        <f t="shared" si="11"/>
        <v>0</v>
      </c>
      <c r="H99" s="76">
        <f t="shared" si="11"/>
        <v>0</v>
      </c>
      <c r="I99" s="76">
        <f t="shared" si="11"/>
        <v>0</v>
      </c>
      <c r="J99" s="62">
        <f>IF($D$97=0,"",100*$D99/$D$97)</f>
        <v>13.168465210032558</v>
      </c>
      <c r="K99" s="62">
        <f>IF(C99=0,"",100*D99/C99)</f>
        <v>48.347663809896275</v>
      </c>
    </row>
    <row r="100" spans="2:13" ht="6" customHeight="1" x14ac:dyDescent="0.25"/>
    <row r="101" spans="2:13" ht="17.5" x14ac:dyDescent="0.25">
      <c r="B101" s="87" t="str">
        <f>CONCATENATE("Informacja z wykonania budżetów miast na prawach powiatu za ",$D$133," ",$C$134," rok    ",$C$136,"")</f>
        <v xml:space="preserve">Informacja z wykonania budżetów miast na prawach powiatu za III Kwartały 2022 rok    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2:13" ht="6.75" customHeight="1" x14ac:dyDescent="0.25"/>
    <row r="103" spans="2:13" ht="13" x14ac:dyDescent="0.25">
      <c r="B103" s="13" t="s">
        <v>14</v>
      </c>
      <c r="C103" s="51" t="s">
        <v>15</v>
      </c>
      <c r="D103" s="8" t="s">
        <v>1</v>
      </c>
      <c r="E103" s="8" t="s">
        <v>23</v>
      </c>
      <c r="F103" s="8" t="s">
        <v>24</v>
      </c>
    </row>
    <row r="104" spans="2:13" ht="13" x14ac:dyDescent="0.25">
      <c r="B104" s="13"/>
      <c r="C104" s="112" t="s">
        <v>79</v>
      </c>
      <c r="D104" s="119"/>
      <c r="E104" s="122" t="s">
        <v>4</v>
      </c>
      <c r="F104" s="123"/>
    </row>
    <row r="105" spans="2:13" x14ac:dyDescent="0.25">
      <c r="B105" s="11">
        <v>1</v>
      </c>
      <c r="C105" s="14">
        <v>2</v>
      </c>
      <c r="D105" s="12">
        <v>3</v>
      </c>
      <c r="E105" s="12">
        <v>4</v>
      </c>
      <c r="F105" s="12">
        <v>5</v>
      </c>
    </row>
    <row r="106" spans="2:13" ht="26" x14ac:dyDescent="0.25">
      <c r="B106" s="63" t="s">
        <v>67</v>
      </c>
      <c r="C106" s="81">
        <f>18125609791.65</f>
        <v>18125609791.650002</v>
      </c>
      <c r="D106" s="74">
        <f>14105109830.72</f>
        <v>14105109830.719999</v>
      </c>
      <c r="E106" s="44">
        <f>IF($D$106=0,"",100*$D106/$D$106)</f>
        <v>100</v>
      </c>
      <c r="F106" s="36">
        <f t="shared" ref="F106:F113" si="12">IF(C106=0,"",100*D106/C106)</f>
        <v>77.818677511295974</v>
      </c>
    </row>
    <row r="107" spans="2:13" ht="20" x14ac:dyDescent="0.25">
      <c r="B107" s="97" t="s">
        <v>92</v>
      </c>
      <c r="C107" s="82">
        <f>7084184439.98</f>
        <v>7084184439.9799995</v>
      </c>
      <c r="D107" s="71">
        <f>465254370.35</f>
        <v>465254370.35000002</v>
      </c>
      <c r="E107" s="45">
        <f t="shared" ref="E107:E113" si="13">IF($D$106=0,"",100*$D107/$D$106)</f>
        <v>3.298481018110945</v>
      </c>
      <c r="F107" s="46">
        <f t="shared" si="12"/>
        <v>6.5675078661745507</v>
      </c>
    </row>
    <row r="108" spans="2:13" x14ac:dyDescent="0.25">
      <c r="B108" s="99" t="s">
        <v>93</v>
      </c>
      <c r="C108" s="83">
        <f>998426000</f>
        <v>998426000</v>
      </c>
      <c r="D108" s="70">
        <f>0</f>
        <v>0</v>
      </c>
      <c r="E108" s="47">
        <f t="shared" si="13"/>
        <v>0</v>
      </c>
      <c r="F108" s="43">
        <f t="shared" si="12"/>
        <v>0</v>
      </c>
    </row>
    <row r="109" spans="2:13" ht="13" customHeight="1" x14ac:dyDescent="0.25">
      <c r="B109" s="98" t="s">
        <v>94</v>
      </c>
      <c r="C109" s="83">
        <f>37237980.71</f>
        <v>37237980.710000001</v>
      </c>
      <c r="D109" s="70">
        <f>9110779.22</f>
        <v>9110779.2200000007</v>
      </c>
      <c r="E109" s="47">
        <f t="shared" si="13"/>
        <v>6.4592047345546535E-2</v>
      </c>
      <c r="F109" s="43">
        <f t="shared" si="12"/>
        <v>24.466362155758262</v>
      </c>
    </row>
    <row r="110" spans="2:13" ht="45.75" customHeight="1" x14ac:dyDescent="0.25">
      <c r="B110" s="98" t="s">
        <v>103</v>
      </c>
      <c r="C110" s="83">
        <f>127754797.82</f>
        <v>127754797.81999999</v>
      </c>
      <c r="D110" s="70">
        <f>182065441.89</f>
        <v>182065441.88999999</v>
      </c>
      <c r="E110" s="47">
        <f t="shared" si="13"/>
        <v>1.2907764921721734</v>
      </c>
      <c r="F110" s="43">
        <f t="shared" si="12"/>
        <v>142.51162774060427</v>
      </c>
    </row>
    <row r="111" spans="2:13" ht="35.25" customHeight="1" x14ac:dyDescent="0.25">
      <c r="B111" s="98" t="s">
        <v>99</v>
      </c>
      <c r="C111" s="83">
        <f>1506978040.72</f>
        <v>1506978040.72</v>
      </c>
      <c r="D111" s="70">
        <f>1704161688.07</f>
        <v>1704161688.0699999</v>
      </c>
      <c r="E111" s="47">
        <f t="shared" si="13"/>
        <v>12.081874643460402</v>
      </c>
      <c r="F111" s="43">
        <f t="shared" si="12"/>
        <v>113.08470608209991</v>
      </c>
    </row>
    <row r="112" spans="2:13" ht="13" customHeight="1" x14ac:dyDescent="0.25">
      <c r="B112" s="98" t="s">
        <v>95</v>
      </c>
      <c r="C112" s="83">
        <f>0</f>
        <v>0</v>
      </c>
      <c r="D112" s="70">
        <f>340937</f>
        <v>340937</v>
      </c>
      <c r="E112" s="47">
        <f t="shared" si="13"/>
        <v>2.417116946210952E-3</v>
      </c>
      <c r="F112" s="43" t="str">
        <f t="shared" si="12"/>
        <v/>
      </c>
    </row>
    <row r="113" spans="2:8" ht="35.25" customHeight="1" x14ac:dyDescent="0.25">
      <c r="B113" s="98" t="s">
        <v>98</v>
      </c>
      <c r="C113" s="83">
        <f>9237552237.11</f>
        <v>9237552237.1100006</v>
      </c>
      <c r="D113" s="70">
        <f>11637274318.88</f>
        <v>11637274318.879999</v>
      </c>
      <c r="E113" s="47">
        <f t="shared" si="13"/>
        <v>82.503961036409535</v>
      </c>
      <c r="F113" s="43">
        <f t="shared" si="12"/>
        <v>125.97789999096948</v>
      </c>
    </row>
    <row r="114" spans="2:8" ht="13" customHeight="1" x14ac:dyDescent="0.25">
      <c r="B114" s="98" t="s">
        <v>81</v>
      </c>
      <c r="C114" s="83">
        <f>131902295.31</f>
        <v>131902295.31</v>
      </c>
      <c r="D114" s="70">
        <f>106902295.31</f>
        <v>106902295.31</v>
      </c>
      <c r="E114" s="47"/>
      <c r="F114" s="43"/>
    </row>
    <row r="115" spans="2:8" ht="26" x14ac:dyDescent="0.25">
      <c r="B115" s="66" t="s">
        <v>68</v>
      </c>
      <c r="C115" s="84">
        <f>3531505256.52</f>
        <v>3531505256.52</v>
      </c>
      <c r="D115" s="74">
        <f>2526696960.47</f>
        <v>2526696960.4699998</v>
      </c>
      <c r="E115" s="48">
        <f>IF($D$115=0,"",100*$D115/$D$115)</f>
        <v>100</v>
      </c>
      <c r="F115" s="36">
        <f>IF(C115=0,"",100*D115/C115)</f>
        <v>71.547308496996152</v>
      </c>
    </row>
    <row r="116" spans="2:8" ht="20" x14ac:dyDescent="0.25">
      <c r="B116" s="98" t="s">
        <v>96</v>
      </c>
      <c r="C116" s="83">
        <f>3331293267.21</f>
        <v>3331293267.21</v>
      </c>
      <c r="D116" s="70">
        <f>2324509390.01</f>
        <v>2324509390.0100002</v>
      </c>
      <c r="E116" s="47">
        <f>IF($D$115=0,"",100*$D116/$D$115)</f>
        <v>91.997949353515281</v>
      </c>
      <c r="F116" s="43">
        <f>IF(C116=0,"",100*D116/C116)</f>
        <v>69.777987212660094</v>
      </c>
    </row>
    <row r="117" spans="2:8" ht="13" customHeight="1" x14ac:dyDescent="0.25">
      <c r="B117" s="99" t="s">
        <v>97</v>
      </c>
      <c r="C117" s="83">
        <f>519757000</f>
        <v>519757000</v>
      </c>
      <c r="D117" s="70">
        <f>498157000</f>
        <v>498157000</v>
      </c>
      <c r="E117" s="47">
        <f>IF($D$115=0,"",100*$D117/$D$115)</f>
        <v>19.715739868833975</v>
      </c>
      <c r="F117" s="43">
        <f>IF(C117=0,"",100*D117/C117)</f>
        <v>95.8442118143671</v>
      </c>
    </row>
    <row r="118" spans="2:8" ht="13" customHeight="1" x14ac:dyDescent="0.25">
      <c r="B118" s="98" t="s">
        <v>113</v>
      </c>
      <c r="C118" s="83">
        <f>44743385</f>
        <v>44743385</v>
      </c>
      <c r="D118" s="70">
        <f>23887570.46</f>
        <v>23887570.460000001</v>
      </c>
      <c r="E118" s="47">
        <f>IF($D$115=0,"",100*$D118/$D$115)</f>
        <v>0.94540702085447514</v>
      </c>
      <c r="F118" s="43">
        <f>IF(C118=0,"",100*D118/C118)</f>
        <v>53.387937591221586</v>
      </c>
    </row>
    <row r="119" spans="2:8" ht="13" customHeight="1" x14ac:dyDescent="0.25">
      <c r="B119" s="98" t="s">
        <v>27</v>
      </c>
      <c r="C119" s="83">
        <f>155468604.31</f>
        <v>155468604.31</v>
      </c>
      <c r="D119" s="70">
        <f>178300000</f>
        <v>178300000</v>
      </c>
      <c r="E119" s="47">
        <f>IF($D$115=0,"",100*$D119/$D$115)</f>
        <v>7.0566436256302687</v>
      </c>
      <c r="F119" s="43">
        <f>IF(C119=0,"",100*D119/C119)</f>
        <v>114.68553460766576</v>
      </c>
    </row>
    <row r="120" spans="2:8" x14ac:dyDescent="0.25">
      <c r="B120" s="26"/>
      <c r="C120" s="26"/>
      <c r="D120" s="26"/>
      <c r="E120" s="26"/>
      <c r="F120" s="26"/>
      <c r="G120" s="26"/>
      <c r="H120" s="26"/>
    </row>
    <row r="121" spans="2:8" ht="13" x14ac:dyDescent="0.25">
      <c r="B121" s="13" t="s">
        <v>14</v>
      </c>
      <c r="C121" s="11" t="s">
        <v>15</v>
      </c>
      <c r="D121" s="11" t="s">
        <v>1</v>
      </c>
      <c r="E121" s="60"/>
    </row>
    <row r="122" spans="2:8" ht="13" x14ac:dyDescent="0.25">
      <c r="B122" s="13"/>
      <c r="C122" s="120" t="s">
        <v>79</v>
      </c>
      <c r="D122" s="121"/>
      <c r="E122" s="60"/>
    </row>
    <row r="123" spans="2:8" x14ac:dyDescent="0.25">
      <c r="B123" s="11">
        <v>1</v>
      </c>
      <c r="C123" s="11">
        <v>2</v>
      </c>
      <c r="D123" s="11">
        <v>3</v>
      </c>
      <c r="E123" s="60"/>
    </row>
    <row r="124" spans="2:8" ht="36" customHeight="1" x14ac:dyDescent="0.25">
      <c r="B124" s="64" t="s">
        <v>108</v>
      </c>
      <c r="C124" s="83">
        <f>14594104535.13</f>
        <v>14594104535.129999</v>
      </c>
      <c r="D124" s="70">
        <f>0</f>
        <v>0</v>
      </c>
      <c r="E124" s="60"/>
    </row>
    <row r="125" spans="2:8" ht="30" x14ac:dyDescent="0.25">
      <c r="B125" s="103" t="s">
        <v>82</v>
      </c>
      <c r="C125" s="83">
        <f>686377516.58</f>
        <v>686377516.58000004</v>
      </c>
      <c r="D125" s="70">
        <f>0</f>
        <v>0</v>
      </c>
      <c r="E125" s="60"/>
    </row>
    <row r="126" spans="2:8" ht="13" customHeight="1" x14ac:dyDescent="0.25">
      <c r="B126" s="103" t="s">
        <v>83</v>
      </c>
      <c r="C126" s="83">
        <f>4509991877.11</f>
        <v>4509991877.1099997</v>
      </c>
      <c r="D126" s="70">
        <f>0</f>
        <v>0</v>
      </c>
      <c r="E126" s="60"/>
    </row>
    <row r="127" spans="2:8" ht="20" x14ac:dyDescent="0.25">
      <c r="B127" s="103" t="s">
        <v>84</v>
      </c>
      <c r="C127" s="83">
        <f>0</f>
        <v>0</v>
      </c>
      <c r="D127" s="70">
        <f>0</f>
        <v>0</v>
      </c>
      <c r="E127" s="60"/>
    </row>
    <row r="128" spans="2:8" ht="58.5" customHeight="1" x14ac:dyDescent="0.25">
      <c r="B128" s="103" t="s">
        <v>106</v>
      </c>
      <c r="C128" s="83">
        <f>102829269.12</f>
        <v>102829269.12</v>
      </c>
      <c r="D128" s="70">
        <f>0</f>
        <v>0</v>
      </c>
      <c r="E128" s="60"/>
    </row>
    <row r="129" spans="2:8" ht="60" x14ac:dyDescent="0.25">
      <c r="B129" s="103" t="s">
        <v>85</v>
      </c>
      <c r="C129" s="83">
        <f>7791362035.44</f>
        <v>7791362035.4399996</v>
      </c>
      <c r="D129" s="70">
        <f>0</f>
        <v>0</v>
      </c>
      <c r="E129" s="60"/>
    </row>
    <row r="130" spans="2:8" ht="147" customHeight="1" x14ac:dyDescent="0.25">
      <c r="B130" s="103" t="s">
        <v>104</v>
      </c>
      <c r="C130" s="83">
        <f>1500356436.88</f>
        <v>1500356436.8800001</v>
      </c>
      <c r="D130" s="70">
        <f>0</f>
        <v>0</v>
      </c>
      <c r="E130" s="35"/>
    </row>
    <row r="131" spans="2:8" ht="20" x14ac:dyDescent="0.25">
      <c r="B131" s="103" t="s">
        <v>105</v>
      </c>
      <c r="C131" s="83">
        <f>3187400</f>
        <v>3187400</v>
      </c>
      <c r="D131" s="70">
        <f>0</f>
        <v>0</v>
      </c>
      <c r="E131" s="35"/>
    </row>
    <row r="132" spans="2:8" x14ac:dyDescent="0.25">
      <c r="B132" s="49"/>
      <c r="C132" s="41"/>
      <c r="D132" s="41"/>
      <c r="E132" s="41"/>
      <c r="F132" s="41"/>
      <c r="G132" s="41"/>
      <c r="H132" s="41"/>
    </row>
    <row r="133" spans="2:8" ht="12" customHeight="1" x14ac:dyDescent="0.25">
      <c r="B133" s="50" t="s">
        <v>69</v>
      </c>
      <c r="C133" s="50">
        <f>3</f>
        <v>3</v>
      </c>
      <c r="D133" s="50" t="str">
        <f>IF(C133=1,"I Kwartał",IF(C133=2,"II Kwartały",IF(C133=3,"III Kwartały",IF(C133=4,"IV Kwartały",IF(C133="M1","Styczeń",IF(C133="M11","Listopad",IF(C133="M12","Grudzień","-")))))))</f>
        <v>III Kwartały</v>
      </c>
    </row>
    <row r="134" spans="2:8" x14ac:dyDescent="0.25">
      <c r="B134" s="50" t="s">
        <v>70</v>
      </c>
      <c r="C134" s="85">
        <f>2022</f>
        <v>2022</v>
      </c>
      <c r="D134" s="49"/>
    </row>
    <row r="135" spans="2:8" x14ac:dyDescent="0.25">
      <c r="B135" s="50" t="s">
        <v>71</v>
      </c>
      <c r="C135" s="125" t="str">
        <f>"Nov 18 2022 12:00AM"</f>
        <v>Nov 18 2022 12:00AM</v>
      </c>
      <c r="D135" s="126"/>
    </row>
    <row r="136" spans="2:8" hidden="1" x14ac:dyDescent="0.25">
      <c r="B136" s="50" t="s">
        <v>74</v>
      </c>
      <c r="C136" s="86" t="str">
        <f>""</f>
        <v/>
      </c>
      <c r="D136" s="49"/>
    </row>
  </sheetData>
  <mergeCells count="20">
    <mergeCell ref="C104:D104"/>
    <mergeCell ref="C122:D122"/>
    <mergeCell ref="E104:F104"/>
    <mergeCell ref="J81:K81"/>
    <mergeCell ref="C135:D135"/>
    <mergeCell ref="I93:J93"/>
    <mergeCell ref="K78:K80"/>
    <mergeCell ref="F79:F80"/>
    <mergeCell ref="F78:H78"/>
    <mergeCell ref="I78:I80"/>
    <mergeCell ref="C81:I81"/>
    <mergeCell ref="G79:H79"/>
    <mergeCell ref="D78:D80"/>
    <mergeCell ref="E78:E80"/>
    <mergeCell ref="B2:B3"/>
    <mergeCell ref="C78:C80"/>
    <mergeCell ref="B78:B81"/>
    <mergeCell ref="J78:J80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2022-11-29T14:29:21Z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