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I kwartał\Dane ostateczne 2023.08.14\Zbiorówki_2023_k2_20230814\"/>
    </mc:Choice>
  </mc:AlternateContent>
  <bookViews>
    <workbookView xWindow="240" yWindow="120" windowWidth="14220" windowHeight="8835"/>
  </bookViews>
  <sheets>
    <sheet name="zob_nal" sheetId="7" r:id="rId1"/>
    <sheet name="definicja" sheetId="6" r:id="rId2"/>
  </sheets>
  <calcPr calcId="152511"/>
</workbook>
</file>

<file path=xl/calcChain.xml><?xml version="1.0" encoding="utf-8"?>
<calcChain xmlns="http://schemas.openxmlformats.org/spreadsheetml/2006/main">
  <c r="C106" i="6" l="1"/>
  <c r="C105" i="6"/>
  <c r="C104" i="6"/>
  <c r="B107" i="7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D104" i="6"/>
  <c r="A65" i="6" s="1"/>
  <c r="C104" i="7"/>
  <c r="A77" i="7" s="1"/>
  <c r="A32" i="6" l="1"/>
  <c r="A1" i="6"/>
  <c r="A94" i="6"/>
  <c r="A96" i="7"/>
  <c r="A34" i="7"/>
  <c r="A1" i="7"/>
</calcChain>
</file>

<file path=xl/sharedStrings.xml><?xml version="1.0" encoding="utf-8"?>
<sst xmlns="http://schemas.openxmlformats.org/spreadsheetml/2006/main" count="271" uniqueCount="153">
  <si>
    <t>Wyszczególnienie</t>
  </si>
  <si>
    <t>ZO</t>
  </si>
  <si>
    <t>ogółem</t>
  </si>
  <si>
    <t>sektora finansów publicznych (kol.5+7+8)</t>
  </si>
  <si>
    <t>banku centralnego</t>
  </si>
  <si>
    <t>Poręczenia i gwarancje</t>
  </si>
  <si>
    <t>sektora finansów publicznych (kol.4+6+7)</t>
  </si>
  <si>
    <t>Liczba jednostek</t>
  </si>
  <si>
    <t>Wykonanie</t>
  </si>
  <si>
    <t>KO</t>
  </si>
  <si>
    <t>KFP</t>
  </si>
  <si>
    <t>KG1</t>
  </si>
  <si>
    <t>KG2</t>
  </si>
  <si>
    <t>KG3</t>
  </si>
  <si>
    <t>KBC</t>
  </si>
  <si>
    <t>KBK</t>
  </si>
  <si>
    <t>FP</t>
  </si>
  <si>
    <t>G1</t>
  </si>
  <si>
    <t>G2</t>
  </si>
  <si>
    <t>G3</t>
  </si>
  <si>
    <t>O</t>
  </si>
  <si>
    <t>Z</t>
  </si>
  <si>
    <t>N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</si>
  <si>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</si>
  <si>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</si>
  <si>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</si>
  <si>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</si>
  <si>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</si>
  <si>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</si>
  <si>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[w]&gt;0</t>
  </si>
  <si>
    <t>[w]&lt;0</t>
  </si>
  <si>
    <t>[w]=0</t>
  </si>
  <si>
    <t>w</t>
  </si>
  <si>
    <t>kodGus</t>
  </si>
  <si>
    <t>Symbol=E</t>
  </si>
  <si>
    <t>Symbol=E1</t>
  </si>
  <si>
    <t>Symbol=E11</t>
  </si>
  <si>
    <t>Symbol=E2</t>
  </si>
  <si>
    <t>Symbol=E21</t>
  </si>
  <si>
    <t>Symbol=E3</t>
  </si>
  <si>
    <t>Symbol=E4</t>
  </si>
  <si>
    <t>Symbol=E41</t>
  </si>
  <si>
    <t>Symbol=N</t>
  </si>
  <si>
    <t>Symbol=N1</t>
  </si>
  <si>
    <t>Symbol=N11</t>
  </si>
  <si>
    <t>Symbol=N21</t>
  </si>
  <si>
    <t>Symbol=N3</t>
  </si>
  <si>
    <t>Symbol=N4</t>
  </si>
  <si>
    <t>Symbol=N41</t>
  </si>
  <si>
    <t>Symbol=F1</t>
  </si>
  <si>
    <t>Symbol=F2</t>
  </si>
  <si>
    <t>Symbol=F3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</si>
  <si>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</si>
  <si>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</si>
  <si>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</si>
  <si>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</si>
  <si>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5+6+7+8))</t>
  </si>
  <si>
    <t>sektor 
finansów 
publicznych 
ogółem 
(kol 5+6+7+8)</t>
  </si>
  <si>
    <t>KG4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</si>
  <si>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</si>
  <si>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</si>
  <si>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</si>
  <si>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</si>
  <si>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</si>
  <si>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</si>
  <si>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</si>
  <si>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</si>
  <si>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>KIF</t>
  </si>
  <si>
    <t>KPN</t>
  </si>
  <si>
    <t>KGD</t>
  </si>
  <si>
    <t>KIN</t>
  </si>
  <si>
    <t>ZSE</t>
  </si>
  <si>
    <t>ZPZ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</si>
  <si>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</si>
  <si>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</si>
  <si>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</si>
  <si>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</si>
  <si>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</si>
  <si>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bank centralny</t>
  </si>
  <si>
    <t>N. NALEŻNOŚCI ORAZ WYBRANE AKTYWA FINANSOWE  (N1+N2+N3+N4+N5)   z tego: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</si>
  <si>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</si>
  <si>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</si>
  <si>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</si>
  <si>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</si>
  <si>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</si>
  <si>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</si>
  <si>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</si>
  <si>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</si>
  <si>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</si>
  <si>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</si>
  <si>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</si>
  <si>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</si>
  <si>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</si>
  <si>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</si>
  <si>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</si>
  <si>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</si>
  <si>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</si>
  <si>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Symbol=N12</t>
  </si>
  <si>
    <t>Symbol=N22</t>
  </si>
  <si>
    <t>Symbol=N31</t>
  </si>
  <si>
    <t>Symbol=N32</t>
  </si>
  <si>
    <t>Symbol=N33</t>
  </si>
  <si>
    <t>Symbol=N42</t>
  </si>
  <si>
    <t>Symbol=N5</t>
  </si>
  <si>
    <t>Symbol=N51</t>
  </si>
  <si>
    <t>Symbol=N52</t>
  </si>
  <si>
    <t>Symbol=N53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</si>
  <si>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</si>
  <si>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</si>
  <si>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</si>
  <si>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</si>
  <si>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</si>
  <si>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</si>
  <si>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</si>
  <si>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</si>
  <si>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</si>
  <si>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</si>
  <si>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</si>
  <si>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Symbol=E12</t>
  </si>
  <si>
    <t>Symbol=E22</t>
  </si>
  <si>
    <t>Symbol=E42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</si>
  <si>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</si>
  <si>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</si>
  <si>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</si>
  <si>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</si>
  <si>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</si>
  <si>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</si>
  <si>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</si>
  <si>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Symbol=B1</t>
  </si>
  <si>
    <t>Symbol=B2</t>
  </si>
  <si>
    <t>Symbol=B3</t>
  </si>
  <si>
    <t>Symbol=B4</t>
  </si>
  <si>
    <t>G4</t>
  </si>
  <si>
    <t>PP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</si>
  <si>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</si>
  <si>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</si>
  <si>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</si>
  <si>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</si>
  <si>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</si>
  <si>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</si>
  <si>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</si>
  <si>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</si>
  <si>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</si>
  <si>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</si>
  <si>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</si>
  <si>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</si>
  <si>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</si>
  <si>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</si>
  <si>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Symbol=N2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</si>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</sst>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8" borderId="0" applyNumberFormat="0" applyBorder="0" applyAlignment="0" applyProtection="0"/>
    <xf numFmtId="0" fontId="5" fillId="0" borderId="0"/>
    <xf numFmtId="0" fontId="1" fillId="4" borderId="8" applyNumberFormat="0" applyFont="0" applyAlignment="0" applyProtection="0"/>
    <xf numFmtId="0" fontId="24" fillId="16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76">
    <xf numFmtId="0" fontId="0" fillId="0" borderId="0" xfId="0"/>
    <xf numFmtId="0" fontId="4" fillId="0" borderId="0" xfId="37" applyFont="1" applyAlignment="1">
      <alignment horizontal="center" vertical="center" wrapText="1"/>
    </xf>
    <xf numFmtId="0" fontId="5" fillId="0" borderId="0" xfId="37" applyAlignment="1">
      <alignment horizontal="center" vertical="center" wrapText="1"/>
    </xf>
    <xf numFmtId="0" fontId="6" fillId="19" borderId="10" xfId="37" applyFont="1" applyFill="1" applyBorder="1" applyAlignment="1">
      <alignment horizontal="center" vertical="center" wrapText="1"/>
    </xf>
    <xf numFmtId="0" fontId="6" fillId="19" borderId="11" xfId="37" applyFont="1" applyFill="1" applyBorder="1" applyAlignment="1">
      <alignment horizontal="center" vertical="center" wrapText="1"/>
    </xf>
    <xf numFmtId="0" fontId="6" fillId="19" borderId="12" xfId="37" applyFont="1" applyFill="1" applyBorder="1" applyAlignment="1">
      <alignment horizontal="center" vertical="center" wrapText="1"/>
    </xf>
    <xf numFmtId="0" fontId="6" fillId="19" borderId="13" xfId="37" applyFont="1" applyFill="1" applyBorder="1" applyAlignment="1">
      <alignment horizontal="center" vertical="center" wrapText="1"/>
    </xf>
    <xf numFmtId="0" fontId="3" fillId="19" borderId="10" xfId="37" applyFont="1" applyFill="1" applyBorder="1" applyAlignment="1">
      <alignment horizontal="center" vertical="center" wrapText="1"/>
    </xf>
    <xf numFmtId="0" fontId="3" fillId="0" borderId="10" xfId="37" applyFont="1" applyBorder="1" applyAlignment="1">
      <alignment horizontal="left" vertical="center" wrapText="1"/>
    </xf>
    <xf numFmtId="0" fontId="5" fillId="0" borderId="0" xfId="37" applyFill="1" applyBorder="1" applyAlignment="1">
      <alignment horizontal="center" vertical="center" wrapText="1"/>
    </xf>
    <xf numFmtId="0" fontId="6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6" fillId="19" borderId="14" xfId="37" applyFont="1" applyFill="1" applyBorder="1" applyAlignment="1">
      <alignment horizontal="center" vertical="center" wrapText="1"/>
    </xf>
    <xf numFmtId="0" fontId="6" fillId="19" borderId="15" xfId="37" applyFont="1" applyFill="1" applyBorder="1" applyAlignment="1">
      <alignment horizontal="center" vertical="center" wrapText="1"/>
    </xf>
    <xf numFmtId="0" fontId="10" fillId="0" borderId="10" xfId="0" applyFont="1" applyBorder="1"/>
    <xf numFmtId="0" fontId="10" fillId="0" borderId="0" xfId="0" applyFont="1"/>
    <xf numFmtId="169" fontId="10" fillId="0" borderId="10" xfId="0" applyNumberFormat="1" applyFont="1" applyBorder="1"/>
    <xf numFmtId="0" fontId="6" fillId="19" borderId="16" xfId="37" applyFont="1" applyFill="1" applyBorder="1" applyAlignment="1">
      <alignment horizontal="center" vertical="center" wrapText="1"/>
    </xf>
    <xf numFmtId="0" fontId="6" fillId="19" borderId="17" xfId="37" applyFont="1" applyFill="1" applyBorder="1" applyAlignment="1">
      <alignment horizontal="center" vertical="center" wrapText="1"/>
    </xf>
    <xf numFmtId="0" fontId="5" fillId="19" borderId="18" xfId="37" applyFill="1" applyBorder="1" applyAlignment="1">
      <alignment horizontal="center" vertical="center" wrapText="1"/>
    </xf>
    <xf numFmtId="0" fontId="3" fillId="19" borderId="17" xfId="37" applyFont="1" applyFill="1" applyBorder="1" applyAlignment="1">
      <alignment horizontal="center" vertical="center" wrapText="1"/>
    </xf>
    <xf numFmtId="0" fontId="6" fillId="19" borderId="19" xfId="37" applyFont="1" applyFill="1" applyBorder="1" applyAlignment="1">
      <alignment horizontal="center" vertical="center" wrapText="1"/>
    </xf>
    <xf numFmtId="0" fontId="9" fillId="0" borderId="17" xfId="37" applyFont="1" applyBorder="1" applyAlignment="1">
      <alignment horizontal="left" vertical="center" wrapText="1"/>
    </xf>
    <xf numFmtId="0" fontId="28" fillId="0" borderId="20" xfId="0" applyFont="1" applyFill="1" applyBorder="1" applyAlignment="1">
      <alignment wrapText="1"/>
    </xf>
    <xf numFmtId="0" fontId="28" fillId="0" borderId="19" xfId="0" applyFont="1" applyFill="1" applyBorder="1" applyAlignment="1">
      <alignment horizontal="left" wrapText="1"/>
    </xf>
    <xf numFmtId="0" fontId="28" fillId="0" borderId="19" xfId="0" applyFont="1" applyFill="1" applyBorder="1" applyAlignment="1">
      <alignment wrapText="1"/>
    </xf>
    <xf numFmtId="0" fontId="28" fillId="0" borderId="21" xfId="0" applyFont="1" applyFill="1" applyBorder="1" applyAlignment="1">
      <alignment horizontal="left" wrapText="1"/>
    </xf>
    <xf numFmtId="0" fontId="30" fillId="0" borderId="22" xfId="0" applyFont="1" applyFill="1" applyBorder="1" applyAlignment="1">
      <alignment wrapText="1"/>
    </xf>
    <xf numFmtId="0" fontId="30" fillId="0" borderId="22" xfId="0" applyFont="1" applyFill="1" applyBorder="1" applyAlignment="1">
      <alignment horizontal="left" wrapText="1" indent="1"/>
    </xf>
    <xf numFmtId="0" fontId="30" fillId="0" borderId="23" xfId="0" applyFont="1" applyFill="1" applyBorder="1" applyAlignment="1">
      <alignment wrapText="1"/>
    </xf>
    <xf numFmtId="0" fontId="30" fillId="0" borderId="23" xfId="0" applyFont="1" applyFill="1" applyBorder="1" applyAlignment="1">
      <alignment horizontal="left" wrapText="1" indent="1"/>
    </xf>
    <xf numFmtId="0" fontId="30" fillId="0" borderId="22" xfId="0" applyFont="1" applyFill="1" applyBorder="1" applyAlignment="1">
      <alignment horizontal="left" indent="1"/>
    </xf>
    <xf numFmtId="0" fontId="30" fillId="0" borderId="23" xfId="0" applyFont="1" applyFill="1" applyBorder="1"/>
    <xf numFmtId="0" fontId="30" fillId="0" borderId="24" xfId="0" applyFont="1" applyFill="1" applyBorder="1" applyAlignment="1">
      <alignment horizontal="left" indent="1"/>
    </xf>
    <xf numFmtId="0" fontId="5" fillId="0" borderId="0" xfId="37" applyBorder="1" applyAlignment="1">
      <alignment horizontal="center" vertical="center" wrapText="1"/>
    </xf>
    <xf numFmtId="0" fontId="2" fillId="0" borderId="25" xfId="37" applyFont="1" applyBorder="1" applyAlignment="1">
      <alignment horizontal="left" vertical="center" wrapText="1"/>
    </xf>
    <xf numFmtId="0" fontId="5" fillId="19" borderId="0" xfId="37" applyFont="1" applyFill="1" applyAlignment="1">
      <alignment horizontal="center" vertical="center" wrapText="1"/>
    </xf>
    <xf numFmtId="0" fontId="29" fillId="0" borderId="0" xfId="37" applyFont="1" applyAlignment="1">
      <alignment horizontal="center" vertical="center" wrapText="1"/>
    </xf>
    <xf numFmtId="0" fontId="29" fillId="0" borderId="0" xfId="37" applyFont="1" applyFill="1" applyBorder="1" applyAlignment="1">
      <alignment horizontal="center" vertical="center" wrapText="1"/>
    </xf>
    <xf numFmtId="0" fontId="5" fillId="19" borderId="10" xfId="37" applyFill="1" applyBorder="1" applyAlignment="1">
      <alignment horizontal="center" vertical="center" wrapText="1"/>
    </xf>
    <xf numFmtId="0" fontId="8" fillId="19" borderId="10" xfId="37" applyFont="1" applyFill="1" applyBorder="1" applyAlignment="1">
      <alignment horizontal="center" vertical="center" wrapText="1"/>
    </xf>
    <xf numFmtId="4" fontId="8" fillId="20" borderId="10" xfId="37" applyNumberFormat="1" applyFont="1" applyFill="1" applyBorder="1" applyAlignment="1">
      <alignment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0" borderId="10" xfId="37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indent="1"/>
    </xf>
    <xf numFmtId="4" fontId="8" fillId="0" borderId="0" xfId="37" applyNumberFormat="1" applyFont="1" applyBorder="1" applyAlignment="1">
      <alignment horizontal="right" vertical="center" wrapText="1"/>
    </xf>
    <xf numFmtId="0" fontId="30" fillId="0" borderId="22" xfId="0" applyFont="1" applyFill="1" applyBorder="1" applyAlignment="1">
      <alignment horizontal="left" vertical="center" wrapText="1" indent="1"/>
    </xf>
    <xf numFmtId="0" fontId="30" fillId="0" borderId="23" xfId="0" applyFont="1" applyFill="1" applyBorder="1" applyAlignment="1">
      <alignment horizontal="left" vertical="center" wrapText="1" indent="1"/>
    </xf>
    <xf numFmtId="0" fontId="30" fillId="0" borderId="22" xfId="0" applyFont="1" applyFill="1" applyBorder="1" applyAlignment="1">
      <alignment horizontal="left" vertical="center" indent="1"/>
    </xf>
    <xf numFmtId="0" fontId="35" fillId="0" borderId="22" xfId="0" applyFont="1" applyFill="1" applyBorder="1" applyAlignment="1">
      <alignment vertical="center" wrapText="1"/>
    </xf>
    <xf numFmtId="0" fontId="35" fillId="0" borderId="22" xfId="0" applyFont="1" applyFill="1" applyBorder="1" applyAlignment="1">
      <alignment vertical="center"/>
    </xf>
    <xf numFmtId="0" fontId="34" fillId="0" borderId="22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left" vertical="center" indent="1"/>
    </xf>
    <xf numFmtId="4" fontId="8" fillId="0" borderId="10" xfId="37" applyNumberFormat="1" applyFont="1" applyFill="1" applyBorder="1" applyAlignment="1">
      <alignment vertical="center" wrapText="1"/>
    </xf>
    <xf numFmtId="0" fontId="33" fillId="21" borderId="10" xfId="37" applyFont="1" applyFill="1" applyBorder="1" applyAlignment="1">
      <alignment horizontal="left" vertical="center" wrapText="1"/>
    </xf>
    <xf numFmtId="4" fontId="8" fillId="21" borderId="10" xfId="37" applyNumberFormat="1" applyFont="1" applyFill="1" applyBorder="1" applyAlignment="1">
      <alignment horizontal="right" vertical="center" wrapText="1"/>
    </xf>
    <xf numFmtId="0" fontId="33" fillId="21" borderId="22" xfId="0" applyFont="1" applyFill="1" applyBorder="1" applyAlignment="1">
      <alignment wrapText="1"/>
    </xf>
    <xf numFmtId="0" fontId="33" fillId="21" borderId="23" xfId="0" applyFont="1" applyFill="1" applyBorder="1" applyAlignment="1">
      <alignment wrapText="1"/>
    </xf>
    <xf numFmtId="0" fontId="33" fillId="21" borderId="23" xfId="0" applyFont="1" applyFill="1" applyBorder="1" applyAlignment="1">
      <alignment vertical="center"/>
    </xf>
    <xf numFmtId="0" fontId="33" fillId="21" borderId="22" xfId="0" applyFont="1" applyFill="1" applyBorder="1" applyAlignment="1">
      <alignment horizontal="left" wrapText="1"/>
    </xf>
    <xf numFmtId="4" fontId="8" fillId="0" borderId="10" xfId="37" applyNumberFormat="1" applyFont="1" applyFill="1" applyBorder="1" applyAlignment="1">
      <alignment horizontal="right" vertical="center" wrapText="1"/>
    </xf>
    <xf numFmtId="0" fontId="34" fillId="21" borderId="22" xfId="0" applyFont="1" applyFill="1" applyBorder="1" applyAlignment="1">
      <alignment vertical="center" wrapText="1"/>
    </xf>
    <xf numFmtId="4" fontId="8" fillId="21" borderId="10" xfId="37" applyNumberFormat="1" applyFont="1" applyFill="1" applyBorder="1" applyAlignment="1">
      <alignment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6" fillId="19" borderId="10" xfId="37" applyFont="1" applyFill="1" applyBorder="1" applyAlignment="1">
      <alignment horizontal="center" vertical="center" wrapText="1"/>
    </xf>
    <xf numFmtId="0" fontId="6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19" borderId="10" xfId="37" applyNumberFormat="1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  <xf numFmtId="0" fontId="8" fillId="19" borderId="10" xfId="37" applyFont="1" applyFill="1" applyBorder="1" applyAlignment="1">
      <alignment horizontal="center" vertical="center" wrapText="1"/>
    </xf>
    <xf numFmtId="0" fontId="36" fillId="0" borderId="0" xfId="37" applyFont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27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6" fillId="19" borderId="29" xfId="37" applyFont="1" applyFill="1" applyBorder="1" applyAlignment="1">
      <alignment horizontal="center" vertical="center" wrapText="1"/>
    </xf>
    <xf numFmtId="0" fontId="6" fillId="19" borderId="28" xfId="37" applyFont="1" applyFill="1" applyBorder="1" applyAlignment="1">
      <alignment horizontal="center" vertical="center" wrapText="1"/>
    </xf>
    <xf numFmtId="0" fontId="6" fillId="19" borderId="13" xfId="37" applyFont="1" applyFill="1" applyBorder="1" applyAlignment="1">
      <alignment horizontal="center" vertical="center" wrapText="1"/>
    </xf>
    <xf numFmtId="0" fontId="32" fillId="19" borderId="10" xfId="37" applyFont="1" applyFill="1" applyBorder="1" applyAlignment="1">
      <alignment horizontal="center" vertical="center" wrapText="1"/>
    </xf>
    <xf numFmtId="4" fontId="8" fillId="0" borderId="15" xfId="37" applyNumberFormat="1" applyFont="1" applyBorder="1" applyAlignment="1">
      <alignment horizontal="right" vertical="center" wrapText="1"/>
    </xf>
    <xf numFmtId="4" fontId="8" fillId="0" borderId="11" xfId="37" applyNumberFormat="1" applyFont="1" applyBorder="1" applyAlignment="1">
      <alignment horizontal="right" vertical="center" wrapText="1"/>
    </xf>
    <xf numFmtId="0" fontId="7" fillId="0" borderId="0" xfId="37" applyFont="1" applyAlignment="1">
      <alignment horizontal="left" vertical="center" wrapText="1"/>
    </xf>
    <xf numFmtId="0" fontId="6" fillId="19" borderId="11" xfId="37" applyFont="1" applyFill="1" applyBorder="1" applyAlignment="1">
      <alignment horizontal="center" vertical="center" wrapText="1"/>
    </xf>
    <xf numFmtId="0" fontId="9" fillId="19" borderId="29" xfId="37" applyFont="1" applyFill="1" applyBorder="1" applyAlignment="1">
      <alignment horizontal="center" vertical="center" wrapText="1"/>
    </xf>
    <xf numFmtId="0" fontId="9" fillId="19" borderId="25" xfId="37" applyFont="1" applyFill="1" applyBorder="1" applyAlignment="1">
      <alignment horizontal="center" vertical="center" wrapText="1"/>
    </xf>
    <xf numFmtId="0" fontId="9" fillId="19" borderId="30" xfId="37" applyFont="1" applyFill="1" applyBorder="1" applyAlignment="1">
      <alignment horizontal="center" vertical="center" wrapText="1"/>
    </xf>
    <xf numFmtId="0" fontId="9" fillId="19" borderId="28" xfId="37" applyFont="1" applyFill="1" applyBorder="1" applyAlignment="1">
      <alignment horizontal="center" vertical="center" wrapText="1"/>
    </xf>
    <xf numFmtId="0" fontId="9" fillId="19" borderId="0" xfId="37" applyFont="1" applyFill="1" applyBorder="1" applyAlignment="1">
      <alignment horizontal="center" vertical="center" wrapText="1"/>
    </xf>
    <xf numFmtId="0" fontId="9" fillId="19" borderId="31" xfId="37" applyFont="1" applyFill="1" applyBorder="1" applyAlignment="1">
      <alignment horizontal="center" vertical="center" wrapText="1"/>
    </xf>
    <xf numFmtId="0" fontId="9" fillId="19" borderId="13" xfId="37" applyFont="1" applyFill="1" applyBorder="1" applyAlignment="1">
      <alignment horizontal="center" vertical="center" wrapText="1"/>
    </xf>
    <xf numFmtId="0" fontId="9" fillId="19" borderId="32" xfId="37" applyFont="1" applyFill="1" applyBorder="1" applyAlignment="1">
      <alignment horizontal="center" vertical="center" wrapText="1"/>
    </xf>
    <xf numFmtId="0" fontId="9" fillId="19" borderId="16" xfId="37" applyFont="1" applyFill="1" applyBorder="1" applyAlignment="1">
      <alignment horizontal="center" vertical="center" wrapText="1"/>
    </xf>
    <xf numFmtId="3" fontId="8" fillId="0" borderId="15" xfId="37" applyNumberFormat="1" applyFont="1" applyBorder="1" applyAlignment="1">
      <alignment horizontal="right" vertical="center" wrapText="1"/>
    </xf>
    <xf numFmtId="3" fontId="8" fillId="0" borderId="11" xfId="37" applyNumberFormat="1" applyFont="1" applyBorder="1" applyAlignment="1">
      <alignment horizontal="right" vertical="center" wrapText="1"/>
    </xf>
    <xf numFmtId="0" fontId="6" fillId="19" borderId="14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8" fillId="0" borderId="15" xfId="37" applyNumberFormat="1" applyFont="1" applyFill="1" applyBorder="1" applyAlignment="1">
      <alignment horizontal="right" vertical="center" wrapText="1"/>
    </xf>
    <xf numFmtId="3" fontId="8" fillId="0" borderId="11" xfId="37" applyNumberFormat="1" applyFont="1" applyFill="1" applyBorder="1" applyAlignment="1">
      <alignment horizontal="right" vertical="center" wrapText="1"/>
    </xf>
    <xf numFmtId="4" fontId="8" fillId="0" borderId="15" xfId="37" applyNumberFormat="1" applyFont="1" applyFill="1" applyBorder="1" applyAlignment="1">
      <alignment horizontal="right" vertical="center" wrapText="1"/>
    </xf>
    <xf numFmtId="4" fontId="8" fillId="0" borderId="11" xfId="37" applyNumberFormat="1" applyFont="1" applyFill="1" applyBorder="1" applyAlignment="1">
      <alignment horizontal="right" vertical="center" wrapText="1"/>
    </xf>
    <xf numFmtId="0" fontId="29" fillId="0" borderId="0" xfId="37" applyFont="1" applyFill="1" applyBorder="1" applyAlignment="1">
      <alignment horizontal="center" vertical="center" wrapText="1"/>
    </xf>
    <xf numFmtId="0" fontId="2" fillId="19" borderId="26" xfId="37" applyFont="1" applyFill="1" applyBorder="1" applyAlignment="1">
      <alignment horizontal="center" vertical="center" wrapText="1"/>
    </xf>
    <xf numFmtId="0" fontId="2" fillId="19" borderId="27" xfId="37" applyFont="1" applyFill="1" applyBorder="1" applyAlignment="1">
      <alignment horizontal="center" vertical="center" wrapText="1"/>
    </xf>
    <xf numFmtId="0" fontId="9" fillId="19" borderId="26" xfId="37" applyFont="1" applyFill="1" applyBorder="1" applyAlignment="1">
      <alignment horizontal="center" vertical="center" wrapText="1"/>
    </xf>
    <xf numFmtId="0" fontId="9" fillId="19" borderId="27" xfId="37" applyFont="1" applyFill="1" applyBorder="1" applyAlignment="1">
      <alignment horizontal="center" vertical="center" wrapText="1"/>
    </xf>
    <xf numFmtId="0" fontId="9" fillId="19" borderId="12" xfId="37" applyFont="1" applyFill="1" applyBorder="1" applyAlignment="1">
      <alignment horizontal="center" vertical="center" wrapText="1"/>
    </xf>
    <xf numFmtId="0" fontId="2" fillId="19" borderId="28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31" fillId="19" borderId="15" xfId="37" applyFont="1" applyFill="1" applyBorder="1" applyAlignment="1">
      <alignment horizontal="center" vertical="center" wrapText="1"/>
    </xf>
    <xf numFmtId="0" fontId="31" fillId="19" borderId="14" xfId="37" applyFont="1" applyFill="1" applyBorder="1" applyAlignment="1">
      <alignment horizontal="center" vertical="center" wrapText="1"/>
    </xf>
    <xf numFmtId="0" fontId="31" fillId="19" borderId="11" xfId="37" applyFont="1" applyFill="1" applyBorder="1" applyAlignment="1">
      <alignment horizontal="center"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31" fillId="19" borderId="26" xfId="37" applyFont="1" applyFill="1" applyBorder="1" applyAlignment="1">
      <alignment horizontal="center" vertical="center" wrapText="1"/>
    </xf>
    <xf numFmtId="0" fontId="31" fillId="19" borderId="27" xfId="37" applyFont="1" applyFill="1" applyBorder="1" applyAlignment="1">
      <alignment horizontal="center" vertical="center" wrapText="1"/>
    </xf>
    <xf numFmtId="0" fontId="31" fillId="19" borderId="12" xfId="37" applyFont="1" applyFill="1" applyBorder="1" applyAlignment="1">
      <alignment horizontal="center" vertical="center" wrapText="1"/>
    </xf>
    <xf numFmtId="0" fontId="6" fillId="0" borderId="10" xfId="37" applyFont="1" applyBorder="1" applyAlignment="1">
      <alignment horizontal="left" vertical="center" wrapText="1"/>
    </xf>
    <xf numFmtId="0" fontId="6" fillId="20" borderId="10" xfId="37" applyFont="1" applyFill="1" applyBorder="1" applyAlignment="1">
      <alignment horizontal="left" vertical="center" wrapText="1"/>
    </xf>
    <xf numFmtId="0" fontId="6" fillId="19" borderId="30" xfId="37" applyFont="1" applyFill="1" applyBorder="1" applyAlignment="1">
      <alignment horizontal="center" vertical="center" wrapText="1"/>
    </xf>
    <xf numFmtId="0" fontId="6" fillId="19" borderId="31" xfId="37" applyFont="1" applyFill="1" applyBorder="1" applyAlignment="1">
      <alignment horizontal="center" vertical="center" wrapText="1"/>
    </xf>
    <xf numFmtId="0" fontId="6" fillId="19" borderId="16" xfId="37" applyFont="1" applyFill="1" applyBorder="1" applyAlignment="1">
      <alignment horizontal="center" vertical="center" wrapText="1"/>
    </xf>
    <xf numFmtId="0" fontId="6" fillId="20" borderId="14" xfId="37" applyFont="1" applyFill="1" applyBorder="1" applyAlignment="1">
      <alignment horizontal="left" vertical="center" wrapText="1"/>
    </xf>
    <xf numFmtId="0" fontId="6" fillId="20" borderId="11" xfId="37" applyFont="1" applyFill="1" applyBorder="1" applyAlignment="1">
      <alignment horizontal="left" vertical="center" wrapText="1"/>
    </xf>
    <xf numFmtId="0" fontId="6" fillId="0" borderId="14" xfId="37" applyFont="1" applyBorder="1" applyAlignment="1">
      <alignment horizontal="left" vertical="center" wrapText="1"/>
    </xf>
    <xf numFmtId="0" fontId="6" fillId="0" borderId="11" xfId="37" applyFont="1" applyBorder="1" applyAlignment="1">
      <alignment horizontal="left" vertical="center" wrapText="1"/>
    </xf>
    <xf numFmtId="0" fontId="6" fillId="19" borderId="26" xfId="37" applyFont="1" applyFill="1" applyBorder="1" applyAlignment="1">
      <alignment horizontal="center" vertical="center" wrapText="1"/>
    </xf>
    <xf numFmtId="0" fontId="6" fillId="19" borderId="27" xfId="37" applyFont="1" applyFill="1" applyBorder="1" applyAlignment="1">
      <alignment horizontal="center" vertical="center" wrapText="1"/>
    </xf>
    <xf numFmtId="0" fontId="6" fillId="19" borderId="12" xfId="37" applyFont="1" applyFill="1" applyBorder="1" applyAlignment="1">
      <alignment horizontal="center" vertical="center" wrapText="1"/>
    </xf>
    <xf numFmtId="0" fontId="6" fillId="20" borderId="23" xfId="37" applyFont="1" applyFill="1" applyBorder="1" applyAlignment="1">
      <alignment horizontal="left" vertical="center" wrapText="1"/>
    </xf>
    <xf numFmtId="0" fontId="6" fillId="19" borderId="10" xfId="37" applyNumberFormat="1" applyFont="1" applyFill="1" applyBorder="1" applyAlignment="1">
      <alignment horizontal="center" vertical="center" wrapText="1"/>
    </xf>
    <xf numFmtId="0" fontId="9" fillId="19" borderId="14" xfId="37" applyFont="1" applyFill="1" applyBorder="1" applyAlignment="1">
      <alignment horizontal="center" vertical="center" wrapText="1"/>
    </xf>
    <xf numFmtId="0" fontId="9" fillId="19" borderId="11" xfId="37" applyFont="1" applyFill="1" applyBorder="1" applyAlignment="1">
      <alignment horizontal="center" vertical="center" wrapText="1"/>
    </xf>
    <xf numFmtId="0" fontId="9" fillId="19" borderId="33" xfId="37" applyFont="1" applyFill="1" applyBorder="1" applyAlignment="1">
      <alignment horizontal="center" vertical="center" wrapText="1"/>
    </xf>
    <xf numFmtId="0" fontId="6" fillId="19" borderId="34" xfId="37" applyFont="1" applyFill="1" applyBorder="1" applyAlignment="1">
      <alignment horizontal="center" vertical="center" wrapText="1"/>
    </xf>
    <xf numFmtId="0" fontId="6" fillId="19" borderId="35" xfId="37" applyFont="1" applyFill="1" applyBorder="1" applyAlignment="1">
      <alignment horizontal="center" vertical="center" wrapText="1"/>
    </xf>
    <xf numFmtId="0" fontId="6" fillId="19" borderId="18" xfId="37" applyFont="1" applyFill="1" applyBorder="1" applyAlignment="1">
      <alignment horizontal="center" vertical="center" wrapText="1"/>
    </xf>
    <xf numFmtId="0" fontId="4" fillId="0" borderId="0" xfId="37" applyFont="1" applyAlignment="1">
      <alignment horizontal="center" vertical="center" wrapText="1"/>
    </xf>
    <xf numFmtId="0" fontId="3" fillId="19" borderId="17" xfId="37" applyFont="1" applyFill="1" applyBorder="1" applyAlignment="1">
      <alignment horizontal="center" vertical="center" wrapText="1"/>
    </xf>
    <xf numFmtId="0" fontId="9" fillId="19" borderId="19" xfId="37" applyFont="1" applyFill="1" applyBorder="1" applyAlignment="1">
      <alignment horizontal="center" vertical="center" wrapText="1"/>
    </xf>
    <xf numFmtId="0" fontId="3" fillId="0" borderId="0" xfId="37" applyFont="1" applyBorder="1" applyAlignment="1">
      <alignment horizontal="left" vertical="center" wrapText="1"/>
    </xf>
    <xf numFmtId="0" fontId="3" fillId="0" borderId="31" xfId="37" applyFont="1" applyBorder="1" applyAlignment="1">
      <alignment horizontal="left" vertical="center" wrapText="1"/>
    </xf>
    <xf numFmtId="0" fontId="3" fillId="19" borderId="10" xfId="37" applyFont="1" applyFill="1" applyBorder="1" applyAlignment="1">
      <alignment horizontal="center" vertical="center" wrapText="1"/>
    </xf>
    <xf numFmtId="0" fontId="3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center" vertical="center" wrapText="1"/>
    </xf>
    <xf numFmtId="0" fontId="2" fillId="0" borderId="14" xfId="37" applyFont="1" applyBorder="1" applyAlignment="1">
      <alignment horizontal="center" vertical="center" wrapText="1"/>
    </xf>
    <xf numFmtId="0" fontId="2" fillId="0" borderId="11" xfId="37" applyFont="1" applyBorder="1" applyAlignment="1">
      <alignment horizontal="center" vertical="center" wrapText="1"/>
    </xf>
    <xf numFmtId="0" fontId="2" fillId="20" borderId="15" xfId="37" applyFont="1" applyFill="1" applyBorder="1" applyAlignment="1">
      <alignment horizontal="center" vertical="center" wrapText="1"/>
    </xf>
    <xf numFmtId="0" fontId="2" fillId="20" borderId="14" xfId="37" applyFont="1" applyFill="1" applyBorder="1" applyAlignment="1">
      <alignment horizontal="center" vertical="center" wrapText="1"/>
    </xf>
    <xf numFmtId="0" fontId="2" fillId="20" borderId="11" xfId="37" applyFont="1" applyFill="1" applyBorder="1" applyAlignment="1">
      <alignment horizontal="center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0" fontId="2" fillId="0" borderId="0" xfId="37" applyFont="1" applyBorder="1" applyAlignment="1">
      <alignment horizontal="left" vertical="center" wrapText="1"/>
    </xf>
    <xf numFmtId="1" fontId="2" fillId="0" borderId="10" xfId="37" applyNumberFormat="1" applyFont="1" applyBorder="1" applyAlignment="1">
      <alignment horizontal="left" vertical="center" wrapText="1"/>
    </xf>
    <xf numFmtId="0" fontId="6" fillId="19" borderId="25" xfId="37" applyFont="1" applyFill="1" applyBorder="1" applyAlignment="1">
      <alignment horizontal="center" vertical="center" wrapText="1"/>
    </xf>
    <xf numFmtId="0" fontId="6" fillId="19" borderId="0" xfId="37" applyFont="1" applyFill="1" applyBorder="1" applyAlignment="1">
      <alignment horizontal="center" vertical="center" wrapText="1"/>
    </xf>
    <xf numFmtId="0" fontId="6" fillId="19" borderId="32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26" xfId="37" applyFont="1" applyFill="1" applyBorder="1" applyAlignment="1">
      <alignment horizontal="center" vertical="center" wrapText="1"/>
    </xf>
    <xf numFmtId="0" fontId="5" fillId="19" borderId="27" xfId="37" applyFont="1" applyFill="1" applyBorder="1" applyAlignment="1">
      <alignment horizontal="center" vertical="center" wrapText="1"/>
    </xf>
    <xf numFmtId="0" fontId="5" fillId="19" borderId="12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107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76" t="str">
        <f>CONCATENATE("Informacja z wykonania budżetów gmin za ",$C$104," ",$B$105," roku   ",$B$107,"")</f>
        <v xml:space="preserve">Informacja z wykonania budżetów gmin za II Kwartały 2023 roku   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92" t="s">
        <v>134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5" spans="1:17" ht="13.5" customHeight="1" x14ac:dyDescent="0.2">
      <c r="B5" s="39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38"/>
      <c r="O5" s="38"/>
      <c r="P5" s="38"/>
      <c r="Q5" s="38"/>
    </row>
    <row r="6" spans="1:17" ht="13.5" customHeight="1" x14ac:dyDescent="0.2">
      <c r="A6" s="116" t="s">
        <v>0</v>
      </c>
      <c r="B6" s="114" t="s">
        <v>135</v>
      </c>
      <c r="C6" s="64" t="s">
        <v>139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  <c r="O6" s="72" t="s">
        <v>138</v>
      </c>
      <c r="P6" s="73"/>
      <c r="Q6" s="74"/>
    </row>
    <row r="7" spans="1:17" ht="13.5" customHeight="1" x14ac:dyDescent="0.2">
      <c r="A7" s="117"/>
      <c r="B7" s="115"/>
      <c r="C7" s="82" t="s">
        <v>136</v>
      </c>
      <c r="D7" s="82" t="s">
        <v>149</v>
      </c>
      <c r="E7" s="82" t="s">
        <v>140</v>
      </c>
      <c r="F7" s="82" t="s">
        <v>141</v>
      </c>
      <c r="G7" s="82" t="s">
        <v>76</v>
      </c>
      <c r="H7" s="82" t="s">
        <v>77</v>
      </c>
      <c r="I7" s="119" t="s">
        <v>137</v>
      </c>
      <c r="J7" s="82" t="s">
        <v>59</v>
      </c>
      <c r="K7" s="82" t="s">
        <v>60</v>
      </c>
      <c r="L7" s="82" t="s">
        <v>61</v>
      </c>
      <c r="M7" s="82" t="s">
        <v>62</v>
      </c>
      <c r="N7" s="115" t="s">
        <v>63</v>
      </c>
      <c r="O7" s="75" t="s">
        <v>64</v>
      </c>
      <c r="P7" s="75" t="s">
        <v>65</v>
      </c>
      <c r="Q7" s="75" t="s">
        <v>66</v>
      </c>
    </row>
    <row r="8" spans="1:17" ht="13.5" customHeight="1" x14ac:dyDescent="0.2">
      <c r="A8" s="117"/>
      <c r="B8" s="115"/>
      <c r="C8" s="77"/>
      <c r="D8" s="77"/>
      <c r="E8" s="77"/>
      <c r="F8" s="77"/>
      <c r="G8" s="77"/>
      <c r="H8" s="77"/>
      <c r="I8" s="119"/>
      <c r="J8" s="77"/>
      <c r="K8" s="77"/>
      <c r="L8" s="77"/>
      <c r="M8" s="77"/>
      <c r="N8" s="115"/>
      <c r="O8" s="75"/>
      <c r="P8" s="75"/>
      <c r="Q8" s="75"/>
    </row>
    <row r="9" spans="1:17" ht="11.25" customHeight="1" x14ac:dyDescent="0.2">
      <c r="A9" s="117"/>
      <c r="B9" s="115"/>
      <c r="C9" s="77"/>
      <c r="D9" s="77"/>
      <c r="E9" s="77"/>
      <c r="F9" s="77"/>
      <c r="G9" s="77"/>
      <c r="H9" s="77"/>
      <c r="I9" s="119"/>
      <c r="J9" s="77"/>
      <c r="K9" s="77"/>
      <c r="L9" s="77"/>
      <c r="M9" s="77"/>
      <c r="N9" s="115"/>
      <c r="O9" s="75"/>
      <c r="P9" s="75"/>
      <c r="Q9" s="75"/>
    </row>
    <row r="10" spans="1:17" ht="16.5" customHeight="1" x14ac:dyDescent="0.2">
      <c r="A10" s="118"/>
      <c r="B10" s="82"/>
      <c r="C10" s="77"/>
      <c r="D10" s="77"/>
      <c r="E10" s="77"/>
      <c r="F10" s="77"/>
      <c r="G10" s="77"/>
      <c r="H10" s="77"/>
      <c r="I10" s="120"/>
      <c r="J10" s="77"/>
      <c r="K10" s="77"/>
      <c r="L10" s="77"/>
      <c r="M10" s="77"/>
      <c r="N10" s="82"/>
      <c r="O10" s="75"/>
      <c r="P10" s="75"/>
      <c r="Q10" s="75"/>
    </row>
    <row r="11" spans="1:17" ht="16.5" customHeight="1" x14ac:dyDescent="0.2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  <c r="K11" s="41">
        <v>11</v>
      </c>
      <c r="L11" s="41">
        <v>12</v>
      </c>
      <c r="M11" s="41">
        <v>13</v>
      </c>
      <c r="N11" s="41">
        <v>14</v>
      </c>
      <c r="O11" s="41">
        <v>15</v>
      </c>
      <c r="P11" s="41">
        <v>16</v>
      </c>
      <c r="Q11" s="41">
        <v>17</v>
      </c>
    </row>
    <row r="12" spans="1:17" ht="13.5" customHeight="1" x14ac:dyDescent="0.2">
      <c r="A12" s="41"/>
      <c r="B12" s="124" t="s">
        <v>152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69"/>
      <c r="P12" s="69"/>
      <c r="Q12" s="70"/>
    </row>
    <row r="13" spans="1:17" ht="48" x14ac:dyDescent="0.2">
      <c r="A13" s="55" t="s">
        <v>107</v>
      </c>
      <c r="B13" s="56">
        <f>33490235717.98</f>
        <v>33490235717.98</v>
      </c>
      <c r="C13" s="56">
        <f>33490233190.53</f>
        <v>33490233190.529999</v>
      </c>
      <c r="D13" s="56">
        <f>2392007332.69</f>
        <v>2392007332.6900001</v>
      </c>
      <c r="E13" s="56">
        <f>217737722.82</f>
        <v>217737722.81999999</v>
      </c>
      <c r="F13" s="56">
        <f>430072566.03</f>
        <v>430072566.02999997</v>
      </c>
      <c r="G13" s="56">
        <f>1743590248.69</f>
        <v>1743590248.6900001</v>
      </c>
      <c r="H13" s="56">
        <f>606795.15</f>
        <v>606795.15</v>
      </c>
      <c r="I13" s="56">
        <f>0</f>
        <v>0</v>
      </c>
      <c r="J13" s="56">
        <f>29124349646.98</f>
        <v>29124349646.98</v>
      </c>
      <c r="K13" s="56">
        <f>1702446437.78</f>
        <v>1702446437.78</v>
      </c>
      <c r="L13" s="56">
        <f>242248963.15</f>
        <v>242248963.15000001</v>
      </c>
      <c r="M13" s="56">
        <f>18696780.41</f>
        <v>18696780.41</v>
      </c>
      <c r="N13" s="56">
        <f>10484029.52</f>
        <v>10484029.52</v>
      </c>
      <c r="O13" s="56">
        <f>2527.45</f>
        <v>2527.4499999999998</v>
      </c>
      <c r="P13" s="56">
        <f>0</f>
        <v>0</v>
      </c>
      <c r="Q13" s="56">
        <f>2527.45</f>
        <v>2527.4499999999998</v>
      </c>
    </row>
    <row r="14" spans="1:17" ht="26.25" customHeight="1" x14ac:dyDescent="0.2">
      <c r="A14" s="57" t="s">
        <v>108</v>
      </c>
      <c r="B14" s="56">
        <f>859900000</f>
        <v>859900000</v>
      </c>
      <c r="C14" s="56">
        <f>859900000</f>
        <v>859900000</v>
      </c>
      <c r="D14" s="56">
        <f>0</f>
        <v>0</v>
      </c>
      <c r="E14" s="56">
        <f>0</f>
        <v>0</v>
      </c>
      <c r="F14" s="56">
        <f>0</f>
        <v>0</v>
      </c>
      <c r="G14" s="56">
        <f>0</f>
        <v>0</v>
      </c>
      <c r="H14" s="56">
        <f>0</f>
        <v>0</v>
      </c>
      <c r="I14" s="56">
        <f>0</f>
        <v>0</v>
      </c>
      <c r="J14" s="56">
        <f>813500000</f>
        <v>813500000</v>
      </c>
      <c r="K14" s="56">
        <f>46400000</f>
        <v>46400000</v>
      </c>
      <c r="L14" s="56">
        <f>0</f>
        <v>0</v>
      </c>
      <c r="M14" s="56">
        <f>0</f>
        <v>0</v>
      </c>
      <c r="N14" s="56">
        <f>0</f>
        <v>0</v>
      </c>
      <c r="O14" s="56">
        <f>0</f>
        <v>0</v>
      </c>
      <c r="P14" s="56">
        <f>0</f>
        <v>0</v>
      </c>
      <c r="Q14" s="56">
        <f>0</f>
        <v>0</v>
      </c>
    </row>
    <row r="15" spans="1:17" ht="27" customHeight="1" x14ac:dyDescent="0.2">
      <c r="A15" s="47" t="s">
        <v>109</v>
      </c>
      <c r="B15" s="61">
        <f>4100000</f>
        <v>4100000</v>
      </c>
      <c r="C15" s="61">
        <f>4100000</f>
        <v>4100000</v>
      </c>
      <c r="D15" s="61">
        <f>0</f>
        <v>0</v>
      </c>
      <c r="E15" s="61">
        <f>0</f>
        <v>0</v>
      </c>
      <c r="F15" s="61">
        <f>0</f>
        <v>0</v>
      </c>
      <c r="G15" s="61">
        <f>0</f>
        <v>0</v>
      </c>
      <c r="H15" s="61">
        <f>0</f>
        <v>0</v>
      </c>
      <c r="I15" s="61">
        <f>0</f>
        <v>0</v>
      </c>
      <c r="J15" s="61">
        <f>4000000</f>
        <v>4000000</v>
      </c>
      <c r="K15" s="61">
        <f>100000</f>
        <v>100000</v>
      </c>
      <c r="L15" s="61">
        <f>0</f>
        <v>0</v>
      </c>
      <c r="M15" s="61">
        <f>0</f>
        <v>0</v>
      </c>
      <c r="N15" s="61">
        <f>0</f>
        <v>0</v>
      </c>
      <c r="O15" s="61">
        <f>0</f>
        <v>0</v>
      </c>
      <c r="P15" s="61">
        <f>0</f>
        <v>0</v>
      </c>
      <c r="Q15" s="61">
        <f>0</f>
        <v>0</v>
      </c>
    </row>
    <row r="16" spans="1:17" ht="24" customHeight="1" x14ac:dyDescent="0.2">
      <c r="A16" s="47" t="s">
        <v>110</v>
      </c>
      <c r="B16" s="61">
        <f>855800000</f>
        <v>855800000</v>
      </c>
      <c r="C16" s="61">
        <f>855800000</f>
        <v>855800000</v>
      </c>
      <c r="D16" s="61">
        <f>0</f>
        <v>0</v>
      </c>
      <c r="E16" s="61">
        <f>0</f>
        <v>0</v>
      </c>
      <c r="F16" s="61">
        <f>0</f>
        <v>0</v>
      </c>
      <c r="G16" s="61">
        <f>0</f>
        <v>0</v>
      </c>
      <c r="H16" s="61">
        <f>0</f>
        <v>0</v>
      </c>
      <c r="I16" s="61">
        <f>0</f>
        <v>0</v>
      </c>
      <c r="J16" s="61">
        <f>809500000</f>
        <v>809500000</v>
      </c>
      <c r="K16" s="61">
        <f>46300000</f>
        <v>46300000</v>
      </c>
      <c r="L16" s="61">
        <f>0</f>
        <v>0</v>
      </c>
      <c r="M16" s="61">
        <f>0</f>
        <v>0</v>
      </c>
      <c r="N16" s="61">
        <f>0</f>
        <v>0</v>
      </c>
      <c r="O16" s="61">
        <f>0</f>
        <v>0</v>
      </c>
      <c r="P16" s="61">
        <f>0</f>
        <v>0</v>
      </c>
      <c r="Q16" s="61">
        <f>0</f>
        <v>0</v>
      </c>
    </row>
    <row r="17" spans="1:17" ht="31.5" customHeight="1" x14ac:dyDescent="0.2">
      <c r="A17" s="58" t="s">
        <v>111</v>
      </c>
      <c r="B17" s="56">
        <f>32561879732.93</f>
        <v>32561879732.93</v>
      </c>
      <c r="C17" s="56">
        <f>32561879732.93</f>
        <v>32561879732.93</v>
      </c>
      <c r="D17" s="56">
        <f>2378004235.57</f>
        <v>2378004235.5700002</v>
      </c>
      <c r="E17" s="56">
        <f>217679900.54</f>
        <v>217679900.53999999</v>
      </c>
      <c r="F17" s="56">
        <f>429806836.21</f>
        <v>429806836.20999998</v>
      </c>
      <c r="G17" s="56">
        <f>1730507788.88</f>
        <v>1730507788.8800001</v>
      </c>
      <c r="H17" s="56">
        <f>9709.94</f>
        <v>9709.94</v>
      </c>
      <c r="I17" s="56">
        <f>0</f>
        <v>0</v>
      </c>
      <c r="J17" s="56">
        <f>28310849177.05</f>
        <v>28310849177.049999</v>
      </c>
      <c r="K17" s="56">
        <f>1655917145.4</f>
        <v>1655917145.4000001</v>
      </c>
      <c r="L17" s="56">
        <f>200481136.87</f>
        <v>200481136.87</v>
      </c>
      <c r="M17" s="56">
        <f>9864624.83</f>
        <v>9864624.8300000001</v>
      </c>
      <c r="N17" s="56">
        <f>6763413.21</f>
        <v>6763413.21</v>
      </c>
      <c r="O17" s="56">
        <f>0</f>
        <v>0</v>
      </c>
      <c r="P17" s="56">
        <f>0</f>
        <v>0</v>
      </c>
      <c r="Q17" s="56">
        <f>0</f>
        <v>0</v>
      </c>
    </row>
    <row r="18" spans="1:17" ht="33" customHeight="1" x14ac:dyDescent="0.2">
      <c r="A18" s="48" t="s">
        <v>112</v>
      </c>
      <c r="B18" s="61">
        <f>496736397.86</f>
        <v>496736397.86000001</v>
      </c>
      <c r="C18" s="61">
        <f>496736397.86</f>
        <v>496736397.86000001</v>
      </c>
      <c r="D18" s="61">
        <f>18743585.31</f>
        <v>18743585.309999999</v>
      </c>
      <c r="E18" s="61">
        <f>9783285.35</f>
        <v>9783285.3499999996</v>
      </c>
      <c r="F18" s="61">
        <f>1510256.87</f>
        <v>1510256.87</v>
      </c>
      <c r="G18" s="61">
        <f>7450043.09</f>
        <v>7450043.0899999999</v>
      </c>
      <c r="H18" s="61">
        <f>0</f>
        <v>0</v>
      </c>
      <c r="I18" s="61">
        <f>0</f>
        <v>0</v>
      </c>
      <c r="J18" s="61">
        <f>475807355.3</f>
        <v>475807355.30000001</v>
      </c>
      <c r="K18" s="61">
        <f>1383750.36</f>
        <v>1383750.36</v>
      </c>
      <c r="L18" s="61">
        <f>771706.89</f>
        <v>771706.89</v>
      </c>
      <c r="M18" s="61">
        <f>30000</f>
        <v>30000</v>
      </c>
      <c r="N18" s="61">
        <f>0</f>
        <v>0</v>
      </c>
      <c r="O18" s="61">
        <f>0</f>
        <v>0</v>
      </c>
      <c r="P18" s="61">
        <f>0</f>
        <v>0</v>
      </c>
      <c r="Q18" s="61">
        <f>0</f>
        <v>0</v>
      </c>
    </row>
    <row r="19" spans="1:17" ht="25.5" customHeight="1" x14ac:dyDescent="0.2">
      <c r="A19" s="49" t="s">
        <v>113</v>
      </c>
      <c r="B19" s="61">
        <f>32065143335.07</f>
        <v>32065143335.07</v>
      </c>
      <c r="C19" s="61">
        <f>32065143335.07</f>
        <v>32065143335.07</v>
      </c>
      <c r="D19" s="61">
        <f>2359260650.26</f>
        <v>2359260650.2600002</v>
      </c>
      <c r="E19" s="61">
        <f>207896615.19</f>
        <v>207896615.19</v>
      </c>
      <c r="F19" s="61">
        <f>428296579.34</f>
        <v>428296579.33999997</v>
      </c>
      <c r="G19" s="61">
        <f>1723057745.79</f>
        <v>1723057745.79</v>
      </c>
      <c r="H19" s="61">
        <f>9709.94</f>
        <v>9709.94</v>
      </c>
      <c r="I19" s="61">
        <f>0</f>
        <v>0</v>
      </c>
      <c r="J19" s="61">
        <f>27835041821.75</f>
        <v>27835041821.75</v>
      </c>
      <c r="K19" s="61">
        <f>1654533395.04</f>
        <v>1654533395.04</v>
      </c>
      <c r="L19" s="61">
        <f>199709429.98</f>
        <v>199709429.97999999</v>
      </c>
      <c r="M19" s="61">
        <f>9834624.83</f>
        <v>9834624.8300000001</v>
      </c>
      <c r="N19" s="61">
        <f>6763413.21</f>
        <v>6763413.21</v>
      </c>
      <c r="O19" s="61">
        <f>0</f>
        <v>0</v>
      </c>
      <c r="P19" s="61">
        <f>0</f>
        <v>0</v>
      </c>
      <c r="Q19" s="61">
        <f>0</f>
        <v>0</v>
      </c>
    </row>
    <row r="20" spans="1:17" ht="27.75" customHeight="1" x14ac:dyDescent="0.2">
      <c r="A20" s="59" t="s">
        <v>114</v>
      </c>
      <c r="B20" s="56">
        <f>0</f>
        <v>0</v>
      </c>
      <c r="C20" s="56">
        <f>0</f>
        <v>0</v>
      </c>
      <c r="D20" s="56">
        <f>0</f>
        <v>0</v>
      </c>
      <c r="E20" s="56">
        <f>0</f>
        <v>0</v>
      </c>
      <c r="F20" s="56">
        <f>0</f>
        <v>0</v>
      </c>
      <c r="G20" s="56">
        <f>0</f>
        <v>0</v>
      </c>
      <c r="H20" s="56">
        <f>0</f>
        <v>0</v>
      </c>
      <c r="I20" s="56">
        <f>0</f>
        <v>0</v>
      </c>
      <c r="J20" s="56">
        <f>0</f>
        <v>0</v>
      </c>
      <c r="K20" s="56">
        <f>0</f>
        <v>0</v>
      </c>
      <c r="L20" s="56">
        <f>0</f>
        <v>0</v>
      </c>
      <c r="M20" s="56">
        <f>0</f>
        <v>0</v>
      </c>
      <c r="N20" s="56">
        <f>0</f>
        <v>0</v>
      </c>
      <c r="O20" s="56">
        <f>0</f>
        <v>0</v>
      </c>
      <c r="P20" s="56">
        <f>0</f>
        <v>0</v>
      </c>
      <c r="Q20" s="56">
        <f>0</f>
        <v>0</v>
      </c>
    </row>
    <row r="21" spans="1:17" ht="36" x14ac:dyDescent="0.2">
      <c r="A21" s="60" t="s">
        <v>115</v>
      </c>
      <c r="B21" s="56">
        <f>68455985.05</f>
        <v>68455985.049999997</v>
      </c>
      <c r="C21" s="56">
        <f>68453457.6</f>
        <v>68453457.599999994</v>
      </c>
      <c r="D21" s="56">
        <f>14003097.12</f>
        <v>14003097.119999999</v>
      </c>
      <c r="E21" s="56">
        <f>57822.28</f>
        <v>57822.28</v>
      </c>
      <c r="F21" s="56">
        <f>265729.82</f>
        <v>265729.82</v>
      </c>
      <c r="G21" s="56">
        <f>13082459.81</f>
        <v>13082459.810000001</v>
      </c>
      <c r="H21" s="56">
        <f>597085.21</f>
        <v>597085.21</v>
      </c>
      <c r="I21" s="56">
        <f>0</f>
        <v>0</v>
      </c>
      <c r="J21" s="56">
        <f>469.93</f>
        <v>469.93</v>
      </c>
      <c r="K21" s="56">
        <f>129292.38</f>
        <v>129292.38</v>
      </c>
      <c r="L21" s="56">
        <f>41767826.28</f>
        <v>41767826.280000001</v>
      </c>
      <c r="M21" s="56">
        <f>8832155.58</f>
        <v>8832155.5800000001</v>
      </c>
      <c r="N21" s="56">
        <f>3720616.31</f>
        <v>3720616.31</v>
      </c>
      <c r="O21" s="56">
        <f>2527.45</f>
        <v>2527.4499999999998</v>
      </c>
      <c r="P21" s="56">
        <f>0</f>
        <v>0</v>
      </c>
      <c r="Q21" s="56">
        <f>2527.45</f>
        <v>2527.4499999999998</v>
      </c>
    </row>
    <row r="22" spans="1:17" ht="27" customHeight="1" x14ac:dyDescent="0.2">
      <c r="A22" s="47" t="s">
        <v>116</v>
      </c>
      <c r="B22" s="61">
        <f>37649376.75</f>
        <v>37649376.75</v>
      </c>
      <c r="C22" s="61">
        <f>37649376.75</f>
        <v>37649376.75</v>
      </c>
      <c r="D22" s="61">
        <f>2019248.51</f>
        <v>2019248.51</v>
      </c>
      <c r="E22" s="61">
        <f>0</f>
        <v>0</v>
      </c>
      <c r="F22" s="61">
        <f>7149.57</f>
        <v>7149.57</v>
      </c>
      <c r="G22" s="61">
        <f>2012098.94</f>
        <v>2012098.94</v>
      </c>
      <c r="H22" s="61">
        <f>0</f>
        <v>0</v>
      </c>
      <c r="I22" s="61">
        <f>0</f>
        <v>0</v>
      </c>
      <c r="J22" s="61">
        <f>0</f>
        <v>0</v>
      </c>
      <c r="K22" s="61">
        <f>10</f>
        <v>10</v>
      </c>
      <c r="L22" s="61">
        <f>28371572.77</f>
        <v>28371572.77</v>
      </c>
      <c r="M22" s="61">
        <f>4111831.38</f>
        <v>4111831.38</v>
      </c>
      <c r="N22" s="61">
        <f>3146714.09</f>
        <v>3146714.09</v>
      </c>
      <c r="O22" s="61">
        <f>0</f>
        <v>0</v>
      </c>
      <c r="P22" s="61">
        <f>0</f>
        <v>0</v>
      </c>
      <c r="Q22" s="61">
        <f>0</f>
        <v>0</v>
      </c>
    </row>
    <row r="23" spans="1:17" ht="31.5" customHeight="1" x14ac:dyDescent="0.2">
      <c r="A23" s="53" t="s">
        <v>117</v>
      </c>
      <c r="B23" s="61">
        <f>30806608.3</f>
        <v>30806608.300000001</v>
      </c>
      <c r="C23" s="61">
        <f>30804080.85</f>
        <v>30804080.850000001</v>
      </c>
      <c r="D23" s="61">
        <f>11983848.61</f>
        <v>11983848.609999999</v>
      </c>
      <c r="E23" s="61">
        <f>57822.28</f>
        <v>57822.28</v>
      </c>
      <c r="F23" s="61">
        <f>258580.25</f>
        <v>258580.25</v>
      </c>
      <c r="G23" s="61">
        <f>11070360.87</f>
        <v>11070360.869999999</v>
      </c>
      <c r="H23" s="61">
        <f>597085.21</f>
        <v>597085.21</v>
      </c>
      <c r="I23" s="61">
        <f>0</f>
        <v>0</v>
      </c>
      <c r="J23" s="61">
        <f>469.93</f>
        <v>469.93</v>
      </c>
      <c r="K23" s="61">
        <f>129282.38</f>
        <v>129282.38</v>
      </c>
      <c r="L23" s="61">
        <f>13396253.51</f>
        <v>13396253.51</v>
      </c>
      <c r="M23" s="61">
        <f>4720324.2</f>
        <v>4720324.2</v>
      </c>
      <c r="N23" s="61">
        <f>573902.22</f>
        <v>573902.22</v>
      </c>
      <c r="O23" s="61">
        <f>2527.45</f>
        <v>2527.4499999999998</v>
      </c>
      <c r="P23" s="61">
        <f>0</f>
        <v>0</v>
      </c>
      <c r="Q23" s="61">
        <f>2527.45</f>
        <v>2527.4499999999998</v>
      </c>
    </row>
    <row r="24" spans="1:17" ht="19.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 ht="19.5" customHeight="1" x14ac:dyDescent="0.2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ht="19.5" customHeight="1" x14ac:dyDescent="0.2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17" ht="19.5" customHeight="1" x14ac:dyDescent="0.2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 ht="19.5" customHeight="1" x14ac:dyDescent="0.2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1:17" ht="19.5" customHeight="1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7" ht="19.5" customHeight="1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1:17" ht="19.5" customHeight="1" x14ac:dyDescent="0.2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1:17" ht="19.5" customHeight="1" x14ac:dyDescent="0.2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ht="19.5" customHeight="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7" ht="45.75" customHeight="1" x14ac:dyDescent="0.2">
      <c r="A34" s="76" t="str">
        <f>CONCATENATE("Informacja z wykonania budżetów gmin za ",$C$104," ",$B$105," roku   ",$B$107,"")</f>
        <v xml:space="preserve">Informacja z wykonania budżetów gmin za II Kwartały 2023 roku   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</row>
    <row r="36" spans="1:17" ht="13.5" customHeight="1" x14ac:dyDescent="0.2">
      <c r="A36" s="92" t="s">
        <v>52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</row>
    <row r="38" spans="1:17" ht="13.5" customHeight="1" x14ac:dyDescent="0.2">
      <c r="A38" s="126" t="s">
        <v>0</v>
      </c>
      <c r="B38" s="114" t="s">
        <v>53</v>
      </c>
      <c r="C38" s="64" t="s">
        <v>55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6"/>
      <c r="O38" s="121" t="s">
        <v>73</v>
      </c>
      <c r="P38" s="122"/>
      <c r="Q38" s="123"/>
    </row>
    <row r="39" spans="1:17" ht="13.5" customHeight="1" x14ac:dyDescent="0.2">
      <c r="A39" s="127"/>
      <c r="B39" s="115"/>
      <c r="C39" s="115" t="s">
        <v>54</v>
      </c>
      <c r="D39" s="77" t="s">
        <v>57</v>
      </c>
      <c r="E39" s="77" t="s">
        <v>74</v>
      </c>
      <c r="F39" s="77" t="s">
        <v>75</v>
      </c>
      <c r="G39" s="77" t="s">
        <v>145</v>
      </c>
      <c r="H39" s="77" t="s">
        <v>77</v>
      </c>
      <c r="I39" s="77" t="s">
        <v>4</v>
      </c>
      <c r="J39" s="77" t="s">
        <v>59</v>
      </c>
      <c r="K39" s="77" t="s">
        <v>60</v>
      </c>
      <c r="L39" s="77" t="s">
        <v>61</v>
      </c>
      <c r="M39" s="77" t="s">
        <v>62</v>
      </c>
      <c r="N39" s="81" t="s">
        <v>63</v>
      </c>
      <c r="O39" s="75" t="s">
        <v>64</v>
      </c>
      <c r="P39" s="75" t="s">
        <v>65</v>
      </c>
      <c r="Q39" s="78" t="s">
        <v>66</v>
      </c>
    </row>
    <row r="40" spans="1:17" ht="11.25" customHeight="1" x14ac:dyDescent="0.2">
      <c r="A40" s="127"/>
      <c r="B40" s="115"/>
      <c r="C40" s="115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1"/>
      <c r="O40" s="75"/>
      <c r="P40" s="75"/>
      <c r="Q40" s="79"/>
    </row>
    <row r="41" spans="1:17" ht="32.25" customHeight="1" x14ac:dyDescent="0.2">
      <c r="A41" s="128"/>
      <c r="B41" s="82"/>
      <c r="C41" s="82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81"/>
      <c r="O41" s="75"/>
      <c r="P41" s="75"/>
      <c r="Q41" s="80"/>
    </row>
    <row r="42" spans="1:17" ht="12.75" customHeight="1" x14ac:dyDescent="0.2">
      <c r="A42" s="41">
        <v>1</v>
      </c>
      <c r="B42" s="41">
        <v>2</v>
      </c>
      <c r="C42" s="41">
        <v>3</v>
      </c>
      <c r="D42" s="41">
        <v>4</v>
      </c>
      <c r="E42" s="41">
        <v>5</v>
      </c>
      <c r="F42" s="41">
        <v>6</v>
      </c>
      <c r="G42" s="41">
        <v>7</v>
      </c>
      <c r="H42" s="41">
        <v>8</v>
      </c>
      <c r="I42" s="41">
        <v>9</v>
      </c>
      <c r="J42" s="41">
        <v>10</v>
      </c>
      <c r="K42" s="41">
        <v>11</v>
      </c>
      <c r="L42" s="41">
        <v>12</v>
      </c>
      <c r="M42" s="41">
        <v>13</v>
      </c>
      <c r="N42" s="41">
        <v>14</v>
      </c>
      <c r="O42" s="41">
        <v>15</v>
      </c>
      <c r="P42" s="41">
        <v>16</v>
      </c>
      <c r="Q42" s="41">
        <v>17</v>
      </c>
    </row>
    <row r="43" spans="1:17" ht="13.5" customHeight="1" x14ac:dyDescent="0.2">
      <c r="A43" s="41"/>
      <c r="B43" s="64" t="s">
        <v>152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6"/>
    </row>
    <row r="44" spans="1:17" ht="24.75" customHeight="1" x14ac:dyDescent="0.2">
      <c r="A44" s="62" t="s">
        <v>92</v>
      </c>
      <c r="B44" s="63">
        <f>4913430</f>
        <v>4913430</v>
      </c>
      <c r="C44" s="63">
        <f>4913430</f>
        <v>4913430</v>
      </c>
      <c r="D44" s="63">
        <f>11436.8</f>
        <v>11436.8</v>
      </c>
      <c r="E44" s="63">
        <f>11436.8</f>
        <v>11436.8</v>
      </c>
      <c r="F44" s="63">
        <f>0</f>
        <v>0</v>
      </c>
      <c r="G44" s="63">
        <f>0</f>
        <v>0</v>
      </c>
      <c r="H44" s="63">
        <f>0</f>
        <v>0</v>
      </c>
      <c r="I44" s="63">
        <f>0</f>
        <v>0</v>
      </c>
      <c r="J44" s="63">
        <f>128844.4</f>
        <v>128844.4</v>
      </c>
      <c r="K44" s="63">
        <f>25760</f>
        <v>25760</v>
      </c>
      <c r="L44" s="63">
        <f>1355082.32</f>
        <v>1355082.32</v>
      </c>
      <c r="M44" s="63">
        <f>3149064.95</f>
        <v>3149064.95</v>
      </c>
      <c r="N44" s="63">
        <f>243241.53</f>
        <v>243241.53</v>
      </c>
      <c r="O44" s="63">
        <f>0</f>
        <v>0</v>
      </c>
      <c r="P44" s="63">
        <f>0</f>
        <v>0</v>
      </c>
      <c r="Q44" s="63">
        <f>0</f>
        <v>0</v>
      </c>
    </row>
    <row r="45" spans="1:17" ht="24.75" customHeight="1" x14ac:dyDescent="0.2">
      <c r="A45" s="51" t="s">
        <v>80</v>
      </c>
      <c r="B45" s="54">
        <f>270621.59</f>
        <v>270621.59000000003</v>
      </c>
      <c r="C45" s="54">
        <f>270621.59</f>
        <v>270621.59000000003</v>
      </c>
      <c r="D45" s="54">
        <f>714.8</f>
        <v>714.8</v>
      </c>
      <c r="E45" s="54">
        <f>714.8</f>
        <v>714.8</v>
      </c>
      <c r="F45" s="54">
        <f>0</f>
        <v>0</v>
      </c>
      <c r="G45" s="54">
        <f>0</f>
        <v>0</v>
      </c>
      <c r="H45" s="54">
        <f>0</f>
        <v>0</v>
      </c>
      <c r="I45" s="54">
        <f>0</f>
        <v>0</v>
      </c>
      <c r="J45" s="54">
        <f>6000</f>
        <v>6000</v>
      </c>
      <c r="K45" s="54">
        <f>0</f>
        <v>0</v>
      </c>
      <c r="L45" s="54">
        <f>0</f>
        <v>0</v>
      </c>
      <c r="M45" s="54">
        <f>23906.79</f>
        <v>23906.79</v>
      </c>
      <c r="N45" s="54">
        <f>240000</f>
        <v>240000</v>
      </c>
      <c r="O45" s="42">
        <f>0</f>
        <v>0</v>
      </c>
      <c r="P45" s="42">
        <f>0</f>
        <v>0</v>
      </c>
      <c r="Q45" s="42">
        <f>0</f>
        <v>0</v>
      </c>
    </row>
    <row r="46" spans="1:17" ht="24.75" customHeight="1" x14ac:dyDescent="0.2">
      <c r="A46" s="51" t="s">
        <v>81</v>
      </c>
      <c r="B46" s="54">
        <f>4642808.41</f>
        <v>4642808.41</v>
      </c>
      <c r="C46" s="54">
        <f>4642808.41</f>
        <v>4642808.41</v>
      </c>
      <c r="D46" s="54">
        <f>10722</f>
        <v>10722</v>
      </c>
      <c r="E46" s="54">
        <f>10722</f>
        <v>10722</v>
      </c>
      <c r="F46" s="54">
        <f>0</f>
        <v>0</v>
      </c>
      <c r="G46" s="54">
        <f>0</f>
        <v>0</v>
      </c>
      <c r="H46" s="54">
        <f>0</f>
        <v>0</v>
      </c>
      <c r="I46" s="54">
        <f>0</f>
        <v>0</v>
      </c>
      <c r="J46" s="54">
        <f>122844.4</f>
        <v>122844.4</v>
      </c>
      <c r="K46" s="54">
        <f>25760</f>
        <v>25760</v>
      </c>
      <c r="L46" s="54">
        <f>1355082.32</f>
        <v>1355082.32</v>
      </c>
      <c r="M46" s="54">
        <f>3125158.16</f>
        <v>3125158.16</v>
      </c>
      <c r="N46" s="54">
        <f>3241.53</f>
        <v>3241.53</v>
      </c>
      <c r="O46" s="42">
        <f>0</f>
        <v>0</v>
      </c>
      <c r="P46" s="42">
        <f>0</f>
        <v>0</v>
      </c>
      <c r="Q46" s="42">
        <f>0</f>
        <v>0</v>
      </c>
    </row>
    <row r="47" spans="1:17" ht="24.75" customHeight="1" x14ac:dyDescent="0.2">
      <c r="A47" s="52" t="s">
        <v>93</v>
      </c>
      <c r="B47" s="54">
        <f>446194585.93</f>
        <v>446194585.93000001</v>
      </c>
      <c r="C47" s="54">
        <f>446190702.27</f>
        <v>446190702.26999998</v>
      </c>
      <c r="D47" s="54">
        <f>32737524.41</f>
        <v>32737524.41</v>
      </c>
      <c r="E47" s="54">
        <f>8824.27</f>
        <v>8824.27</v>
      </c>
      <c r="F47" s="54">
        <f>179232</f>
        <v>179232</v>
      </c>
      <c r="G47" s="54">
        <f>27246580.14</f>
        <v>27246580.140000001</v>
      </c>
      <c r="H47" s="54">
        <f>5302888</f>
        <v>5302888</v>
      </c>
      <c r="I47" s="54">
        <f>0</f>
        <v>0</v>
      </c>
      <c r="J47" s="54">
        <f>183414.42</f>
        <v>183414.42</v>
      </c>
      <c r="K47" s="54">
        <f>0</f>
        <v>0</v>
      </c>
      <c r="L47" s="54">
        <f>189626149.48</f>
        <v>189626149.47999999</v>
      </c>
      <c r="M47" s="54">
        <f>189805607.5</f>
        <v>189805607.5</v>
      </c>
      <c r="N47" s="54">
        <f>33838006.46</f>
        <v>33838006.460000001</v>
      </c>
      <c r="O47" s="42">
        <f>3883.66</f>
        <v>3883.66</v>
      </c>
      <c r="P47" s="42">
        <f>3883.66</f>
        <v>3883.66</v>
      </c>
      <c r="Q47" s="42">
        <f>0</f>
        <v>0</v>
      </c>
    </row>
    <row r="48" spans="1:17" ht="24.75" customHeight="1" x14ac:dyDescent="0.2">
      <c r="A48" s="51" t="s">
        <v>82</v>
      </c>
      <c r="B48" s="54">
        <f>82879409.92</f>
        <v>82879409.920000002</v>
      </c>
      <c r="C48" s="54">
        <f>82879409.92</f>
        <v>82879409.920000002</v>
      </c>
      <c r="D48" s="54">
        <f>17842689.38</f>
        <v>17842689.379999999</v>
      </c>
      <c r="E48" s="54">
        <f>0</f>
        <v>0</v>
      </c>
      <c r="F48" s="54">
        <f>175000</f>
        <v>175000</v>
      </c>
      <c r="G48" s="54">
        <f>12367689.38</f>
        <v>12367689.380000001</v>
      </c>
      <c r="H48" s="54">
        <f>5300000</f>
        <v>5300000</v>
      </c>
      <c r="I48" s="54">
        <f>0</f>
        <v>0</v>
      </c>
      <c r="J48" s="54">
        <f>78337</f>
        <v>78337</v>
      </c>
      <c r="K48" s="54">
        <f>0</f>
        <v>0</v>
      </c>
      <c r="L48" s="54">
        <f>44379901.7</f>
        <v>44379901.700000003</v>
      </c>
      <c r="M48" s="54">
        <f>4338768.47</f>
        <v>4338768.47</v>
      </c>
      <c r="N48" s="54">
        <f>16239713.37</f>
        <v>16239713.369999999</v>
      </c>
      <c r="O48" s="42">
        <f>0</f>
        <v>0</v>
      </c>
      <c r="P48" s="42">
        <f>0</f>
        <v>0</v>
      </c>
      <c r="Q48" s="42">
        <f>0</f>
        <v>0</v>
      </c>
    </row>
    <row r="49" spans="1:17" ht="24.75" customHeight="1" x14ac:dyDescent="0.2">
      <c r="A49" s="51" t="s">
        <v>83</v>
      </c>
      <c r="B49" s="54">
        <f>363315176.01</f>
        <v>363315176.00999999</v>
      </c>
      <c r="C49" s="54">
        <f>363311292.35</f>
        <v>363311292.35000002</v>
      </c>
      <c r="D49" s="54">
        <f>14894835.03</f>
        <v>14894835.029999999</v>
      </c>
      <c r="E49" s="54">
        <f>8824.27</f>
        <v>8824.27</v>
      </c>
      <c r="F49" s="54">
        <f>4232</f>
        <v>4232</v>
      </c>
      <c r="G49" s="54">
        <f>14878890.76</f>
        <v>14878890.76</v>
      </c>
      <c r="H49" s="54">
        <f>2888</f>
        <v>2888</v>
      </c>
      <c r="I49" s="54">
        <f>0</f>
        <v>0</v>
      </c>
      <c r="J49" s="54">
        <f>105077.42</f>
        <v>105077.42</v>
      </c>
      <c r="K49" s="54">
        <f>0</f>
        <v>0</v>
      </c>
      <c r="L49" s="54">
        <f>145246247.78</f>
        <v>145246247.78</v>
      </c>
      <c r="M49" s="54">
        <f>185466839.03</f>
        <v>185466839.03</v>
      </c>
      <c r="N49" s="54">
        <f>17598293.09</f>
        <v>17598293.09</v>
      </c>
      <c r="O49" s="42">
        <f>3883.66</f>
        <v>3883.66</v>
      </c>
      <c r="P49" s="42">
        <f>3883.66</f>
        <v>3883.66</v>
      </c>
      <c r="Q49" s="42">
        <f>0</f>
        <v>0</v>
      </c>
    </row>
    <row r="50" spans="1:17" ht="24.75" customHeight="1" x14ac:dyDescent="0.2">
      <c r="A50" s="62" t="s">
        <v>94</v>
      </c>
      <c r="B50" s="63">
        <f>23750902949.98</f>
        <v>23750902949.98</v>
      </c>
      <c r="C50" s="63">
        <f>23750902949.98</f>
        <v>23750902949.98</v>
      </c>
      <c r="D50" s="63">
        <f>15413382.34</f>
        <v>15413382.34</v>
      </c>
      <c r="E50" s="63">
        <f>666283.6</f>
        <v>666283.6</v>
      </c>
      <c r="F50" s="63">
        <f>7974.58</f>
        <v>7974.58</v>
      </c>
      <c r="G50" s="63">
        <f>14738355.81</f>
        <v>14738355.810000001</v>
      </c>
      <c r="H50" s="63">
        <f>768.35</f>
        <v>768.35</v>
      </c>
      <c r="I50" s="63">
        <f>0</f>
        <v>0</v>
      </c>
      <c r="J50" s="63">
        <f>23724333893.61</f>
        <v>23724333893.610001</v>
      </c>
      <c r="K50" s="63">
        <f>172158.08</f>
        <v>172158.07999999999</v>
      </c>
      <c r="L50" s="63">
        <f>10865905.59</f>
        <v>10865905.59</v>
      </c>
      <c r="M50" s="63">
        <f>117610.36</f>
        <v>117610.36</v>
      </c>
      <c r="N50" s="63">
        <f>0</f>
        <v>0</v>
      </c>
      <c r="O50" s="63">
        <f>0</f>
        <v>0</v>
      </c>
      <c r="P50" s="63">
        <f>0</f>
        <v>0</v>
      </c>
      <c r="Q50" s="63">
        <f>0</f>
        <v>0</v>
      </c>
    </row>
    <row r="51" spans="1:17" ht="24.75" customHeight="1" x14ac:dyDescent="0.2">
      <c r="A51" s="51" t="s">
        <v>84</v>
      </c>
      <c r="B51" s="54">
        <f>8406532.82</f>
        <v>8406532.8200000003</v>
      </c>
      <c r="C51" s="54">
        <f>8406532.82</f>
        <v>8406532.8200000003</v>
      </c>
      <c r="D51" s="54">
        <f>8406500.82</f>
        <v>8406500.8200000003</v>
      </c>
      <c r="E51" s="54">
        <f>0</f>
        <v>0</v>
      </c>
      <c r="F51" s="54">
        <f>0</f>
        <v>0</v>
      </c>
      <c r="G51" s="54">
        <f>8406500.82</f>
        <v>8406500.8200000003</v>
      </c>
      <c r="H51" s="54">
        <f>0</f>
        <v>0</v>
      </c>
      <c r="I51" s="54">
        <f>0</f>
        <v>0</v>
      </c>
      <c r="J51" s="54">
        <f>32</f>
        <v>32</v>
      </c>
      <c r="K51" s="54">
        <f>0</f>
        <v>0</v>
      </c>
      <c r="L51" s="54">
        <f>0</f>
        <v>0</v>
      </c>
      <c r="M51" s="54">
        <f>0</f>
        <v>0</v>
      </c>
      <c r="N51" s="54">
        <f>0</f>
        <v>0</v>
      </c>
      <c r="O51" s="42">
        <f>0</f>
        <v>0</v>
      </c>
      <c r="P51" s="42">
        <f>0</f>
        <v>0</v>
      </c>
      <c r="Q51" s="42">
        <f>0</f>
        <v>0</v>
      </c>
    </row>
    <row r="52" spans="1:17" ht="24.75" customHeight="1" x14ac:dyDescent="0.2">
      <c r="A52" s="51" t="s">
        <v>85</v>
      </c>
      <c r="B52" s="54">
        <f>16267713914.37</f>
        <v>16267713914.370001</v>
      </c>
      <c r="C52" s="54">
        <f>16267713914.37</f>
        <v>16267713914.370001</v>
      </c>
      <c r="D52" s="54">
        <f>6507683.65</f>
        <v>6507683.6500000004</v>
      </c>
      <c r="E52" s="54">
        <f>230030.51</f>
        <v>230030.51</v>
      </c>
      <c r="F52" s="54">
        <f>6480</f>
        <v>6480</v>
      </c>
      <c r="G52" s="54">
        <f>6270404.79</f>
        <v>6270404.79</v>
      </c>
      <c r="H52" s="54">
        <f>768.35</f>
        <v>768.35</v>
      </c>
      <c r="I52" s="54">
        <f>0</f>
        <v>0</v>
      </c>
      <c r="J52" s="54">
        <f>16250486213.66</f>
        <v>16250486213.66</v>
      </c>
      <c r="K52" s="54">
        <f>169651.76</f>
        <v>169651.76</v>
      </c>
      <c r="L52" s="54">
        <f>10549833.3</f>
        <v>10549833.300000001</v>
      </c>
      <c r="M52" s="54">
        <f>532</f>
        <v>532</v>
      </c>
      <c r="N52" s="54">
        <f>0</f>
        <v>0</v>
      </c>
      <c r="O52" s="42">
        <f>0</f>
        <v>0</v>
      </c>
      <c r="P52" s="42">
        <f>0</f>
        <v>0</v>
      </c>
      <c r="Q52" s="42">
        <f>0</f>
        <v>0</v>
      </c>
    </row>
    <row r="53" spans="1:17" ht="24.75" customHeight="1" x14ac:dyDescent="0.2">
      <c r="A53" s="51" t="s">
        <v>86</v>
      </c>
      <c r="B53" s="54">
        <f>7474782502.79</f>
        <v>7474782502.79</v>
      </c>
      <c r="C53" s="54">
        <f>7474782502.79</f>
        <v>7474782502.79</v>
      </c>
      <c r="D53" s="54">
        <f>499197.87</f>
        <v>499197.87</v>
      </c>
      <c r="E53" s="54">
        <f>436253.09</f>
        <v>436253.09</v>
      </c>
      <c r="F53" s="54">
        <f>1494.58</f>
        <v>1494.58</v>
      </c>
      <c r="G53" s="54">
        <f>61450.2</f>
        <v>61450.2</v>
      </c>
      <c r="H53" s="54">
        <f>0</f>
        <v>0</v>
      </c>
      <c r="I53" s="54">
        <f>0</f>
        <v>0</v>
      </c>
      <c r="J53" s="54">
        <f>7473847647.95</f>
        <v>7473847647.9499998</v>
      </c>
      <c r="K53" s="54">
        <f>2506.32</f>
        <v>2506.3200000000002</v>
      </c>
      <c r="L53" s="54">
        <f>316072.29</f>
        <v>316072.28999999998</v>
      </c>
      <c r="M53" s="54">
        <f>117078.36</f>
        <v>117078.36</v>
      </c>
      <c r="N53" s="54">
        <f>0</f>
        <v>0</v>
      </c>
      <c r="O53" s="42">
        <f>0</f>
        <v>0</v>
      </c>
      <c r="P53" s="42">
        <f>0</f>
        <v>0</v>
      </c>
      <c r="Q53" s="42">
        <f>0</f>
        <v>0</v>
      </c>
    </row>
    <row r="54" spans="1:17" ht="24.75" customHeight="1" x14ac:dyDescent="0.2">
      <c r="A54" s="62" t="s">
        <v>95</v>
      </c>
      <c r="B54" s="63">
        <f>10009131304.38</f>
        <v>10009131304.379999</v>
      </c>
      <c r="C54" s="63">
        <f>9982853611.77</f>
        <v>9982853611.7700005</v>
      </c>
      <c r="D54" s="63">
        <f>94232945.06</f>
        <v>94232945.060000002</v>
      </c>
      <c r="E54" s="63">
        <f>48073422.43</f>
        <v>48073422.43</v>
      </c>
      <c r="F54" s="63">
        <f>1716276.97</f>
        <v>1716276.97</v>
      </c>
      <c r="G54" s="63">
        <f>44112568.87</f>
        <v>44112568.869999997</v>
      </c>
      <c r="H54" s="63">
        <f>330676.79</f>
        <v>330676.78999999998</v>
      </c>
      <c r="I54" s="63">
        <f>0</f>
        <v>0</v>
      </c>
      <c r="J54" s="63">
        <f>7791409.35</f>
        <v>7791409.3499999996</v>
      </c>
      <c r="K54" s="63">
        <f>11818527.62</f>
        <v>11818527.619999999</v>
      </c>
      <c r="L54" s="63">
        <f>2159058636.99</f>
        <v>2159058636.9899998</v>
      </c>
      <c r="M54" s="63">
        <f>7630757818.06</f>
        <v>7630757818.0600004</v>
      </c>
      <c r="N54" s="63">
        <f>79194274.69</f>
        <v>79194274.689999998</v>
      </c>
      <c r="O54" s="63">
        <f>26277692.61</f>
        <v>26277692.609999999</v>
      </c>
      <c r="P54" s="63">
        <f>17866310.11</f>
        <v>17866310.109999999</v>
      </c>
      <c r="Q54" s="63">
        <f>8411382.5</f>
        <v>8411382.5</v>
      </c>
    </row>
    <row r="55" spans="1:17" ht="24.75" customHeight="1" x14ac:dyDescent="0.2">
      <c r="A55" s="50" t="s">
        <v>87</v>
      </c>
      <c r="B55" s="54">
        <f>1335135030.32</f>
        <v>1335135030.3199999</v>
      </c>
      <c r="C55" s="54">
        <f>1334810878.16</f>
        <v>1334810878.1600001</v>
      </c>
      <c r="D55" s="54">
        <f>7582245.53</f>
        <v>7582245.5300000003</v>
      </c>
      <c r="E55" s="54">
        <f>1393528.34</f>
        <v>1393528.34</v>
      </c>
      <c r="F55" s="54">
        <f>74120.07</f>
        <v>74120.070000000007</v>
      </c>
      <c r="G55" s="54">
        <f>5960899.47</f>
        <v>5960899.4699999997</v>
      </c>
      <c r="H55" s="54">
        <f>153697.65</f>
        <v>153697.65</v>
      </c>
      <c r="I55" s="54">
        <f>0</f>
        <v>0</v>
      </c>
      <c r="J55" s="54">
        <f>1583384.68</f>
        <v>1583384.68</v>
      </c>
      <c r="K55" s="54">
        <f>112313.19</f>
        <v>112313.19</v>
      </c>
      <c r="L55" s="54">
        <f>219773893.99</f>
        <v>219773893.99000001</v>
      </c>
      <c r="M55" s="54">
        <f>1070607876.1</f>
        <v>1070607876.1</v>
      </c>
      <c r="N55" s="54">
        <f>35151164.67</f>
        <v>35151164.670000002</v>
      </c>
      <c r="O55" s="42">
        <f>324152.16</f>
        <v>324152.15999999997</v>
      </c>
      <c r="P55" s="42">
        <f>236718.44</f>
        <v>236718.44</v>
      </c>
      <c r="Q55" s="42">
        <f>87433.72</f>
        <v>87433.72</v>
      </c>
    </row>
    <row r="56" spans="1:17" ht="24.75" customHeight="1" x14ac:dyDescent="0.2">
      <c r="A56" s="51" t="s">
        <v>88</v>
      </c>
      <c r="B56" s="54">
        <f>8673996274.06</f>
        <v>8673996274.0599995</v>
      </c>
      <c r="C56" s="54">
        <f>8648042733.61</f>
        <v>8648042733.6100006</v>
      </c>
      <c r="D56" s="54">
        <f>86650699.53</f>
        <v>86650699.530000001</v>
      </c>
      <c r="E56" s="54">
        <f>46679894.09</f>
        <v>46679894.090000004</v>
      </c>
      <c r="F56" s="54">
        <f>1642156.9</f>
        <v>1642156.9</v>
      </c>
      <c r="G56" s="54">
        <f>38151669.4</f>
        <v>38151669.399999999</v>
      </c>
      <c r="H56" s="54">
        <f>176979.14</f>
        <v>176979.14</v>
      </c>
      <c r="I56" s="54">
        <f>0</f>
        <v>0</v>
      </c>
      <c r="J56" s="54">
        <f>6208024.67</f>
        <v>6208024.6699999999</v>
      </c>
      <c r="K56" s="54">
        <f>11706214.43</f>
        <v>11706214.43</v>
      </c>
      <c r="L56" s="54">
        <f>1939284743</f>
        <v>1939284743</v>
      </c>
      <c r="M56" s="54">
        <f>6560149941.96</f>
        <v>6560149941.96</v>
      </c>
      <c r="N56" s="54">
        <f>44043110.02</f>
        <v>44043110.020000003</v>
      </c>
      <c r="O56" s="42">
        <f>25953540.45</f>
        <v>25953540.449999999</v>
      </c>
      <c r="P56" s="42">
        <f>17629591.67</f>
        <v>17629591.670000002</v>
      </c>
      <c r="Q56" s="42">
        <f>8323948.78</f>
        <v>8323948.7800000003</v>
      </c>
    </row>
    <row r="57" spans="1:17" ht="24.75" customHeight="1" x14ac:dyDescent="0.2">
      <c r="A57" s="62" t="s">
        <v>96</v>
      </c>
      <c r="B57" s="63">
        <f>15479021712.15</f>
        <v>15479021712.15</v>
      </c>
      <c r="C57" s="63">
        <f>15477337394.27</f>
        <v>15477337394.27</v>
      </c>
      <c r="D57" s="63">
        <f>720832287.33</f>
        <v>720832287.33000004</v>
      </c>
      <c r="E57" s="63">
        <f>370763321.77</f>
        <v>370763321.76999998</v>
      </c>
      <c r="F57" s="63">
        <f>49855584.29</f>
        <v>49855584.289999999</v>
      </c>
      <c r="G57" s="63">
        <f>294343166.23</f>
        <v>294343166.23000002</v>
      </c>
      <c r="H57" s="63">
        <f>5870215.04</f>
        <v>5870215.04</v>
      </c>
      <c r="I57" s="63">
        <f>240871</f>
        <v>240871</v>
      </c>
      <c r="J57" s="63">
        <f>12373585.13</f>
        <v>12373585.130000001</v>
      </c>
      <c r="K57" s="63">
        <f>27322460.92</f>
        <v>27322460.920000002</v>
      </c>
      <c r="L57" s="63">
        <f>8265420184.45</f>
        <v>8265420184.4499998</v>
      </c>
      <c r="M57" s="63">
        <f>6305314487.05</f>
        <v>6305314487.0500002</v>
      </c>
      <c r="N57" s="63">
        <f>145833518.39</f>
        <v>145833518.38999999</v>
      </c>
      <c r="O57" s="63">
        <f>1684317.88</f>
        <v>1684317.88</v>
      </c>
      <c r="P57" s="63">
        <f>1116915.17</f>
        <v>1116915.17</v>
      </c>
      <c r="Q57" s="63">
        <f>567402.71</f>
        <v>567402.71</v>
      </c>
    </row>
    <row r="58" spans="1:17" ht="30" customHeight="1" x14ac:dyDescent="0.2">
      <c r="A58" s="50" t="s">
        <v>89</v>
      </c>
      <c r="B58" s="54">
        <f>920474100.85</f>
        <v>920474100.85000002</v>
      </c>
      <c r="C58" s="54">
        <f>920296319.84</f>
        <v>920296319.84000003</v>
      </c>
      <c r="D58" s="54">
        <f>56455457.63</f>
        <v>56455457.630000003</v>
      </c>
      <c r="E58" s="54">
        <f>4663061.21</f>
        <v>4663061.21</v>
      </c>
      <c r="F58" s="54">
        <f>2232811.36</f>
        <v>2232811.36</v>
      </c>
      <c r="G58" s="54">
        <f>48715908.39</f>
        <v>48715908.390000001</v>
      </c>
      <c r="H58" s="54">
        <f>843676.67</f>
        <v>843676.67</v>
      </c>
      <c r="I58" s="54">
        <f>0</f>
        <v>0</v>
      </c>
      <c r="J58" s="54">
        <f>528706.98</f>
        <v>528706.98</v>
      </c>
      <c r="K58" s="54">
        <f>1161537.44</f>
        <v>1161537.44</v>
      </c>
      <c r="L58" s="54">
        <f>351767791.71</f>
        <v>351767791.70999998</v>
      </c>
      <c r="M58" s="54">
        <f>496221295.38</f>
        <v>496221295.38</v>
      </c>
      <c r="N58" s="54">
        <f>14161530.7</f>
        <v>14161530.699999999</v>
      </c>
      <c r="O58" s="42">
        <f>177781.01</f>
        <v>177781.01</v>
      </c>
      <c r="P58" s="42">
        <f>34276.15</f>
        <v>34276.15</v>
      </c>
      <c r="Q58" s="42">
        <f>143504.86</f>
        <v>143504.85999999999</v>
      </c>
    </row>
    <row r="59" spans="1:17" ht="36" x14ac:dyDescent="0.2">
      <c r="A59" s="50" t="s">
        <v>90</v>
      </c>
      <c r="B59" s="54">
        <f>9558360234.98</f>
        <v>9558360234.9799995</v>
      </c>
      <c r="C59" s="54">
        <f>9557107605.06</f>
        <v>9557107605.0599995</v>
      </c>
      <c r="D59" s="54">
        <f>281701624.55</f>
        <v>281701624.55000001</v>
      </c>
      <c r="E59" s="54">
        <f>142647877.33</f>
        <v>142647877.33000001</v>
      </c>
      <c r="F59" s="54">
        <f>33570571.29</f>
        <v>33570571.289999999</v>
      </c>
      <c r="G59" s="54">
        <f>102450137.98</f>
        <v>102450137.98</v>
      </c>
      <c r="H59" s="54">
        <f>3033037.95</f>
        <v>3033037.95</v>
      </c>
      <c r="I59" s="54">
        <f>240871</f>
        <v>240871</v>
      </c>
      <c r="J59" s="54">
        <f>10141968.6</f>
        <v>10141968.6</v>
      </c>
      <c r="K59" s="54">
        <f>14572646.08</f>
        <v>14572646.08</v>
      </c>
      <c r="L59" s="54">
        <f>6051681387.33</f>
        <v>6051681387.3299999</v>
      </c>
      <c r="M59" s="54">
        <f>3158212126.35</f>
        <v>3158212126.3499999</v>
      </c>
      <c r="N59" s="54">
        <f>40556981.15</f>
        <v>40556981.149999999</v>
      </c>
      <c r="O59" s="42">
        <f>1252629.92</f>
        <v>1252629.92</v>
      </c>
      <c r="P59" s="42">
        <f>961256.08</f>
        <v>961256.08</v>
      </c>
      <c r="Q59" s="42">
        <f>291373.84</f>
        <v>291373.84000000003</v>
      </c>
    </row>
    <row r="60" spans="1:17" ht="30.75" customHeight="1" x14ac:dyDescent="0.2">
      <c r="A60" s="50" t="s">
        <v>91</v>
      </c>
      <c r="B60" s="54">
        <f>5000187376.32</f>
        <v>5000187376.3199997</v>
      </c>
      <c r="C60" s="54">
        <f>4999933469.37</f>
        <v>4999933469.3699999</v>
      </c>
      <c r="D60" s="54">
        <f>382675205.15</f>
        <v>382675205.14999998</v>
      </c>
      <c r="E60" s="54">
        <f>223452383.23</f>
        <v>223452383.22999999</v>
      </c>
      <c r="F60" s="54">
        <f>14052201.64</f>
        <v>14052201.640000001</v>
      </c>
      <c r="G60" s="54">
        <f>143177119.86</f>
        <v>143177119.86000001</v>
      </c>
      <c r="H60" s="54">
        <f>1993500.42</f>
        <v>1993500.42</v>
      </c>
      <c r="I60" s="54">
        <f>0</f>
        <v>0</v>
      </c>
      <c r="J60" s="54">
        <f>1702909.55</f>
        <v>1702909.55</v>
      </c>
      <c r="K60" s="54">
        <f>11588277.4</f>
        <v>11588277.4</v>
      </c>
      <c r="L60" s="54">
        <f>1861971005.41</f>
        <v>1861971005.4100001</v>
      </c>
      <c r="M60" s="54">
        <f>2650881065.32</f>
        <v>2650881065.3200002</v>
      </c>
      <c r="N60" s="54">
        <f>91115006.54</f>
        <v>91115006.540000007</v>
      </c>
      <c r="O60" s="42">
        <f>253906.95</f>
        <v>253906.95</v>
      </c>
      <c r="P60" s="42">
        <f>121382.94</f>
        <v>121382.94</v>
      </c>
      <c r="Q60" s="42">
        <f>132524.01</f>
        <v>132524.01</v>
      </c>
    </row>
    <row r="77" spans="1:13" ht="75" customHeight="1" x14ac:dyDescent="0.2">
      <c r="A77" s="76" t="str">
        <f>CONCATENATE("Informacja z wykonania budżetów gmin za ",$C$104," ",$B$105," roku   ",$B$107,"")</f>
        <v xml:space="preserve">Informacja z wykonania budżetów gmin za II Kwartały 2023 roku   </v>
      </c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</row>
    <row r="78" spans="1:13" ht="13.5" customHeight="1" x14ac:dyDescent="0.2">
      <c r="B78" s="92" t="s">
        <v>5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</row>
    <row r="80" spans="1:13" ht="13.5" customHeight="1" x14ac:dyDescent="0.2">
      <c r="B80" s="94" t="s">
        <v>0</v>
      </c>
      <c r="C80" s="95"/>
      <c r="D80" s="95"/>
      <c r="E80" s="96"/>
      <c r="F80" s="86" t="s">
        <v>143</v>
      </c>
      <c r="G80" s="68" t="s">
        <v>150</v>
      </c>
      <c r="H80" s="105"/>
      <c r="I80" s="105"/>
      <c r="J80" s="105"/>
      <c r="K80" s="105"/>
      <c r="L80" s="93"/>
    </row>
    <row r="81" spans="1:13" ht="13.5" customHeight="1" x14ac:dyDescent="0.2">
      <c r="B81" s="97"/>
      <c r="C81" s="98"/>
      <c r="D81" s="98"/>
      <c r="E81" s="99"/>
      <c r="F81" s="87"/>
      <c r="G81" s="89" t="s">
        <v>144</v>
      </c>
      <c r="H81" s="67" t="s">
        <v>140</v>
      </c>
      <c r="I81" s="67" t="s">
        <v>141</v>
      </c>
      <c r="J81" s="67" t="s">
        <v>145</v>
      </c>
      <c r="K81" s="67" t="s">
        <v>146</v>
      </c>
      <c r="L81" s="71" t="s">
        <v>147</v>
      </c>
    </row>
    <row r="82" spans="1:13" ht="13.5" customHeight="1" x14ac:dyDescent="0.2">
      <c r="B82" s="97"/>
      <c r="C82" s="98"/>
      <c r="D82" s="98"/>
      <c r="E82" s="99"/>
      <c r="F82" s="87"/>
      <c r="G82" s="89"/>
      <c r="H82" s="67"/>
      <c r="I82" s="67"/>
      <c r="J82" s="67"/>
      <c r="K82" s="67"/>
      <c r="L82" s="71"/>
    </row>
    <row r="83" spans="1:13" ht="11.25" customHeight="1" x14ac:dyDescent="0.2">
      <c r="B83" s="97"/>
      <c r="C83" s="98"/>
      <c r="D83" s="98"/>
      <c r="E83" s="99"/>
      <c r="F83" s="87"/>
      <c r="G83" s="89"/>
      <c r="H83" s="67"/>
      <c r="I83" s="67"/>
      <c r="J83" s="67"/>
      <c r="K83" s="67"/>
      <c r="L83" s="71"/>
    </row>
    <row r="84" spans="1:13" ht="11.25" customHeight="1" x14ac:dyDescent="0.2">
      <c r="B84" s="100"/>
      <c r="C84" s="101"/>
      <c r="D84" s="101"/>
      <c r="E84" s="102"/>
      <c r="F84" s="88"/>
      <c r="G84" s="89"/>
      <c r="H84" s="67"/>
      <c r="I84" s="67"/>
      <c r="J84" s="67"/>
      <c r="K84" s="67"/>
      <c r="L84" s="71"/>
    </row>
    <row r="85" spans="1:13" ht="11.25" customHeight="1" x14ac:dyDescent="0.2">
      <c r="B85" s="67">
        <v>1</v>
      </c>
      <c r="C85" s="67"/>
      <c r="D85" s="67"/>
      <c r="E85" s="67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40">
        <v>8</v>
      </c>
    </row>
    <row r="86" spans="1:13" ht="13.5" customHeight="1" x14ac:dyDescent="0.2">
      <c r="B86" s="67"/>
      <c r="C86" s="67"/>
      <c r="D86" s="67"/>
      <c r="E86" s="67"/>
      <c r="F86" s="68" t="s">
        <v>152</v>
      </c>
      <c r="G86" s="69"/>
      <c r="H86" s="69"/>
      <c r="I86" s="69"/>
      <c r="J86" s="69"/>
      <c r="K86" s="69"/>
      <c r="L86" s="70"/>
    </row>
    <row r="87" spans="1:13" ht="33.75" customHeight="1" x14ac:dyDescent="0.2">
      <c r="B87" s="83" t="s">
        <v>121</v>
      </c>
      <c r="C87" s="84"/>
      <c r="D87" s="84"/>
      <c r="E87" s="85"/>
      <c r="F87" s="61">
        <f>1086211178.79</f>
        <v>1086211178.79</v>
      </c>
      <c r="G87" s="61">
        <f>372604831.79</f>
        <v>372604831.79000002</v>
      </c>
      <c r="H87" s="61">
        <f>19226492.13</f>
        <v>19226492.129999999</v>
      </c>
      <c r="I87" s="61">
        <f>140644192.73</f>
        <v>140644192.72999999</v>
      </c>
      <c r="J87" s="61">
        <f>208498049.54</f>
        <v>208498049.53999999</v>
      </c>
      <c r="K87" s="61">
        <f>4236097.39</f>
        <v>4236097.3899999997</v>
      </c>
      <c r="L87" s="61">
        <f>713606347</f>
        <v>713606347</v>
      </c>
    </row>
    <row r="88" spans="1:13" ht="33.75" customHeight="1" x14ac:dyDescent="0.2">
      <c r="B88" s="83" t="s">
        <v>122</v>
      </c>
      <c r="C88" s="84"/>
      <c r="D88" s="84"/>
      <c r="E88" s="85"/>
      <c r="F88" s="61">
        <f>822518.52</f>
        <v>822518.52</v>
      </c>
      <c r="G88" s="61">
        <f>821594</f>
        <v>821594</v>
      </c>
      <c r="H88" s="61">
        <f>0</f>
        <v>0</v>
      </c>
      <c r="I88" s="61">
        <f>0</f>
        <v>0</v>
      </c>
      <c r="J88" s="61">
        <f>821594</f>
        <v>821594</v>
      </c>
      <c r="K88" s="61">
        <f>0</f>
        <v>0</v>
      </c>
      <c r="L88" s="61">
        <f>924.52</f>
        <v>924.52</v>
      </c>
    </row>
    <row r="89" spans="1:13" ht="33.75" customHeight="1" x14ac:dyDescent="0.2">
      <c r="B89" s="83" t="s">
        <v>123</v>
      </c>
      <c r="C89" s="84"/>
      <c r="D89" s="84"/>
      <c r="E89" s="85"/>
      <c r="F89" s="61">
        <f>80169939.15</f>
        <v>80169939.150000006</v>
      </c>
      <c r="G89" s="61">
        <f>10259723.63</f>
        <v>10259723.630000001</v>
      </c>
      <c r="H89" s="61">
        <f>532575</f>
        <v>532575</v>
      </c>
      <c r="I89" s="61">
        <f>199614.3</f>
        <v>199614.3</v>
      </c>
      <c r="J89" s="61">
        <f>9417948.29</f>
        <v>9417948.2899999991</v>
      </c>
      <c r="K89" s="61">
        <f>109586.04</f>
        <v>109586.04</v>
      </c>
      <c r="L89" s="61">
        <f>69910215.52</f>
        <v>69910215.519999996</v>
      </c>
    </row>
    <row r="90" spans="1:13" ht="22.5" customHeight="1" x14ac:dyDescent="0.2">
      <c r="B90" s="83" t="s">
        <v>124</v>
      </c>
      <c r="C90" s="84"/>
      <c r="D90" s="84"/>
      <c r="E90" s="85"/>
      <c r="F90" s="61">
        <f>6582285.35</f>
        <v>6582285.3499999996</v>
      </c>
      <c r="G90" s="61">
        <f>0</f>
        <v>0</v>
      </c>
      <c r="H90" s="61">
        <f>0</f>
        <v>0</v>
      </c>
      <c r="I90" s="61">
        <f>0</f>
        <v>0</v>
      </c>
      <c r="J90" s="61">
        <f>0</f>
        <v>0</v>
      </c>
      <c r="K90" s="61">
        <f>0</f>
        <v>0</v>
      </c>
      <c r="L90" s="61">
        <f>6582285.35</f>
        <v>6582285.3499999996</v>
      </c>
    </row>
    <row r="91" spans="1:13" ht="33.75" customHeight="1" x14ac:dyDescent="0.2">
      <c r="B91" s="83" t="s">
        <v>125</v>
      </c>
      <c r="C91" s="84"/>
      <c r="D91" s="84"/>
      <c r="E91" s="85"/>
      <c r="F91" s="61">
        <f>22268.14</f>
        <v>22268.14</v>
      </c>
      <c r="G91" s="61">
        <f>0</f>
        <v>0</v>
      </c>
      <c r="H91" s="61">
        <f>0</f>
        <v>0</v>
      </c>
      <c r="I91" s="61">
        <f>0</f>
        <v>0</v>
      </c>
      <c r="J91" s="61">
        <f>0</f>
        <v>0</v>
      </c>
      <c r="K91" s="61">
        <f>0</f>
        <v>0</v>
      </c>
      <c r="L91" s="61">
        <f>22268.14</f>
        <v>22268.14</v>
      </c>
    </row>
    <row r="92" spans="1:13" ht="33.75" customHeight="1" x14ac:dyDescent="0.2">
      <c r="B92" s="83" t="s">
        <v>126</v>
      </c>
      <c r="C92" s="84"/>
      <c r="D92" s="84"/>
      <c r="E92" s="85"/>
      <c r="F92" s="61">
        <f>716952.55</f>
        <v>716952.55</v>
      </c>
      <c r="G92" s="61">
        <f>0</f>
        <v>0</v>
      </c>
      <c r="H92" s="61">
        <f>0</f>
        <v>0</v>
      </c>
      <c r="I92" s="61">
        <f>0</f>
        <v>0</v>
      </c>
      <c r="J92" s="61">
        <f>0</f>
        <v>0</v>
      </c>
      <c r="K92" s="61">
        <f>0</f>
        <v>0</v>
      </c>
      <c r="L92" s="61">
        <f>716952.55</f>
        <v>716952.55</v>
      </c>
    </row>
    <row r="93" spans="1:13" ht="22.5" customHeight="1" x14ac:dyDescent="0.2">
      <c r="B93" s="83" t="s">
        <v>127</v>
      </c>
      <c r="C93" s="84"/>
      <c r="D93" s="84"/>
      <c r="E93" s="85"/>
      <c r="F93" s="61">
        <f>928639</f>
        <v>928639</v>
      </c>
      <c r="G93" s="61">
        <f>0</f>
        <v>0</v>
      </c>
      <c r="H93" s="61">
        <f>0</f>
        <v>0</v>
      </c>
      <c r="I93" s="61">
        <f>0</f>
        <v>0</v>
      </c>
      <c r="J93" s="61">
        <f>0</f>
        <v>0</v>
      </c>
      <c r="K93" s="61">
        <f>0</f>
        <v>0</v>
      </c>
      <c r="L93" s="61">
        <f>928639</f>
        <v>928639</v>
      </c>
    </row>
    <row r="96" spans="1:13" ht="75" customHeight="1" x14ac:dyDescent="0.2">
      <c r="A96" s="76" t="str">
        <f>CONCATENATE("Informacja z wykonania budżetów gmin za ",$C$104," ",$B$105," roku   ",$B$107,"")</f>
        <v xml:space="preserve">Informacja z wykonania budżetów gmin za II Kwartały 2023 roku   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</row>
    <row r="97" spans="1:11" ht="13.5" customHeight="1" x14ac:dyDescent="0.2">
      <c r="B97" s="9"/>
    </row>
    <row r="98" spans="1:11" ht="13.5" customHeight="1" x14ac:dyDescent="0.2">
      <c r="B98" s="10"/>
      <c r="C98" s="68"/>
      <c r="D98" s="105"/>
      <c r="E98" s="105"/>
      <c r="F98" s="93"/>
      <c r="G98" s="68" t="s">
        <v>7</v>
      </c>
      <c r="H98" s="93"/>
      <c r="I98" s="68" t="s">
        <v>8</v>
      </c>
      <c r="J98" s="93"/>
      <c r="K98" s="10"/>
    </row>
    <row r="99" spans="1:11" ht="13.5" customHeight="1" x14ac:dyDescent="0.2">
      <c r="B99" s="11"/>
      <c r="C99" s="106" t="s">
        <v>23</v>
      </c>
      <c r="D99" s="107"/>
      <c r="E99" s="107"/>
      <c r="F99" s="108"/>
      <c r="G99" s="103">
        <f>1166</f>
        <v>1166</v>
      </c>
      <c r="H99" s="104"/>
      <c r="I99" s="90">
        <f>3201948847.66</f>
        <v>3201948847.6599998</v>
      </c>
      <c r="J99" s="91"/>
      <c r="K99" s="12"/>
    </row>
    <row r="100" spans="1:11" ht="13.5" customHeight="1" x14ac:dyDescent="0.2">
      <c r="B100" s="11"/>
      <c r="C100" s="83" t="s">
        <v>24</v>
      </c>
      <c r="D100" s="84"/>
      <c r="E100" s="84"/>
      <c r="F100" s="85"/>
      <c r="G100" s="109">
        <f>1245</f>
        <v>1245</v>
      </c>
      <c r="H100" s="110"/>
      <c r="I100" s="111">
        <f>-3105604012.07</f>
        <v>-3105604012.0700002</v>
      </c>
      <c r="J100" s="112"/>
      <c r="K100" s="12"/>
    </row>
    <row r="101" spans="1:11" ht="13.5" customHeight="1" x14ac:dyDescent="0.2">
      <c r="B101" s="11"/>
      <c r="C101" s="106" t="s">
        <v>25</v>
      </c>
      <c r="D101" s="107"/>
      <c r="E101" s="107"/>
      <c r="F101" s="108"/>
      <c r="G101" s="103">
        <f>0</f>
        <v>0</v>
      </c>
      <c r="H101" s="104"/>
      <c r="I101" s="90">
        <f>0</f>
        <v>0</v>
      </c>
      <c r="J101" s="91"/>
      <c r="K101" s="12"/>
    </row>
    <row r="104" spans="1:11" ht="13.5" customHeight="1" x14ac:dyDescent="0.2">
      <c r="A104" s="15" t="s">
        <v>26</v>
      </c>
      <c r="B104" s="15">
        <f>2</f>
        <v>2</v>
      </c>
      <c r="C104" s="15" t="str">
        <f>IF(B104=1,"I Kwartał",IF(B104=2,"II Kwartały",IF(B104=3,"III Kwartały",IF(B104=4,"IV Kwartały","-"))))</f>
        <v>II Kwartały</v>
      </c>
    </row>
    <row r="105" spans="1:11" ht="13.5" customHeight="1" x14ac:dyDescent="0.2">
      <c r="A105" s="15" t="s">
        <v>27</v>
      </c>
      <c r="B105" s="15">
        <f>2023</f>
        <v>2023</v>
      </c>
      <c r="C105" s="16"/>
    </row>
    <row r="106" spans="1:11" ht="13.5" customHeight="1" x14ac:dyDescent="0.2">
      <c r="A106" s="15" t="s">
        <v>28</v>
      </c>
      <c r="B106" s="17" t="str">
        <f>"Aug 14 2023 12:00AM"</f>
        <v>Aug 14 2023 12:00AM</v>
      </c>
      <c r="C106" s="16"/>
    </row>
    <row r="107" spans="1:11" ht="13.5" customHeight="1" x14ac:dyDescent="0.2">
      <c r="A107" s="44" t="s">
        <v>151</v>
      </c>
      <c r="B107" s="17" t="str">
        <f>""</f>
        <v/>
      </c>
    </row>
  </sheetData>
  <mergeCells count="79"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I7:I10"/>
    <mergeCell ref="J7:J10"/>
    <mergeCell ref="G80:L80"/>
    <mergeCell ref="H81:H84"/>
    <mergeCell ref="I81:I84"/>
    <mergeCell ref="J81:J84"/>
    <mergeCell ref="A1:M1"/>
    <mergeCell ref="C5:M5"/>
    <mergeCell ref="A3:M3"/>
    <mergeCell ref="K7:K10"/>
    <mergeCell ref="C7:C10"/>
    <mergeCell ref="B38:B41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B78:M78"/>
    <mergeCell ref="I98:J98"/>
    <mergeCell ref="B86:E86"/>
    <mergeCell ref="B80:E84"/>
    <mergeCell ref="B93:E93"/>
    <mergeCell ref="A96:M96"/>
    <mergeCell ref="B89:E89"/>
    <mergeCell ref="B90:E90"/>
    <mergeCell ref="B91:E91"/>
    <mergeCell ref="N39:N41"/>
    <mergeCell ref="O39:O41"/>
    <mergeCell ref="D39:D41"/>
    <mergeCell ref="H7:H10"/>
    <mergeCell ref="B92:E92"/>
    <mergeCell ref="B88:E88"/>
    <mergeCell ref="M39:M41"/>
    <mergeCell ref="B87:E87"/>
    <mergeCell ref="F80:F84"/>
    <mergeCell ref="G81:G84"/>
    <mergeCell ref="B43:Q43"/>
    <mergeCell ref="B85:E85"/>
    <mergeCell ref="F86:L86"/>
    <mergeCell ref="L81:L84"/>
    <mergeCell ref="O6:Q6"/>
    <mergeCell ref="O7:O10"/>
    <mergeCell ref="A77:M77"/>
    <mergeCell ref="L39:L41"/>
    <mergeCell ref="P39:P41"/>
    <mergeCell ref="Q39:Q41"/>
  </mergeCells>
  <phoneticPr fontId="5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106"/>
  <sheetViews>
    <sheetView topLeftCell="A16" workbookViewId="0">
      <selection activeCell="B13" sqref="B13:Q13"/>
    </sheetView>
  </sheetViews>
  <sheetFormatPr defaultRowHeight="13.5" customHeight="1" x14ac:dyDescent="0.2"/>
  <cols>
    <col min="1" max="1" width="32.28515625" style="2" customWidth="1"/>
    <col min="2" max="13" width="10.7109375" style="2" customWidth="1"/>
    <col min="14" max="16384" width="9.140625" style="2"/>
  </cols>
  <sheetData>
    <row r="1" spans="1:17" ht="75" customHeight="1" x14ac:dyDescent="0.2">
      <c r="A1" s="149" t="str">
        <f>CONCATENATE("Informacja z wykonania budżetów gmin za za ",$D$104," ",$C$105," roku")</f>
        <v>Informacja z wykonania budżetów gmin za za - 2023 roku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92" t="s">
        <v>134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5" spans="1:17" ht="13.5" customHeight="1" x14ac:dyDescent="0.2">
      <c r="A5" s="154" t="s">
        <v>0</v>
      </c>
      <c r="B5" s="68" t="s">
        <v>135</v>
      </c>
      <c r="C5" s="67" t="s">
        <v>139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 t="s">
        <v>138</v>
      </c>
      <c r="P5" s="105"/>
      <c r="Q5" s="93"/>
    </row>
    <row r="6" spans="1:17" ht="13.5" customHeight="1" x14ac:dyDescent="0.2">
      <c r="A6" s="154"/>
      <c r="B6" s="68"/>
      <c r="C6" s="67" t="s">
        <v>136</v>
      </c>
      <c r="D6" s="67" t="s">
        <v>3</v>
      </c>
      <c r="E6" s="67" t="s">
        <v>140</v>
      </c>
      <c r="F6" s="67" t="s">
        <v>141</v>
      </c>
      <c r="G6" s="67" t="s">
        <v>76</v>
      </c>
      <c r="H6" s="67" t="s">
        <v>77</v>
      </c>
      <c r="I6" s="67" t="s">
        <v>137</v>
      </c>
      <c r="J6" s="67" t="s">
        <v>59</v>
      </c>
      <c r="K6" s="67" t="s">
        <v>60</v>
      </c>
      <c r="L6" s="67" t="s">
        <v>61</v>
      </c>
      <c r="M6" s="67" t="s">
        <v>62</v>
      </c>
      <c r="N6" s="172" t="s">
        <v>63</v>
      </c>
      <c r="O6" s="86" t="s">
        <v>64</v>
      </c>
      <c r="P6" s="169" t="s">
        <v>65</v>
      </c>
      <c r="Q6" s="131" t="s">
        <v>66</v>
      </c>
    </row>
    <row r="7" spans="1:17" ht="13.5" customHeight="1" x14ac:dyDescent="0.2">
      <c r="A7" s="154"/>
      <c r="B7" s="68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172"/>
      <c r="O7" s="87"/>
      <c r="P7" s="170"/>
      <c r="Q7" s="132"/>
    </row>
    <row r="8" spans="1:17" ht="13.5" customHeight="1" x14ac:dyDescent="0.2">
      <c r="A8" s="154"/>
      <c r="B8" s="68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172"/>
      <c r="O8" s="87"/>
      <c r="P8" s="170"/>
      <c r="Q8" s="132"/>
    </row>
    <row r="9" spans="1:17" ht="13.5" customHeight="1" x14ac:dyDescent="0.2">
      <c r="A9" s="154"/>
      <c r="B9" s="68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172"/>
      <c r="O9" s="87"/>
      <c r="P9" s="170"/>
      <c r="Q9" s="132"/>
    </row>
    <row r="10" spans="1:17" ht="22.5" customHeight="1" x14ac:dyDescent="0.2">
      <c r="A10" s="154"/>
      <c r="B10" s="68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172"/>
      <c r="O10" s="88"/>
      <c r="P10" s="171"/>
      <c r="Q10" s="133"/>
    </row>
    <row r="11" spans="1:17" ht="13.5" customHeight="1" x14ac:dyDescent="0.2">
      <c r="A11" s="7"/>
      <c r="B11" s="3" t="s">
        <v>21</v>
      </c>
      <c r="C11" s="5" t="s">
        <v>9</v>
      </c>
      <c r="D11" s="6" t="s">
        <v>10</v>
      </c>
      <c r="E11" s="5" t="s">
        <v>11</v>
      </c>
      <c r="F11" s="5" t="s">
        <v>12</v>
      </c>
      <c r="G11" s="5" t="s">
        <v>13</v>
      </c>
      <c r="H11" s="5" t="s">
        <v>58</v>
      </c>
      <c r="I11" s="5" t="s">
        <v>14</v>
      </c>
      <c r="J11" s="5" t="s">
        <v>15</v>
      </c>
      <c r="K11" s="5" t="s">
        <v>67</v>
      </c>
      <c r="L11" s="5" t="s">
        <v>68</v>
      </c>
      <c r="M11" s="5" t="s">
        <v>69</v>
      </c>
      <c r="N11" s="37" t="s">
        <v>70</v>
      </c>
      <c r="O11" s="5" t="s">
        <v>1</v>
      </c>
      <c r="P11" s="5" t="s">
        <v>71</v>
      </c>
      <c r="Q11" s="5" t="s">
        <v>72</v>
      </c>
    </row>
    <row r="12" spans="1:17" ht="13.5" customHeight="1" x14ac:dyDescent="0.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</row>
    <row r="13" spans="1:17" ht="25.5" x14ac:dyDescent="0.2">
      <c r="A13" s="8" t="s">
        <v>107</v>
      </c>
      <c r="B13" s="155" t="s">
        <v>34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</row>
    <row r="14" spans="1:17" ht="22.5" customHeight="1" x14ac:dyDescent="0.2">
      <c r="A14" s="28" t="s">
        <v>108</v>
      </c>
      <c r="B14" s="130" t="s">
        <v>35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7" ht="13.5" customHeight="1" x14ac:dyDescent="0.2">
      <c r="A15" s="29" t="s">
        <v>109</v>
      </c>
      <c r="B15" s="129" t="s">
        <v>36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</row>
    <row r="16" spans="1:17" ht="12.75" x14ac:dyDescent="0.2">
      <c r="A16" s="29" t="s">
        <v>110</v>
      </c>
      <c r="B16" s="130" t="s">
        <v>118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7" ht="36" customHeight="1" x14ac:dyDescent="0.2">
      <c r="A17" s="30" t="s">
        <v>111</v>
      </c>
      <c r="B17" s="129" t="s">
        <v>37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ht="13.5" customHeight="1" x14ac:dyDescent="0.2">
      <c r="A18" s="31" t="s">
        <v>112</v>
      </c>
      <c r="B18" s="130" t="s">
        <v>38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7" ht="12.75" x14ac:dyDescent="0.2">
      <c r="A19" s="32" t="s">
        <v>113</v>
      </c>
      <c r="B19" s="129" t="s">
        <v>119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ht="12.75" x14ac:dyDescent="0.2">
      <c r="A20" s="33" t="s">
        <v>114</v>
      </c>
      <c r="B20" s="130" t="s">
        <v>39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</row>
    <row r="21" spans="1:17" ht="30.75" customHeight="1" x14ac:dyDescent="0.2">
      <c r="A21" s="28" t="s">
        <v>115</v>
      </c>
      <c r="B21" s="130" t="s">
        <v>40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7" ht="13.5" customHeight="1" x14ac:dyDescent="0.2">
      <c r="A22" s="32" t="s">
        <v>116</v>
      </c>
      <c r="B22" s="130" t="s">
        <v>41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1:17" ht="13.5" customHeight="1" thickBot="1" x14ac:dyDescent="0.25">
      <c r="A23" s="34" t="s">
        <v>117</v>
      </c>
      <c r="B23" s="130" t="s">
        <v>120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</row>
    <row r="32" spans="1:17" ht="75" customHeight="1" x14ac:dyDescent="0.2">
      <c r="A32" s="149" t="str">
        <f>CONCATENATE("Informacja z wykonania budżetów gmin za ",$D$104," ",$C$105," roku")</f>
        <v>Informacja z wykonania budżetów gmin za - 2023 roku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</row>
    <row r="33" spans="1:17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7" ht="13.5" customHeight="1" x14ac:dyDescent="0.2">
      <c r="A34" s="92" t="s">
        <v>52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</row>
    <row r="36" spans="1:17" ht="13.5" customHeight="1" x14ac:dyDescent="0.2">
      <c r="A36" s="150" t="s">
        <v>0</v>
      </c>
      <c r="B36" s="151" t="s">
        <v>53</v>
      </c>
      <c r="C36" s="143" t="s">
        <v>55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5"/>
      <c r="O36" s="143" t="s">
        <v>73</v>
      </c>
      <c r="P36" s="143"/>
      <c r="Q36" s="144"/>
    </row>
    <row r="37" spans="1:17" ht="13.5" customHeight="1" x14ac:dyDescent="0.2">
      <c r="A37" s="150"/>
      <c r="B37" s="151"/>
      <c r="C37" s="131" t="s">
        <v>54</v>
      </c>
      <c r="D37" s="138" t="s">
        <v>56</v>
      </c>
      <c r="E37" s="138" t="s">
        <v>74</v>
      </c>
      <c r="F37" s="138" t="s">
        <v>75</v>
      </c>
      <c r="G37" s="138" t="s">
        <v>76</v>
      </c>
      <c r="H37" s="138" t="s">
        <v>77</v>
      </c>
      <c r="I37" s="142" t="s">
        <v>78</v>
      </c>
      <c r="J37" s="67" t="s">
        <v>59</v>
      </c>
      <c r="K37" s="138" t="s">
        <v>60</v>
      </c>
      <c r="L37" s="138" t="s">
        <v>61</v>
      </c>
      <c r="M37" s="138" t="s">
        <v>62</v>
      </c>
      <c r="N37" s="146" t="s">
        <v>63</v>
      </c>
      <c r="O37" s="131" t="s">
        <v>64</v>
      </c>
      <c r="P37" s="138" t="s">
        <v>65</v>
      </c>
      <c r="Q37" s="131" t="s">
        <v>66</v>
      </c>
    </row>
    <row r="38" spans="1:17" ht="13.5" customHeight="1" x14ac:dyDescent="0.2">
      <c r="A38" s="150"/>
      <c r="B38" s="151"/>
      <c r="C38" s="132"/>
      <c r="D38" s="139"/>
      <c r="E38" s="139"/>
      <c r="F38" s="139"/>
      <c r="G38" s="139"/>
      <c r="H38" s="139"/>
      <c r="I38" s="142"/>
      <c r="J38" s="67"/>
      <c r="K38" s="139"/>
      <c r="L38" s="139"/>
      <c r="M38" s="139"/>
      <c r="N38" s="147"/>
      <c r="O38" s="132"/>
      <c r="P38" s="139"/>
      <c r="Q38" s="132"/>
    </row>
    <row r="39" spans="1:17" ht="13.5" customHeight="1" x14ac:dyDescent="0.2">
      <c r="A39" s="150"/>
      <c r="B39" s="151"/>
      <c r="C39" s="132"/>
      <c r="D39" s="139"/>
      <c r="E39" s="139"/>
      <c r="F39" s="139"/>
      <c r="G39" s="139"/>
      <c r="H39" s="139"/>
      <c r="I39" s="142"/>
      <c r="J39" s="67"/>
      <c r="K39" s="139"/>
      <c r="L39" s="139"/>
      <c r="M39" s="139"/>
      <c r="N39" s="147"/>
      <c r="O39" s="132"/>
      <c r="P39" s="139"/>
      <c r="Q39" s="132"/>
    </row>
    <row r="40" spans="1:17" ht="13.5" customHeight="1" x14ac:dyDescent="0.2">
      <c r="A40" s="150"/>
      <c r="B40" s="151"/>
      <c r="C40" s="132"/>
      <c r="D40" s="139"/>
      <c r="E40" s="139"/>
      <c r="F40" s="139"/>
      <c r="G40" s="139"/>
      <c r="H40" s="139"/>
      <c r="I40" s="142"/>
      <c r="J40" s="67"/>
      <c r="K40" s="139"/>
      <c r="L40" s="139"/>
      <c r="M40" s="139"/>
      <c r="N40" s="147"/>
      <c r="O40" s="132"/>
      <c r="P40" s="139"/>
      <c r="Q40" s="132"/>
    </row>
    <row r="41" spans="1:17" ht="22.5" customHeight="1" x14ac:dyDescent="0.2">
      <c r="A41" s="150"/>
      <c r="B41" s="151"/>
      <c r="C41" s="133"/>
      <c r="D41" s="140"/>
      <c r="E41" s="140"/>
      <c r="F41" s="140"/>
      <c r="G41" s="140"/>
      <c r="H41" s="140"/>
      <c r="I41" s="142"/>
      <c r="J41" s="67"/>
      <c r="K41" s="140"/>
      <c r="L41" s="140"/>
      <c r="M41" s="140"/>
      <c r="N41" s="148"/>
      <c r="O41" s="133"/>
      <c r="P41" s="140"/>
      <c r="Q41" s="133"/>
    </row>
    <row r="42" spans="1:17" ht="13.5" customHeight="1" x14ac:dyDescent="0.2">
      <c r="A42" s="21"/>
      <c r="B42" s="22" t="s">
        <v>22</v>
      </c>
      <c r="C42" s="18" t="s">
        <v>9</v>
      </c>
      <c r="D42" s="6" t="s">
        <v>10</v>
      </c>
      <c r="E42" s="3" t="s">
        <v>11</v>
      </c>
      <c r="F42" s="5" t="s">
        <v>12</v>
      </c>
      <c r="G42" s="5" t="s">
        <v>13</v>
      </c>
      <c r="H42" s="5" t="s">
        <v>58</v>
      </c>
      <c r="I42" s="3" t="s">
        <v>14</v>
      </c>
      <c r="J42" s="3" t="s">
        <v>15</v>
      </c>
      <c r="K42" s="5" t="s">
        <v>67</v>
      </c>
      <c r="L42" s="5" t="s">
        <v>68</v>
      </c>
      <c r="M42" s="5" t="s">
        <v>69</v>
      </c>
      <c r="N42" s="19" t="s">
        <v>70</v>
      </c>
      <c r="O42" s="18" t="s">
        <v>1</v>
      </c>
      <c r="P42" s="5" t="s">
        <v>71</v>
      </c>
      <c r="Q42" s="5" t="s">
        <v>72</v>
      </c>
    </row>
    <row r="43" spans="1:17" ht="13.5" customHeight="1" x14ac:dyDescent="0.2">
      <c r="A43" s="19">
        <v>1</v>
      </c>
      <c r="B43" s="22">
        <v>2</v>
      </c>
      <c r="C43" s="4">
        <v>3</v>
      </c>
      <c r="D43" s="3">
        <v>4</v>
      </c>
      <c r="E43" s="3">
        <v>5</v>
      </c>
      <c r="F43" s="3">
        <v>6</v>
      </c>
      <c r="G43" s="3">
        <v>7</v>
      </c>
      <c r="H43" s="3">
        <v>8</v>
      </c>
      <c r="I43" s="3">
        <v>9</v>
      </c>
      <c r="J43" s="3">
        <v>10</v>
      </c>
      <c r="K43" s="3">
        <v>11</v>
      </c>
      <c r="L43" s="3">
        <v>12</v>
      </c>
      <c r="M43" s="3">
        <v>13</v>
      </c>
      <c r="N43" s="20">
        <v>14</v>
      </c>
      <c r="O43" s="4">
        <v>15</v>
      </c>
      <c r="P43" s="3">
        <v>16</v>
      </c>
      <c r="Q43" s="3">
        <v>17</v>
      </c>
    </row>
    <row r="44" spans="1:17" ht="30" customHeight="1" x14ac:dyDescent="0.2">
      <c r="A44" s="23" t="s">
        <v>79</v>
      </c>
      <c r="B44" s="152" t="s">
        <v>42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3"/>
    </row>
    <row r="45" spans="1:17" ht="15.75" customHeight="1" x14ac:dyDescent="0.2">
      <c r="A45" s="24" t="s">
        <v>92</v>
      </c>
      <c r="B45" s="134" t="s">
        <v>43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5"/>
    </row>
    <row r="46" spans="1:17" ht="13.5" customHeight="1" x14ac:dyDescent="0.2">
      <c r="A46" s="25" t="s">
        <v>80</v>
      </c>
      <c r="B46" s="136" t="s">
        <v>44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7"/>
    </row>
    <row r="47" spans="1:17" ht="12.75" x14ac:dyDescent="0.2">
      <c r="A47" s="25" t="s">
        <v>81</v>
      </c>
      <c r="B47" s="136" t="s">
        <v>97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7"/>
    </row>
    <row r="48" spans="1:17" ht="13.5" customHeight="1" x14ac:dyDescent="0.2">
      <c r="A48" s="24" t="s">
        <v>93</v>
      </c>
      <c r="B48" s="136" t="s">
        <v>148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7"/>
    </row>
    <row r="49" spans="1:17" ht="13.5" customHeight="1" x14ac:dyDescent="0.2">
      <c r="A49" s="25" t="s">
        <v>82</v>
      </c>
      <c r="B49" s="134" t="s">
        <v>45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5"/>
    </row>
    <row r="50" spans="1:17" ht="12.75" x14ac:dyDescent="0.2">
      <c r="A50" s="25" t="s">
        <v>83</v>
      </c>
      <c r="B50" s="136" t="s">
        <v>98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7"/>
    </row>
    <row r="51" spans="1:17" ht="12.75" x14ac:dyDescent="0.2">
      <c r="A51" s="26" t="s">
        <v>94</v>
      </c>
      <c r="B51" s="134" t="s">
        <v>46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5"/>
    </row>
    <row r="52" spans="1:17" ht="13.5" customHeight="1" x14ac:dyDescent="0.2">
      <c r="A52" s="25" t="s">
        <v>84</v>
      </c>
      <c r="B52" s="134" t="s">
        <v>99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5"/>
    </row>
    <row r="53" spans="1:17" ht="13.5" customHeight="1" x14ac:dyDescent="0.2">
      <c r="A53" s="25" t="s">
        <v>85</v>
      </c>
      <c r="B53" s="134" t="s">
        <v>100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5"/>
    </row>
    <row r="54" spans="1:17" ht="13.5" customHeight="1" x14ac:dyDescent="0.2">
      <c r="A54" s="25" t="s">
        <v>86</v>
      </c>
      <c r="B54" s="134" t="s">
        <v>101</v>
      </c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5"/>
    </row>
    <row r="55" spans="1:17" ht="13.5" customHeight="1" x14ac:dyDescent="0.2">
      <c r="A55" s="24" t="s">
        <v>95</v>
      </c>
      <c r="B55" s="134" t="s">
        <v>47</v>
      </c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5"/>
    </row>
    <row r="56" spans="1:17" ht="13.5" customHeight="1" x14ac:dyDescent="0.2">
      <c r="A56" s="25" t="s">
        <v>87</v>
      </c>
      <c r="B56" s="134" t="s">
        <v>48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5"/>
    </row>
    <row r="57" spans="1:17" ht="13.5" customHeight="1" x14ac:dyDescent="0.2">
      <c r="A57" s="25" t="s">
        <v>88</v>
      </c>
      <c r="B57" s="134" t="s">
        <v>102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5"/>
    </row>
    <row r="58" spans="1:17" ht="13.5" customHeight="1" x14ac:dyDescent="0.2">
      <c r="A58" s="24" t="s">
        <v>96</v>
      </c>
      <c r="B58" s="134" t="s">
        <v>103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5"/>
    </row>
    <row r="59" spans="1:17" ht="13.5" customHeight="1" x14ac:dyDescent="0.2">
      <c r="A59" s="25" t="s">
        <v>89</v>
      </c>
      <c r="B59" s="141" t="s">
        <v>104</v>
      </c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5"/>
    </row>
    <row r="60" spans="1:17" ht="24" customHeight="1" x14ac:dyDescent="0.2">
      <c r="A60" s="25" t="s">
        <v>90</v>
      </c>
      <c r="B60" s="141" t="s">
        <v>105</v>
      </c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5"/>
    </row>
    <row r="61" spans="1:17" ht="18" customHeight="1" thickBot="1" x14ac:dyDescent="0.25">
      <c r="A61" s="27" t="s">
        <v>91</v>
      </c>
      <c r="B61" s="141" t="s">
        <v>106</v>
      </c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5"/>
    </row>
    <row r="65" spans="1:13" ht="75" customHeight="1" x14ac:dyDescent="0.2">
      <c r="A65" s="149" t="str">
        <f>CONCATENATE("Informacja z wykonania budżetów gmin za ",$D$104," ",$C$105," roku")</f>
        <v>Informacja z wykonania budżetów gmin za - 2023 roku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</row>
    <row r="66" spans="1:13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3.5" customHeight="1" x14ac:dyDescent="0.2">
      <c r="B67" s="92" t="s">
        <v>5</v>
      </c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</row>
    <row r="69" spans="1:13" ht="13.5" customHeight="1" x14ac:dyDescent="0.2">
      <c r="B69" s="154" t="s">
        <v>0</v>
      </c>
      <c r="C69" s="154"/>
      <c r="D69" s="154"/>
      <c r="E69" s="154"/>
      <c r="F69" s="86" t="s">
        <v>2</v>
      </c>
      <c r="G69" s="68" t="s">
        <v>142</v>
      </c>
      <c r="H69" s="105"/>
      <c r="I69" s="105"/>
      <c r="J69" s="105"/>
      <c r="K69" s="105"/>
      <c r="L69" s="93"/>
    </row>
    <row r="70" spans="1:13" ht="13.5" customHeight="1" x14ac:dyDescent="0.2">
      <c r="B70" s="154"/>
      <c r="C70" s="154"/>
      <c r="D70" s="154"/>
      <c r="E70" s="154"/>
      <c r="F70" s="87"/>
      <c r="G70" s="67" t="s">
        <v>6</v>
      </c>
      <c r="H70" s="67" t="s">
        <v>74</v>
      </c>
      <c r="I70" s="67" t="s">
        <v>141</v>
      </c>
      <c r="J70" s="67" t="s">
        <v>76</v>
      </c>
      <c r="K70" s="67" t="s">
        <v>77</v>
      </c>
      <c r="L70" s="173" t="s">
        <v>147</v>
      </c>
    </row>
    <row r="71" spans="1:13" ht="13.5" customHeight="1" x14ac:dyDescent="0.2">
      <c r="B71" s="154"/>
      <c r="C71" s="154"/>
      <c r="D71" s="154"/>
      <c r="E71" s="154"/>
      <c r="F71" s="87"/>
      <c r="G71" s="67"/>
      <c r="H71" s="67"/>
      <c r="I71" s="67"/>
      <c r="J71" s="67"/>
      <c r="K71" s="67"/>
      <c r="L71" s="174"/>
    </row>
    <row r="72" spans="1:13" ht="22.5" customHeight="1" x14ac:dyDescent="0.2">
      <c r="B72" s="154"/>
      <c r="C72" s="154"/>
      <c r="D72" s="154"/>
      <c r="E72" s="154"/>
      <c r="F72" s="88"/>
      <c r="G72" s="67"/>
      <c r="H72" s="67"/>
      <c r="I72" s="67"/>
      <c r="J72" s="67"/>
      <c r="K72" s="67"/>
      <c r="L72" s="175"/>
    </row>
    <row r="73" spans="1:13" ht="13.5" customHeight="1" x14ac:dyDescent="0.2">
      <c r="B73" s="67"/>
      <c r="C73" s="67"/>
      <c r="D73" s="67"/>
      <c r="E73" s="67"/>
      <c r="F73" s="3" t="s">
        <v>20</v>
      </c>
      <c r="G73" s="3" t="s">
        <v>16</v>
      </c>
      <c r="H73" s="3" t="s">
        <v>17</v>
      </c>
      <c r="I73" s="3" t="s">
        <v>18</v>
      </c>
      <c r="J73" s="3" t="s">
        <v>19</v>
      </c>
      <c r="K73" s="3" t="s">
        <v>132</v>
      </c>
      <c r="L73" s="43" t="s">
        <v>133</v>
      </c>
    </row>
    <row r="74" spans="1:13" ht="13.5" customHeight="1" x14ac:dyDescent="0.2">
      <c r="B74" s="67">
        <v>1</v>
      </c>
      <c r="C74" s="67"/>
      <c r="D74" s="67"/>
      <c r="E74" s="67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40">
        <v>8</v>
      </c>
    </row>
    <row r="75" spans="1:13" ht="33.75" customHeight="1" x14ac:dyDescent="0.2">
      <c r="B75" s="156" t="s">
        <v>121</v>
      </c>
      <c r="C75" s="156"/>
      <c r="D75" s="156"/>
      <c r="E75" s="156"/>
      <c r="F75" s="168" t="s">
        <v>49</v>
      </c>
      <c r="G75" s="168"/>
      <c r="H75" s="168"/>
      <c r="I75" s="168"/>
      <c r="J75" s="168"/>
      <c r="K75" s="168"/>
      <c r="L75" s="168"/>
    </row>
    <row r="76" spans="1:13" ht="33.75" customHeight="1" x14ac:dyDescent="0.2">
      <c r="B76" s="157" t="s">
        <v>122</v>
      </c>
      <c r="C76" s="157"/>
      <c r="D76" s="157"/>
      <c r="E76" s="157"/>
      <c r="F76" s="157" t="s">
        <v>50</v>
      </c>
      <c r="G76" s="157"/>
      <c r="H76" s="157"/>
      <c r="I76" s="157"/>
      <c r="J76" s="157"/>
      <c r="K76" s="157"/>
      <c r="L76" s="157"/>
    </row>
    <row r="77" spans="1:13" ht="33.75" customHeight="1" x14ac:dyDescent="0.2">
      <c r="B77" s="156" t="s">
        <v>123</v>
      </c>
      <c r="C77" s="156"/>
      <c r="D77" s="156"/>
      <c r="E77" s="156"/>
      <c r="F77" s="156" t="s">
        <v>51</v>
      </c>
      <c r="G77" s="156"/>
      <c r="H77" s="156"/>
      <c r="I77" s="156"/>
      <c r="J77" s="156"/>
      <c r="K77" s="156"/>
      <c r="L77" s="156"/>
    </row>
    <row r="78" spans="1:13" ht="22.5" customHeight="1" x14ac:dyDescent="0.2">
      <c r="B78" s="156" t="s">
        <v>124</v>
      </c>
      <c r="C78" s="156"/>
      <c r="D78" s="156"/>
      <c r="E78" s="156"/>
      <c r="F78" s="157" t="s">
        <v>128</v>
      </c>
      <c r="G78" s="157"/>
      <c r="H78" s="157"/>
      <c r="I78" s="157"/>
      <c r="J78" s="157"/>
      <c r="K78" s="157"/>
      <c r="L78" s="157"/>
    </row>
    <row r="79" spans="1:13" ht="33.75" customHeight="1" x14ac:dyDescent="0.2">
      <c r="B79" s="157" t="s">
        <v>125</v>
      </c>
      <c r="C79" s="157"/>
      <c r="D79" s="157"/>
      <c r="E79" s="157"/>
      <c r="F79" s="156" t="s">
        <v>129</v>
      </c>
      <c r="G79" s="156"/>
      <c r="H79" s="156"/>
      <c r="I79" s="156"/>
      <c r="J79" s="156"/>
      <c r="K79" s="156"/>
      <c r="L79" s="156"/>
    </row>
    <row r="80" spans="1:13" ht="33.75" customHeight="1" x14ac:dyDescent="0.2">
      <c r="B80" s="156" t="s">
        <v>126</v>
      </c>
      <c r="C80" s="156"/>
      <c r="D80" s="156"/>
      <c r="E80" s="156"/>
      <c r="F80" s="157" t="s">
        <v>130</v>
      </c>
      <c r="G80" s="157"/>
      <c r="H80" s="157"/>
      <c r="I80" s="157"/>
      <c r="J80" s="157"/>
      <c r="K80" s="157"/>
      <c r="L80" s="157"/>
    </row>
    <row r="81" spans="1:13" ht="22.5" customHeight="1" x14ac:dyDescent="0.2">
      <c r="B81" s="106" t="s">
        <v>127</v>
      </c>
      <c r="C81" s="107"/>
      <c r="D81" s="107"/>
      <c r="E81" s="108"/>
      <c r="F81" s="156" t="s">
        <v>131</v>
      </c>
      <c r="G81" s="156"/>
      <c r="H81" s="156"/>
      <c r="I81" s="156"/>
      <c r="J81" s="156"/>
      <c r="K81" s="156"/>
      <c r="L81" s="156"/>
    </row>
    <row r="82" spans="1:13" ht="18.75" customHeight="1" x14ac:dyDescent="0.2">
      <c r="A82" s="35"/>
      <c r="B82" s="36"/>
      <c r="C82" s="36"/>
      <c r="D82" s="36"/>
      <c r="E82" s="36"/>
      <c r="F82" s="167"/>
      <c r="G82" s="167"/>
      <c r="H82" s="167"/>
      <c r="I82" s="167"/>
      <c r="J82" s="167"/>
      <c r="K82" s="167"/>
      <c r="L82" s="35"/>
    </row>
    <row r="83" spans="1:13" ht="13.5" customHeight="1" x14ac:dyDescent="0.2">
      <c r="C83" s="35"/>
      <c r="G83" s="35"/>
      <c r="H83" s="35"/>
      <c r="I83" s="35"/>
      <c r="J83" s="35"/>
      <c r="K83" s="35"/>
    </row>
    <row r="94" spans="1:13" ht="75" customHeight="1" x14ac:dyDescent="0.2">
      <c r="A94" s="149" t="str">
        <f>CONCATENATE("Informacja z wykonania budżetów gmin za ",$D$104," ",$C$105," roku")</f>
        <v>Informacja z wykonania budżetów gmin za - 2023 roku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</row>
    <row r="95" spans="1:13" ht="13.5" customHeight="1" x14ac:dyDescent="0.2">
      <c r="B95" s="9"/>
    </row>
    <row r="96" spans="1:13" ht="13.5" customHeight="1" x14ac:dyDescent="0.2">
      <c r="B96" s="10"/>
      <c r="C96" s="68"/>
      <c r="D96" s="105"/>
      <c r="E96" s="105"/>
      <c r="F96" s="93"/>
      <c r="G96" s="68" t="s">
        <v>7</v>
      </c>
      <c r="H96" s="93"/>
      <c r="I96" s="68" t="s">
        <v>8</v>
      </c>
      <c r="J96" s="93"/>
      <c r="K96" s="10"/>
    </row>
    <row r="97" spans="2:11" ht="13.5" customHeight="1" x14ac:dyDescent="0.2">
      <c r="B97" s="10"/>
      <c r="C97" s="14"/>
      <c r="D97" s="13"/>
      <c r="E97" s="13"/>
      <c r="F97" s="4"/>
      <c r="G97" s="68" t="s">
        <v>33</v>
      </c>
      <c r="H97" s="93"/>
      <c r="I97" s="68" t="s">
        <v>32</v>
      </c>
      <c r="J97" s="93"/>
      <c r="K97" s="10"/>
    </row>
    <row r="98" spans="2:11" ht="13.5" customHeight="1" x14ac:dyDescent="0.2">
      <c r="B98" s="11"/>
      <c r="C98" s="106" t="s">
        <v>23</v>
      </c>
      <c r="D98" s="107"/>
      <c r="E98" s="107"/>
      <c r="F98" s="108"/>
      <c r="G98" s="158" t="s">
        <v>29</v>
      </c>
      <c r="H98" s="159"/>
      <c r="I98" s="159"/>
      <c r="J98" s="160"/>
      <c r="K98" s="12"/>
    </row>
    <row r="99" spans="2:11" ht="13.5" customHeight="1" x14ac:dyDescent="0.2">
      <c r="B99" s="11"/>
      <c r="C99" s="164" t="s">
        <v>24</v>
      </c>
      <c r="D99" s="165"/>
      <c r="E99" s="165"/>
      <c r="F99" s="166"/>
      <c r="G99" s="161" t="s">
        <v>30</v>
      </c>
      <c r="H99" s="162"/>
      <c r="I99" s="162"/>
      <c r="J99" s="163"/>
      <c r="K99" s="12"/>
    </row>
    <row r="100" spans="2:11" ht="13.5" customHeight="1" x14ac:dyDescent="0.2">
      <c r="B100" s="11"/>
      <c r="C100" s="106" t="s">
        <v>25</v>
      </c>
      <c r="D100" s="107"/>
      <c r="E100" s="107"/>
      <c r="F100" s="108"/>
      <c r="G100" s="158" t="s">
        <v>31</v>
      </c>
      <c r="H100" s="159"/>
      <c r="I100" s="159"/>
      <c r="J100" s="160"/>
      <c r="K100" s="12"/>
    </row>
    <row r="104" spans="2:11" ht="13.5" customHeight="1" x14ac:dyDescent="0.2">
      <c r="B104" s="15" t="s">
        <v>26</v>
      </c>
      <c r="C104" s="15">
        <f>2</f>
        <v>2</v>
      </c>
      <c r="D104" s="15" t="str">
        <f>IF(C104="1","I Kwartał",IF(C104="2","II Kwartały",IF(C104="3","III Kwartały",IF(C104="4","IV Kwartały","-"))))</f>
        <v>-</v>
      </c>
    </row>
    <row r="105" spans="2:11" ht="13.5" customHeight="1" x14ac:dyDescent="0.2">
      <c r="B105" s="15" t="s">
        <v>27</v>
      </c>
      <c r="C105" s="15">
        <f>2023</f>
        <v>2023</v>
      </c>
      <c r="D105" s="16"/>
    </row>
    <row r="106" spans="2:11" ht="13.5" customHeight="1" x14ac:dyDescent="0.2">
      <c r="B106" s="15" t="s">
        <v>28</v>
      </c>
      <c r="C106" s="17" t="str">
        <f>"Aug 14 2023 12:00AM"</f>
        <v>Aug 14 2023 12:00AM</v>
      </c>
      <c r="D106" s="16"/>
    </row>
  </sheetData>
  <mergeCells count="111">
    <mergeCell ref="K70:K72"/>
    <mergeCell ref="J70:J72"/>
    <mergeCell ref="I70:I72"/>
    <mergeCell ref="H70:H72"/>
    <mergeCell ref="L70:L72"/>
    <mergeCell ref="K6:K10"/>
    <mergeCell ref="L6:L10"/>
    <mergeCell ref="B67:M67"/>
    <mergeCell ref="B52:Q52"/>
    <mergeCell ref="Q37:Q41"/>
    <mergeCell ref="O5:Q5"/>
    <mergeCell ref="P6:P10"/>
    <mergeCell ref="O6:O10"/>
    <mergeCell ref="Q6:Q10"/>
    <mergeCell ref="C5:N5"/>
    <mergeCell ref="G69:L69"/>
    <mergeCell ref="M6:M10"/>
    <mergeCell ref="A65:M65"/>
    <mergeCell ref="F6:F10"/>
    <mergeCell ref="N6:N10"/>
    <mergeCell ref="G6:G10"/>
    <mergeCell ref="H6:H10"/>
    <mergeCell ref="I6:I10"/>
    <mergeCell ref="J6:J10"/>
    <mergeCell ref="C100:F100"/>
    <mergeCell ref="B21:Q21"/>
    <mergeCell ref="B22:Q22"/>
    <mergeCell ref="B23:Q23"/>
    <mergeCell ref="F82:K82"/>
    <mergeCell ref="F75:L75"/>
    <mergeCell ref="I96:J96"/>
    <mergeCell ref="F76:L76"/>
    <mergeCell ref="B79:E79"/>
    <mergeCell ref="B80:E80"/>
    <mergeCell ref="B81:E81"/>
    <mergeCell ref="F79:L79"/>
    <mergeCell ref="F80:L80"/>
    <mergeCell ref="B78:E78"/>
    <mergeCell ref="F77:L77"/>
    <mergeCell ref="F78:L78"/>
    <mergeCell ref="G100:J100"/>
    <mergeCell ref="G97:H97"/>
    <mergeCell ref="I97:J97"/>
    <mergeCell ref="G98:J98"/>
    <mergeCell ref="G99:J99"/>
    <mergeCell ref="C96:F96"/>
    <mergeCell ref="C98:F98"/>
    <mergeCell ref="C99:F99"/>
    <mergeCell ref="G96:H96"/>
    <mergeCell ref="B74:E74"/>
    <mergeCell ref="B73:E73"/>
    <mergeCell ref="B69:E72"/>
    <mergeCell ref="F69:F72"/>
    <mergeCell ref="G70:G72"/>
    <mergeCell ref="A94:M94"/>
    <mergeCell ref="F81:L81"/>
    <mergeCell ref="B75:E75"/>
    <mergeCell ref="B76:E76"/>
    <mergeCell ref="B77:E77"/>
    <mergeCell ref="A3:M3"/>
    <mergeCell ref="B16:Q16"/>
    <mergeCell ref="A5:A10"/>
    <mergeCell ref="B5:B10"/>
    <mergeCell ref="B13:Q13"/>
    <mergeCell ref="B14:Q14"/>
    <mergeCell ref="B15:Q15"/>
    <mergeCell ref="D6:D10"/>
    <mergeCell ref="C6:C10"/>
    <mergeCell ref="E6:E10"/>
    <mergeCell ref="A1:M1"/>
    <mergeCell ref="B51:Q51"/>
    <mergeCell ref="B46:Q46"/>
    <mergeCell ref="B47:Q47"/>
    <mergeCell ref="A32:M32"/>
    <mergeCell ref="A34:M34"/>
    <mergeCell ref="A36:A41"/>
    <mergeCell ref="B36:B41"/>
    <mergeCell ref="B44:Q44"/>
    <mergeCell ref="B45:Q45"/>
    <mergeCell ref="H37:H41"/>
    <mergeCell ref="G37:G41"/>
    <mergeCell ref="F37:F41"/>
    <mergeCell ref="J37:J41"/>
    <mergeCell ref="K37:K41"/>
    <mergeCell ref="B48:Q48"/>
    <mergeCell ref="B49:Q49"/>
    <mergeCell ref="I37:I41"/>
    <mergeCell ref="O36:Q36"/>
    <mergeCell ref="C36:N36"/>
    <mergeCell ref="P37:P41"/>
    <mergeCell ref="D37:D41"/>
    <mergeCell ref="L37:L41"/>
    <mergeCell ref="M37:M41"/>
    <mergeCell ref="N37:N41"/>
    <mergeCell ref="C37:C41"/>
    <mergeCell ref="B61:Q61"/>
    <mergeCell ref="B60:Q60"/>
    <mergeCell ref="B56:Q56"/>
    <mergeCell ref="B57:Q57"/>
    <mergeCell ref="B58:Q58"/>
    <mergeCell ref="B59:Q59"/>
    <mergeCell ref="B17:Q17"/>
    <mergeCell ref="B18:Q18"/>
    <mergeCell ref="B19:Q19"/>
    <mergeCell ref="B20:Q20"/>
    <mergeCell ref="O37:O41"/>
    <mergeCell ref="B55:Q55"/>
    <mergeCell ref="B53:Q53"/>
    <mergeCell ref="B54:Q54"/>
    <mergeCell ref="B50:Q50"/>
    <mergeCell ref="E37:E41"/>
  </mergeCells>
  <phoneticPr fontId="5" type="noConversion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zob_nal</vt:lpstr>
      <vt:lpstr>definicja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2023-08-14T13:36:50Z</dcterms:modified>
</cp:coreProperties>
</file>