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<sst xmlns="http://schemas.openxmlformats.org/spreadsheetml/2006/main" count="98" uniqueCount="79">
  <si>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</si>
  <si>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sektora finansów publicznych (kol.5+7+8)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</si>
  <si>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</si>
  <si>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</si>
  <si>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</si>
  <si>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</si>
  <si>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</si>
  <si>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</si>
  <si>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</si>
  <si>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</si>
  <si>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</si>
  <si>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</si>
  <si>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</si>
  <si>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</si>
  <si>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</si>
  <si>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</si>
  <si>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</si>
  <si>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</si>
  <si>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</si>
  <si>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</si>
  <si>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</si>
  <si>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</si>
  <si>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</si>
  <si>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</si>
  <si>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</si>
  <si>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</si>
  <si>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</si>
  <si>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</si>
  <si>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</si>
  <si>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</si>
  <si>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</si>
  <si>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</si>
  <si>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</si>
  <si>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</si>
  <si>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</si>
  <si>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</si>
  <si>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</si>
  <si>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</si>
  <si>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N5.2 z tytułu podatków i składek na 
ubezpieczenia społ.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</si>
  <si>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</si>
  <si>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</si>
  <si>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</si>
  <si>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</si>
  <si>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</si>
  <si>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</si>
  <si>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</si>
  <si>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</si>
  <si>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</si>
  <si>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</si>
  <si>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</si>
  <si>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</si>
  <si>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</si>
  <si>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</si>
  <si>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</si>
  <si>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</si>
  <si>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</si>
  <si>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</si>
  <si>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</si>
  <si>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</si>
  <si>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</si>
  <si>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</si>
  <si>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</si>
  <si>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</si>
  <si>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</si>
  <si>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</si>
  <si>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</si>
  <si>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</si>
  <si>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</si>
  <si>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</si>
  <si>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</si>
  <si>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wierzyciele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</si>
  <si>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</si>
  <si>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</si>
  <si>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</si>
  <si>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</si>
  <si>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</si>
  <si>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w złotych</t>
  </si>
  <si>
    <t>E4  wymagalne zobowiązania (E4.1+E4.2)</t>
  </si>
  <si>
    <t xml:space="preserve">Informacja z wykonania budżetów miast na prawach powiatu za  II Kwartały 2021 roku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</si>
</sst>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7" fillId="0" borderId="0" xfId="88" applyFont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5" fillId="2" borderId="19" xfId="88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8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6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0" fontId="29" fillId="50" borderId="20" xfId="0" applyFont="1" applyFill="1" applyBorder="1" applyAlignment="1">
      <alignment vertical="center" wrapText="1"/>
    </xf>
    <xf numFmtId="0" fontId="5" fillId="2" borderId="19" xfId="88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28" fillId="2" borderId="24" xfId="88" applyFont="1" applyFill="1" applyBorder="1" applyAlignment="1">
      <alignment horizontal="center" vertical="center" wrapText="1"/>
      <protection/>
    </xf>
    <xf numFmtId="0" fontId="28" fillId="2" borderId="25" xfId="88" applyFont="1" applyFill="1" applyBorder="1" applyAlignment="1">
      <alignment horizontal="center" vertical="center" wrapText="1"/>
      <protection/>
    </xf>
    <xf numFmtId="0" fontId="28" fillId="2" borderId="26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28" fillId="2" borderId="21" xfId="88" applyFont="1" applyFill="1" applyBorder="1" applyAlignment="1">
      <alignment horizontal="center" vertical="center" wrapText="1"/>
      <protection/>
    </xf>
    <xf numFmtId="0" fontId="28" fillId="2" borderId="22" xfId="88" applyFont="1" applyFill="1" applyBorder="1" applyAlignment="1">
      <alignment horizontal="center" vertical="center" wrapText="1"/>
      <protection/>
    </xf>
    <xf numFmtId="0" fontId="28" fillId="2" borderId="23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1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4" width="12.375" style="2" customWidth="1"/>
    <col min="5" max="5" width="11.375" style="2" customWidth="1"/>
    <col min="6" max="6" width="11.25390625" style="2" bestFit="1" customWidth="1"/>
    <col min="7" max="7" width="11.125" style="2" bestFit="1" customWidth="1"/>
    <col min="8" max="8" width="9.375" style="2" bestFit="1" customWidth="1"/>
    <col min="9" max="9" width="11.875" style="2" bestFit="1" customWidth="1"/>
    <col min="10" max="10" width="12.00390625" style="2" bestFit="1" customWidth="1"/>
    <col min="11" max="11" width="10.125" style="2" bestFit="1" customWidth="1"/>
    <col min="12" max="13" width="11.25390625" style="2" bestFit="1" customWidth="1"/>
    <col min="14" max="14" width="10.125" style="2" bestFit="1" customWidth="1"/>
    <col min="15" max="16" width="12.00390625" style="2" bestFit="1" customWidth="1"/>
    <col min="17" max="17" width="9.375" style="2" bestFit="1" customWidth="1"/>
    <col min="18" max="16384" width="9.125" style="2" customWidth="1"/>
  </cols>
  <sheetData>
    <row r="1" spans="1:13" ht="75" customHeight="1">
      <c r="A1" s="37" t="s">
        <v>78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47" t="s">
        <v>62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5" spans="2:17" ht="13.5" customHeight="1">
      <c r="B5" s="9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8"/>
      <c r="O5" s="8"/>
      <c r="P5" s="8"/>
      <c r="Q5" s="8"/>
    </row>
    <row r="6" spans="1:17" ht="13.5" customHeight="1">
      <c r="A6" s="66" t="s">
        <v>0</v>
      </c>
      <c r="B6" s="38" t="s">
        <v>63</v>
      </c>
      <c r="C6" s="33" t="s">
        <v>67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  <c r="O6" s="33" t="s">
        <v>66</v>
      </c>
      <c r="P6" s="34"/>
      <c r="Q6" s="35"/>
    </row>
    <row r="7" spans="1:17" ht="13.5" customHeight="1">
      <c r="A7" s="67"/>
      <c r="B7" s="39"/>
      <c r="C7" s="40" t="s">
        <v>64</v>
      </c>
      <c r="D7" s="40" t="s">
        <v>1</v>
      </c>
      <c r="E7" s="40" t="s">
        <v>68</v>
      </c>
      <c r="F7" s="40" t="s">
        <v>69</v>
      </c>
      <c r="G7" s="40" t="s">
        <v>25</v>
      </c>
      <c r="H7" s="40" t="s">
        <v>26</v>
      </c>
      <c r="I7" s="73" t="s">
        <v>65</v>
      </c>
      <c r="J7" s="40" t="s">
        <v>14</v>
      </c>
      <c r="K7" s="40" t="s">
        <v>15</v>
      </c>
      <c r="L7" s="40" t="s">
        <v>16</v>
      </c>
      <c r="M7" s="40" t="s">
        <v>17</v>
      </c>
      <c r="N7" s="39" t="s">
        <v>18</v>
      </c>
      <c r="O7" s="36" t="s">
        <v>19</v>
      </c>
      <c r="P7" s="36" t="s">
        <v>20</v>
      </c>
      <c r="Q7" s="36" t="s">
        <v>21</v>
      </c>
    </row>
    <row r="8" spans="1:17" ht="13.5" customHeight="1">
      <c r="A8" s="67"/>
      <c r="B8" s="39"/>
      <c r="C8" s="36"/>
      <c r="D8" s="36"/>
      <c r="E8" s="36"/>
      <c r="F8" s="36"/>
      <c r="G8" s="36"/>
      <c r="H8" s="36"/>
      <c r="I8" s="73"/>
      <c r="J8" s="36"/>
      <c r="K8" s="36"/>
      <c r="L8" s="36"/>
      <c r="M8" s="36"/>
      <c r="N8" s="39"/>
      <c r="O8" s="36"/>
      <c r="P8" s="36"/>
      <c r="Q8" s="36"/>
    </row>
    <row r="9" spans="1:17" ht="11.25" customHeight="1">
      <c r="A9" s="67"/>
      <c r="B9" s="39"/>
      <c r="C9" s="36"/>
      <c r="D9" s="36"/>
      <c r="E9" s="36"/>
      <c r="F9" s="36"/>
      <c r="G9" s="36"/>
      <c r="H9" s="36"/>
      <c r="I9" s="73"/>
      <c r="J9" s="36"/>
      <c r="K9" s="36"/>
      <c r="L9" s="36"/>
      <c r="M9" s="36"/>
      <c r="N9" s="39"/>
      <c r="O9" s="36"/>
      <c r="P9" s="36"/>
      <c r="Q9" s="36"/>
    </row>
    <row r="10" spans="1:17" ht="11.25" customHeight="1">
      <c r="A10" s="68"/>
      <c r="B10" s="40"/>
      <c r="C10" s="36"/>
      <c r="D10" s="36"/>
      <c r="E10" s="36"/>
      <c r="F10" s="36"/>
      <c r="G10" s="36"/>
      <c r="H10" s="36"/>
      <c r="I10" s="74"/>
      <c r="J10" s="36"/>
      <c r="K10" s="36"/>
      <c r="L10" s="36"/>
      <c r="M10" s="36"/>
      <c r="N10" s="40"/>
      <c r="O10" s="36"/>
      <c r="P10" s="36"/>
      <c r="Q10" s="36"/>
    </row>
    <row r="11" spans="1:17" ht="11.2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</row>
    <row r="12" spans="1:17" ht="13.5" customHeight="1">
      <c r="A12" s="11"/>
      <c r="B12" s="26" t="s">
        <v>76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</row>
    <row r="13" spans="1:17" ht="38.25" customHeight="1">
      <c r="A13" s="18" t="s">
        <v>45</v>
      </c>
      <c r="B13" s="19">
        <f>42122468469.19</f>
        <v>42122468469.19</v>
      </c>
      <c r="C13" s="19">
        <f>22061197512.39</f>
        <v>22061197512.39</v>
      </c>
      <c r="D13" s="19">
        <f>464299033.58</f>
        <v>464299033.58</v>
      </c>
      <c r="E13" s="19">
        <f>17559.88</f>
        <v>17559.88</v>
      </c>
      <c r="F13" s="19">
        <f>241327169.76</f>
        <v>241327169.76</v>
      </c>
      <c r="G13" s="19">
        <f>222954303.94</f>
        <v>222954303.94</v>
      </c>
      <c r="H13" s="19">
        <f>0</f>
        <v>0</v>
      </c>
      <c r="I13" s="19">
        <f>0</f>
        <v>0</v>
      </c>
      <c r="J13" s="19">
        <f>19420153003.14</f>
        <v>19420153003.14</v>
      </c>
      <c r="K13" s="19">
        <f>639206303.35</f>
        <v>639206303.35</v>
      </c>
      <c r="L13" s="19">
        <f>1520045451.61</f>
        <v>1520045451.61</v>
      </c>
      <c r="M13" s="19">
        <f>14330716.27</f>
        <v>14330716.27</v>
      </c>
      <c r="N13" s="19">
        <f>3163004.44</f>
        <v>3163004.44</v>
      </c>
      <c r="O13" s="19">
        <f>20061270956.8</f>
        <v>20061270956.8</v>
      </c>
      <c r="P13" s="19">
        <f>19984570956.8</f>
        <v>19984570956.8</v>
      </c>
      <c r="Q13" s="19">
        <f>76700000</f>
        <v>76700000</v>
      </c>
    </row>
    <row r="14" spans="1:17" ht="38.25" customHeight="1">
      <c r="A14" s="18" t="s">
        <v>46</v>
      </c>
      <c r="B14" s="19">
        <f>2675151000</f>
        <v>2675151000</v>
      </c>
      <c r="C14" s="19">
        <f>2675151000</f>
        <v>2675151000</v>
      </c>
      <c r="D14" s="19">
        <f>0</f>
        <v>0</v>
      </c>
      <c r="E14" s="19">
        <f>0</f>
        <v>0</v>
      </c>
      <c r="F14" s="19">
        <f>0</f>
        <v>0</v>
      </c>
      <c r="G14" s="19">
        <f>0</f>
        <v>0</v>
      </c>
      <c r="H14" s="19">
        <f>0</f>
        <v>0</v>
      </c>
      <c r="I14" s="19">
        <f>0</f>
        <v>0</v>
      </c>
      <c r="J14" s="19">
        <f>2675151000</f>
        <v>2675151000</v>
      </c>
      <c r="K14" s="19">
        <f>0</f>
        <v>0</v>
      </c>
      <c r="L14" s="19">
        <f>0</f>
        <v>0</v>
      </c>
      <c r="M14" s="19">
        <f>0</f>
        <v>0</v>
      </c>
      <c r="N14" s="19">
        <f>0</f>
        <v>0</v>
      </c>
      <c r="O14" s="19">
        <f>0</f>
        <v>0</v>
      </c>
      <c r="P14" s="19">
        <f>0</f>
        <v>0</v>
      </c>
      <c r="Q14" s="19">
        <f>0</f>
        <v>0</v>
      </c>
    </row>
    <row r="15" spans="1:17" ht="38.25" customHeight="1">
      <c r="A15" s="16" t="s">
        <v>47</v>
      </c>
      <c r="B15" s="20">
        <f>0</f>
        <v>0</v>
      </c>
      <c r="C15" s="20">
        <f>0</f>
        <v>0</v>
      </c>
      <c r="D15" s="20">
        <f>0</f>
        <v>0</v>
      </c>
      <c r="E15" s="20">
        <f>0</f>
        <v>0</v>
      </c>
      <c r="F15" s="20">
        <f>0</f>
        <v>0</v>
      </c>
      <c r="G15" s="20">
        <f>0</f>
        <v>0</v>
      </c>
      <c r="H15" s="20">
        <f>0</f>
        <v>0</v>
      </c>
      <c r="I15" s="20">
        <f>0</f>
        <v>0</v>
      </c>
      <c r="J15" s="20">
        <f>0</f>
        <v>0</v>
      </c>
      <c r="K15" s="20">
        <f>0</f>
        <v>0</v>
      </c>
      <c r="L15" s="20">
        <f>0</f>
        <v>0</v>
      </c>
      <c r="M15" s="20">
        <f>0</f>
        <v>0</v>
      </c>
      <c r="N15" s="20">
        <f>0</f>
        <v>0</v>
      </c>
      <c r="O15" s="20">
        <f>0</f>
        <v>0</v>
      </c>
      <c r="P15" s="20">
        <f>0</f>
        <v>0</v>
      </c>
      <c r="Q15" s="20">
        <f>0</f>
        <v>0</v>
      </c>
    </row>
    <row r="16" spans="1:17" ht="38.25" customHeight="1">
      <c r="A16" s="16" t="s">
        <v>48</v>
      </c>
      <c r="B16" s="20">
        <f>2675151000</f>
        <v>2675151000</v>
      </c>
      <c r="C16" s="20">
        <f>2675151000</f>
        <v>2675151000</v>
      </c>
      <c r="D16" s="20">
        <f>0</f>
        <v>0</v>
      </c>
      <c r="E16" s="20">
        <f>0</f>
        <v>0</v>
      </c>
      <c r="F16" s="20">
        <f>0</f>
        <v>0</v>
      </c>
      <c r="G16" s="20">
        <f>0</f>
        <v>0</v>
      </c>
      <c r="H16" s="20">
        <f>0</f>
        <v>0</v>
      </c>
      <c r="I16" s="20">
        <f>0</f>
        <v>0</v>
      </c>
      <c r="J16" s="20">
        <f>2675151000</f>
        <v>2675151000</v>
      </c>
      <c r="K16" s="20">
        <f>0</f>
        <v>0</v>
      </c>
      <c r="L16" s="20">
        <f>0</f>
        <v>0</v>
      </c>
      <c r="M16" s="20">
        <f>0</f>
        <v>0</v>
      </c>
      <c r="N16" s="20">
        <f>0</f>
        <v>0</v>
      </c>
      <c r="O16" s="20">
        <f>0</f>
        <v>0</v>
      </c>
      <c r="P16" s="20">
        <f>0</f>
        <v>0</v>
      </c>
      <c r="Q16" s="20">
        <f>0</f>
        <v>0</v>
      </c>
    </row>
    <row r="17" spans="1:17" ht="38.25" customHeight="1">
      <c r="A17" s="18" t="s">
        <v>49</v>
      </c>
      <c r="B17" s="19">
        <f>39427033830.83</f>
        <v>39427033830.83</v>
      </c>
      <c r="C17" s="19">
        <f>19365762874.03</f>
        <v>19365762874.03</v>
      </c>
      <c r="D17" s="19">
        <f>460430282.91</f>
        <v>460430282.91</v>
      </c>
      <c r="E17" s="19">
        <f>0</f>
        <v>0</v>
      </c>
      <c r="F17" s="19">
        <f>241327169.76</f>
        <v>241327169.76</v>
      </c>
      <c r="G17" s="19">
        <f>219103113.15</f>
        <v>219103113.15</v>
      </c>
      <c r="H17" s="19">
        <f>0</f>
        <v>0</v>
      </c>
      <c r="I17" s="19">
        <f>0</f>
        <v>0</v>
      </c>
      <c r="J17" s="19">
        <f>16745002003.14</f>
        <v>16745002003.14</v>
      </c>
      <c r="K17" s="19">
        <f>639206303.35</f>
        <v>639206303.35</v>
      </c>
      <c r="L17" s="19">
        <f>1518846974.34</f>
        <v>1518846974.34</v>
      </c>
      <c r="M17" s="19">
        <f>2277310.29</f>
        <v>2277310.29</v>
      </c>
      <c r="N17" s="19">
        <f>0</f>
        <v>0</v>
      </c>
      <c r="O17" s="19">
        <f>20061270956.8</f>
        <v>20061270956.8</v>
      </c>
      <c r="P17" s="19">
        <f>19984570956.8</f>
        <v>19984570956.8</v>
      </c>
      <c r="Q17" s="19">
        <f>76700000</f>
        <v>76700000</v>
      </c>
    </row>
    <row r="18" spans="1:17" ht="38.25" customHeight="1">
      <c r="A18" s="16" t="s">
        <v>50</v>
      </c>
      <c r="B18" s="20">
        <f>196828210.54</f>
        <v>196828210.54</v>
      </c>
      <c r="C18" s="20">
        <f>196828210.54</f>
        <v>196828210.54</v>
      </c>
      <c r="D18" s="20">
        <f>0</f>
        <v>0</v>
      </c>
      <c r="E18" s="20">
        <f>0</f>
        <v>0</v>
      </c>
      <c r="F18" s="20">
        <f>0</f>
        <v>0</v>
      </c>
      <c r="G18" s="20">
        <f>0</f>
        <v>0</v>
      </c>
      <c r="H18" s="20">
        <f>0</f>
        <v>0</v>
      </c>
      <c r="I18" s="20">
        <f>0</f>
        <v>0</v>
      </c>
      <c r="J18" s="20">
        <f>195819870.54</f>
        <v>195819870.54</v>
      </c>
      <c r="K18" s="20">
        <f>0</f>
        <v>0</v>
      </c>
      <c r="L18" s="20">
        <f>0</f>
        <v>0</v>
      </c>
      <c r="M18" s="20">
        <f>1008340</f>
        <v>1008340</v>
      </c>
      <c r="N18" s="20">
        <f>0</f>
        <v>0</v>
      </c>
      <c r="O18" s="20">
        <f>0</f>
        <v>0</v>
      </c>
      <c r="P18" s="20">
        <f>0</f>
        <v>0</v>
      </c>
      <c r="Q18" s="20">
        <f>0</f>
        <v>0</v>
      </c>
    </row>
    <row r="19" spans="1:17" ht="38.25" customHeight="1">
      <c r="A19" s="16" t="s">
        <v>51</v>
      </c>
      <c r="B19" s="20">
        <f>39230205620.29</f>
        <v>39230205620.29</v>
      </c>
      <c r="C19" s="20">
        <f>19168934663.49</f>
        <v>19168934663.49</v>
      </c>
      <c r="D19" s="20">
        <f>460430282.91</f>
        <v>460430282.91</v>
      </c>
      <c r="E19" s="20">
        <f>0</f>
        <v>0</v>
      </c>
      <c r="F19" s="20">
        <f>241327169.76</f>
        <v>241327169.76</v>
      </c>
      <c r="G19" s="20">
        <f>219103113.15</f>
        <v>219103113.15</v>
      </c>
      <c r="H19" s="20">
        <f>0</f>
        <v>0</v>
      </c>
      <c r="I19" s="20">
        <f>0</f>
        <v>0</v>
      </c>
      <c r="J19" s="20">
        <f>16549182132.6</f>
        <v>16549182132.6</v>
      </c>
      <c r="K19" s="20">
        <f>639206303.35</f>
        <v>639206303.35</v>
      </c>
      <c r="L19" s="20">
        <f>1518846974.34</f>
        <v>1518846974.34</v>
      </c>
      <c r="M19" s="20">
        <f>1268970.29</f>
        <v>1268970.29</v>
      </c>
      <c r="N19" s="20">
        <f>0</f>
        <v>0</v>
      </c>
      <c r="O19" s="20">
        <f>20061270956.8</f>
        <v>20061270956.8</v>
      </c>
      <c r="P19" s="20">
        <f>19984570956.8</f>
        <v>19984570956.8</v>
      </c>
      <c r="Q19" s="20">
        <f>76700000</f>
        <v>76700000</v>
      </c>
    </row>
    <row r="20" spans="1:17" ht="38.25" customHeight="1">
      <c r="A20" s="18" t="s">
        <v>52</v>
      </c>
      <c r="B20" s="19">
        <f>0</f>
        <v>0</v>
      </c>
      <c r="C20" s="19">
        <f>0</f>
        <v>0</v>
      </c>
      <c r="D20" s="19">
        <f>0</f>
        <v>0</v>
      </c>
      <c r="E20" s="19">
        <f>0</f>
        <v>0</v>
      </c>
      <c r="F20" s="19">
        <f>0</f>
        <v>0</v>
      </c>
      <c r="G20" s="19">
        <f>0</f>
        <v>0</v>
      </c>
      <c r="H20" s="19">
        <f>0</f>
        <v>0</v>
      </c>
      <c r="I20" s="19">
        <f>0</f>
        <v>0</v>
      </c>
      <c r="J20" s="19">
        <f>0</f>
        <v>0</v>
      </c>
      <c r="K20" s="19">
        <f>0</f>
        <v>0</v>
      </c>
      <c r="L20" s="19">
        <f>0</f>
        <v>0</v>
      </c>
      <c r="M20" s="19">
        <f>0</f>
        <v>0</v>
      </c>
      <c r="N20" s="19">
        <f>0</f>
        <v>0</v>
      </c>
      <c r="O20" s="19">
        <f>0</f>
        <v>0</v>
      </c>
      <c r="P20" s="19">
        <f>0</f>
        <v>0</v>
      </c>
      <c r="Q20" s="19">
        <f>0</f>
        <v>0</v>
      </c>
    </row>
    <row r="21" spans="1:17" ht="38.25" customHeight="1">
      <c r="A21" s="18" t="s">
        <v>77</v>
      </c>
      <c r="B21" s="19">
        <f>20283638.36</f>
        <v>20283638.36</v>
      </c>
      <c r="C21" s="19">
        <f>20283638.36</f>
        <v>20283638.36</v>
      </c>
      <c r="D21" s="19">
        <f>3868750.67</f>
        <v>3868750.67</v>
      </c>
      <c r="E21" s="19">
        <f>17559.88</f>
        <v>17559.88</v>
      </c>
      <c r="F21" s="19">
        <f>0</f>
        <v>0</v>
      </c>
      <c r="G21" s="19">
        <f>3851190.79</f>
        <v>3851190.79</v>
      </c>
      <c r="H21" s="19">
        <f>0</f>
        <v>0</v>
      </c>
      <c r="I21" s="19">
        <f>0</f>
        <v>0</v>
      </c>
      <c r="J21" s="19">
        <f>0</f>
        <v>0</v>
      </c>
      <c r="K21" s="19">
        <f>0</f>
        <v>0</v>
      </c>
      <c r="L21" s="19">
        <f>1198477.27</f>
        <v>1198477.27</v>
      </c>
      <c r="M21" s="19">
        <f>12053405.98</f>
        <v>12053405.98</v>
      </c>
      <c r="N21" s="19">
        <f>3163004.44</f>
        <v>3163004.44</v>
      </c>
      <c r="O21" s="19">
        <f>0</f>
        <v>0</v>
      </c>
      <c r="P21" s="19">
        <f>0</f>
        <v>0</v>
      </c>
      <c r="Q21" s="19">
        <f>0</f>
        <v>0</v>
      </c>
    </row>
    <row r="22" spans="1:17" ht="38.25" customHeight="1">
      <c r="A22" s="16" t="s">
        <v>53</v>
      </c>
      <c r="B22" s="20">
        <f>12608701.47</f>
        <v>12608701.47</v>
      </c>
      <c r="C22" s="20">
        <f>12608701.47</f>
        <v>12608701.47</v>
      </c>
      <c r="D22" s="20">
        <f>1513887.53</f>
        <v>1513887.53</v>
      </c>
      <c r="E22" s="20">
        <f>400.88</f>
        <v>400.88</v>
      </c>
      <c r="F22" s="20">
        <f>0</f>
        <v>0</v>
      </c>
      <c r="G22" s="20">
        <f>1513486.65</f>
        <v>1513486.65</v>
      </c>
      <c r="H22" s="20">
        <f>0</f>
        <v>0</v>
      </c>
      <c r="I22" s="20">
        <f>0</f>
        <v>0</v>
      </c>
      <c r="J22" s="20">
        <f>0</f>
        <v>0</v>
      </c>
      <c r="K22" s="20">
        <f>0</f>
        <v>0</v>
      </c>
      <c r="L22" s="20">
        <f>281455.68</f>
        <v>281455.68</v>
      </c>
      <c r="M22" s="20">
        <f>9054906.64</f>
        <v>9054906.64</v>
      </c>
      <c r="N22" s="20">
        <f>1758451.62</f>
        <v>1758451.62</v>
      </c>
      <c r="O22" s="20">
        <f>0</f>
        <v>0</v>
      </c>
      <c r="P22" s="20">
        <f>0</f>
        <v>0</v>
      </c>
      <c r="Q22" s="20">
        <f>0</f>
        <v>0</v>
      </c>
    </row>
    <row r="23" spans="1:17" ht="38.25" customHeight="1">
      <c r="A23" s="16" t="s">
        <v>54</v>
      </c>
      <c r="B23" s="20">
        <f>7674936.89</f>
        <v>7674936.89</v>
      </c>
      <c r="C23" s="20">
        <f>7674936.89</f>
        <v>7674936.89</v>
      </c>
      <c r="D23" s="20">
        <f>2354863.14</f>
        <v>2354863.14</v>
      </c>
      <c r="E23" s="20">
        <f>17159</f>
        <v>17159</v>
      </c>
      <c r="F23" s="20">
        <f>0</f>
        <v>0</v>
      </c>
      <c r="G23" s="20">
        <f>2337704.14</f>
        <v>2337704.14</v>
      </c>
      <c r="H23" s="20">
        <f>0</f>
        <v>0</v>
      </c>
      <c r="I23" s="20">
        <f>0</f>
        <v>0</v>
      </c>
      <c r="J23" s="20">
        <f>0</f>
        <v>0</v>
      </c>
      <c r="K23" s="20">
        <f>0</f>
        <v>0</v>
      </c>
      <c r="L23" s="20">
        <f>917021.59</f>
        <v>917021.59</v>
      </c>
      <c r="M23" s="20">
        <f>2998499.34</f>
        <v>2998499.34</v>
      </c>
      <c r="N23" s="20">
        <f>1404552.82</f>
        <v>1404552.82</v>
      </c>
      <c r="O23" s="20">
        <f>0</f>
        <v>0</v>
      </c>
      <c r="P23" s="20">
        <f>0</f>
        <v>0</v>
      </c>
      <c r="Q23" s="20">
        <f>0</f>
        <v>0</v>
      </c>
    </row>
    <row r="24" spans="1:17" ht="19.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9.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9.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9.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9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9.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3" ht="45.75" customHeight="1">
      <c r="A30" s="37" t="s">
        <v>78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2" spans="1:13" ht="13.5" customHeight="1">
      <c r="A32" s="47" t="s">
        <v>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4" spans="1:17" ht="13.5" customHeight="1">
      <c r="A34" s="66" t="s">
        <v>0</v>
      </c>
      <c r="B34" s="38" t="s">
        <v>10</v>
      </c>
      <c r="C34" s="76" t="s">
        <v>12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8"/>
      <c r="O34" s="76" t="s">
        <v>22</v>
      </c>
      <c r="P34" s="77"/>
      <c r="Q34" s="78"/>
    </row>
    <row r="35" spans="1:17" ht="13.5" customHeight="1">
      <c r="A35" s="67"/>
      <c r="B35" s="39"/>
      <c r="C35" s="39" t="s">
        <v>11</v>
      </c>
      <c r="D35" s="36" t="s">
        <v>13</v>
      </c>
      <c r="E35" s="36" t="s">
        <v>23</v>
      </c>
      <c r="F35" s="36" t="s">
        <v>24</v>
      </c>
      <c r="G35" s="36" t="s">
        <v>73</v>
      </c>
      <c r="H35" s="36" t="s">
        <v>26</v>
      </c>
      <c r="I35" s="36" t="s">
        <v>2</v>
      </c>
      <c r="J35" s="36" t="s">
        <v>14</v>
      </c>
      <c r="K35" s="36" t="s">
        <v>15</v>
      </c>
      <c r="L35" s="36" t="s">
        <v>16</v>
      </c>
      <c r="M35" s="36" t="s">
        <v>17</v>
      </c>
      <c r="N35" s="41" t="s">
        <v>18</v>
      </c>
      <c r="O35" s="36" t="s">
        <v>19</v>
      </c>
      <c r="P35" s="36" t="s">
        <v>20</v>
      </c>
      <c r="Q35" s="38" t="s">
        <v>21</v>
      </c>
    </row>
    <row r="36" spans="1:17" ht="11.25" customHeight="1">
      <c r="A36" s="67"/>
      <c r="B36" s="39"/>
      <c r="C36" s="39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41"/>
      <c r="O36" s="36"/>
      <c r="P36" s="36"/>
      <c r="Q36" s="39"/>
    </row>
    <row r="37" spans="1:17" ht="24.75" customHeight="1">
      <c r="A37" s="68"/>
      <c r="B37" s="40"/>
      <c r="C37" s="40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1"/>
      <c r="O37" s="36"/>
      <c r="P37" s="36"/>
      <c r="Q37" s="40"/>
    </row>
    <row r="38" spans="1:17" ht="13.5" customHeight="1">
      <c r="A38" s="11">
        <v>1</v>
      </c>
      <c r="B38" s="11">
        <v>2</v>
      </c>
      <c r="C38" s="11">
        <v>3</v>
      </c>
      <c r="D38" s="11">
        <v>4</v>
      </c>
      <c r="E38" s="11">
        <v>5</v>
      </c>
      <c r="F38" s="11">
        <v>6</v>
      </c>
      <c r="G38" s="11">
        <v>7</v>
      </c>
      <c r="H38" s="11">
        <v>8</v>
      </c>
      <c r="I38" s="11">
        <v>9</v>
      </c>
      <c r="J38" s="11">
        <v>10</v>
      </c>
      <c r="K38" s="11">
        <v>11</v>
      </c>
      <c r="L38" s="11">
        <v>12</v>
      </c>
      <c r="M38" s="11">
        <v>13</v>
      </c>
      <c r="N38" s="11">
        <v>14</v>
      </c>
      <c r="O38" s="11">
        <v>15</v>
      </c>
      <c r="P38" s="11">
        <v>16</v>
      </c>
      <c r="Q38" s="11">
        <v>17</v>
      </c>
    </row>
    <row r="39" spans="1:17" ht="12.75" customHeight="1">
      <c r="A39" s="10"/>
      <c r="B39" s="29" t="s">
        <v>76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1"/>
    </row>
    <row r="40" spans="1:17" ht="27.75" customHeight="1" hidden="1">
      <c r="A40" s="12" t="s">
        <v>27</v>
      </c>
      <c r="B40" s="13">
        <f>0</f>
        <v>0</v>
      </c>
      <c r="C40" s="13">
        <f>0</f>
        <v>0</v>
      </c>
      <c r="D40" s="13">
        <f>0</f>
        <v>0</v>
      </c>
      <c r="E40" s="13">
        <f>0</f>
        <v>0</v>
      </c>
      <c r="F40" s="13">
        <f>0</f>
        <v>0</v>
      </c>
      <c r="G40" s="13">
        <f>0</f>
        <v>0</v>
      </c>
      <c r="H40" s="13">
        <f>0</f>
        <v>0</v>
      </c>
      <c r="I40" s="13">
        <f>0</f>
        <v>0</v>
      </c>
      <c r="J40" s="13">
        <f>0</f>
        <v>0</v>
      </c>
      <c r="K40" s="13">
        <f>0</f>
        <v>0</v>
      </c>
      <c r="L40" s="13">
        <f>0</f>
        <v>0</v>
      </c>
      <c r="M40" s="13">
        <f>0</f>
        <v>0</v>
      </c>
      <c r="N40" s="13">
        <f>0</f>
        <v>0</v>
      </c>
      <c r="O40" s="13">
        <f>0</f>
        <v>0</v>
      </c>
      <c r="P40" s="13">
        <f>0</f>
        <v>0</v>
      </c>
      <c r="Q40" s="13">
        <f>0</f>
        <v>0</v>
      </c>
    </row>
    <row r="41" spans="1:17" ht="26.25" customHeight="1">
      <c r="A41" s="23" t="s">
        <v>40</v>
      </c>
      <c r="B41" s="21">
        <f>93672.2</f>
        <v>93672.2</v>
      </c>
      <c r="C41" s="21">
        <f>93672.2</f>
        <v>93672.2</v>
      </c>
      <c r="D41" s="21">
        <f>0</f>
        <v>0</v>
      </c>
      <c r="E41" s="21">
        <f>0</f>
        <v>0</v>
      </c>
      <c r="F41" s="21">
        <f>0</f>
        <v>0</v>
      </c>
      <c r="G41" s="21">
        <f>0</f>
        <v>0</v>
      </c>
      <c r="H41" s="21">
        <f>0</f>
        <v>0</v>
      </c>
      <c r="I41" s="21">
        <f>0</f>
        <v>0</v>
      </c>
      <c r="J41" s="21">
        <f>0</f>
        <v>0</v>
      </c>
      <c r="K41" s="21">
        <f>0</f>
        <v>0</v>
      </c>
      <c r="L41" s="21">
        <f>93672.2</f>
        <v>93672.2</v>
      </c>
      <c r="M41" s="21">
        <f>0</f>
        <v>0</v>
      </c>
      <c r="N41" s="21">
        <f>0</f>
        <v>0</v>
      </c>
      <c r="O41" s="21">
        <f>0</f>
        <v>0</v>
      </c>
      <c r="P41" s="21">
        <f>0</f>
        <v>0</v>
      </c>
      <c r="Q41" s="21">
        <f>0</f>
        <v>0</v>
      </c>
    </row>
    <row r="42" spans="1:17" ht="26.25" customHeight="1">
      <c r="A42" s="17" t="s">
        <v>28</v>
      </c>
      <c r="B42" s="22">
        <f>0</f>
        <v>0</v>
      </c>
      <c r="C42" s="22">
        <f>0</f>
        <v>0</v>
      </c>
      <c r="D42" s="22">
        <f>0</f>
        <v>0</v>
      </c>
      <c r="E42" s="22">
        <f>0</f>
        <v>0</v>
      </c>
      <c r="F42" s="22">
        <f>0</f>
        <v>0</v>
      </c>
      <c r="G42" s="22">
        <f>0</f>
        <v>0</v>
      </c>
      <c r="H42" s="22">
        <f>0</f>
        <v>0</v>
      </c>
      <c r="I42" s="22">
        <f>0</f>
        <v>0</v>
      </c>
      <c r="J42" s="22">
        <f>0</f>
        <v>0</v>
      </c>
      <c r="K42" s="22">
        <f>0</f>
        <v>0</v>
      </c>
      <c r="L42" s="22">
        <f>0</f>
        <v>0</v>
      </c>
      <c r="M42" s="22">
        <f>0</f>
        <v>0</v>
      </c>
      <c r="N42" s="22">
        <f>0</f>
        <v>0</v>
      </c>
      <c r="O42" s="22">
        <f>0</f>
        <v>0</v>
      </c>
      <c r="P42" s="22">
        <f>0</f>
        <v>0</v>
      </c>
      <c r="Q42" s="22">
        <f>0</f>
        <v>0</v>
      </c>
    </row>
    <row r="43" spans="1:17" ht="26.25" customHeight="1">
      <c r="A43" s="17" t="s">
        <v>29</v>
      </c>
      <c r="B43" s="22">
        <f>93672.2</f>
        <v>93672.2</v>
      </c>
      <c r="C43" s="22">
        <f>93672.2</f>
        <v>93672.2</v>
      </c>
      <c r="D43" s="22">
        <f>0</f>
        <v>0</v>
      </c>
      <c r="E43" s="22">
        <f>0</f>
        <v>0</v>
      </c>
      <c r="F43" s="22">
        <f>0</f>
        <v>0</v>
      </c>
      <c r="G43" s="22">
        <f>0</f>
        <v>0</v>
      </c>
      <c r="H43" s="22">
        <f>0</f>
        <v>0</v>
      </c>
      <c r="I43" s="22">
        <f>0</f>
        <v>0</v>
      </c>
      <c r="J43" s="22">
        <f>0</f>
        <v>0</v>
      </c>
      <c r="K43" s="22">
        <f>0</f>
        <v>0</v>
      </c>
      <c r="L43" s="22">
        <f>93672.2</f>
        <v>93672.2</v>
      </c>
      <c r="M43" s="22">
        <f>0</f>
        <v>0</v>
      </c>
      <c r="N43" s="22">
        <f>0</f>
        <v>0</v>
      </c>
      <c r="O43" s="22">
        <f>0</f>
        <v>0</v>
      </c>
      <c r="P43" s="22">
        <f>0</f>
        <v>0</v>
      </c>
      <c r="Q43" s="22">
        <f>0</f>
        <v>0</v>
      </c>
    </row>
    <row r="44" spans="1:17" ht="26.25" customHeight="1">
      <c r="A44" s="23" t="s">
        <v>41</v>
      </c>
      <c r="B44" s="21">
        <f>566430412.18</f>
        <v>566430412.18</v>
      </c>
      <c r="C44" s="21">
        <f>566430412.18</f>
        <v>566430412.18</v>
      </c>
      <c r="D44" s="21">
        <f>105217798.05</f>
        <v>105217798.05</v>
      </c>
      <c r="E44" s="21">
        <f>308877.9</f>
        <v>308877.9</v>
      </c>
      <c r="F44" s="21">
        <f>34264.4</f>
        <v>34264.4</v>
      </c>
      <c r="G44" s="21">
        <f>104874655.75</f>
        <v>104874655.75</v>
      </c>
      <c r="H44" s="21">
        <f>0</f>
        <v>0</v>
      </c>
      <c r="I44" s="21">
        <f>0</f>
        <v>0</v>
      </c>
      <c r="J44" s="21">
        <f>15046.68</f>
        <v>15046.68</v>
      </c>
      <c r="K44" s="21">
        <f>148172.39</f>
        <v>148172.39</v>
      </c>
      <c r="L44" s="21">
        <f>252989233.66</f>
        <v>252989233.66</v>
      </c>
      <c r="M44" s="21">
        <f>203373297.96</f>
        <v>203373297.96</v>
      </c>
      <c r="N44" s="21">
        <f>4686863.44</f>
        <v>4686863.44</v>
      </c>
      <c r="O44" s="21">
        <f>0</f>
        <v>0</v>
      </c>
      <c r="P44" s="21">
        <f>0</f>
        <v>0</v>
      </c>
      <c r="Q44" s="21">
        <f>0</f>
        <v>0</v>
      </c>
    </row>
    <row r="45" spans="1:17" ht="26.25" customHeight="1">
      <c r="A45" s="17" t="s">
        <v>30</v>
      </c>
      <c r="B45" s="22">
        <f>64142614.34</f>
        <v>64142614.34</v>
      </c>
      <c r="C45" s="22">
        <f>64142614.34</f>
        <v>64142614.34</v>
      </c>
      <c r="D45" s="22">
        <f>13188037.95</f>
        <v>13188037.95</v>
      </c>
      <c r="E45" s="22">
        <f>308877.9</f>
        <v>308877.9</v>
      </c>
      <c r="F45" s="22">
        <f>0</f>
        <v>0</v>
      </c>
      <c r="G45" s="22">
        <f>12879160.05</f>
        <v>12879160.05</v>
      </c>
      <c r="H45" s="22">
        <f>0</f>
        <v>0</v>
      </c>
      <c r="I45" s="22">
        <f>0</f>
        <v>0</v>
      </c>
      <c r="J45" s="22">
        <f>12339</f>
        <v>12339</v>
      </c>
      <c r="K45" s="22">
        <f>106188.47</f>
        <v>106188.47</v>
      </c>
      <c r="L45" s="22">
        <f>21362802.26</f>
        <v>21362802.26</v>
      </c>
      <c r="M45" s="22">
        <f>29059131.38</f>
        <v>29059131.38</v>
      </c>
      <c r="N45" s="22">
        <f>414115.28</f>
        <v>414115.28</v>
      </c>
      <c r="O45" s="22">
        <f>0</f>
        <v>0</v>
      </c>
      <c r="P45" s="22">
        <f>0</f>
        <v>0</v>
      </c>
      <c r="Q45" s="22">
        <f>0</f>
        <v>0</v>
      </c>
    </row>
    <row r="46" spans="1:17" ht="26.25" customHeight="1">
      <c r="A46" s="17" t="s">
        <v>31</v>
      </c>
      <c r="B46" s="22">
        <f>502287797.84</f>
        <v>502287797.84</v>
      </c>
      <c r="C46" s="22">
        <f>502287797.84</f>
        <v>502287797.84</v>
      </c>
      <c r="D46" s="22">
        <f>92029760.1</f>
        <v>92029760.1</v>
      </c>
      <c r="E46" s="22">
        <f>0</f>
        <v>0</v>
      </c>
      <c r="F46" s="22">
        <f>34264.4</f>
        <v>34264.4</v>
      </c>
      <c r="G46" s="22">
        <f>91995495.7</f>
        <v>91995495.7</v>
      </c>
      <c r="H46" s="22">
        <f>0</f>
        <v>0</v>
      </c>
      <c r="I46" s="22">
        <f>0</f>
        <v>0</v>
      </c>
      <c r="J46" s="22">
        <f>2707.68</f>
        <v>2707.68</v>
      </c>
      <c r="K46" s="22">
        <f>41983.92</f>
        <v>41983.92</v>
      </c>
      <c r="L46" s="22">
        <f>231626431.4</f>
        <v>231626431.4</v>
      </c>
      <c r="M46" s="22">
        <f>174314166.58</f>
        <v>174314166.58</v>
      </c>
      <c r="N46" s="22">
        <f>4272748.16</f>
        <v>4272748.16</v>
      </c>
      <c r="O46" s="22">
        <f>0</f>
        <v>0</v>
      </c>
      <c r="P46" s="22">
        <f>0</f>
        <v>0</v>
      </c>
      <c r="Q46" s="22">
        <f>0</f>
        <v>0</v>
      </c>
    </row>
    <row r="47" spans="1:17" ht="26.25" customHeight="1">
      <c r="A47" s="23" t="s">
        <v>42</v>
      </c>
      <c r="B47" s="21">
        <f>11280505478.57</f>
        <v>11280505478.57</v>
      </c>
      <c r="C47" s="21">
        <f>11280505478.57</f>
        <v>11280505478.57</v>
      </c>
      <c r="D47" s="21">
        <f>17674810.02</f>
        <v>17674810.02</v>
      </c>
      <c r="E47" s="21">
        <f>2565</f>
        <v>2565</v>
      </c>
      <c r="F47" s="21">
        <f>28836.81</f>
        <v>28836.81</v>
      </c>
      <c r="G47" s="21">
        <f>17643408.21</f>
        <v>17643408.21</v>
      </c>
      <c r="H47" s="21">
        <f>0</f>
        <v>0</v>
      </c>
      <c r="I47" s="21">
        <f>20230573.4</f>
        <v>20230573.4</v>
      </c>
      <c r="J47" s="21">
        <f>11240683945.37</f>
        <v>11240683945.37</v>
      </c>
      <c r="K47" s="21">
        <f>8021.8</f>
        <v>8021.8</v>
      </c>
      <c r="L47" s="21">
        <f>1719516.32</f>
        <v>1719516.32</v>
      </c>
      <c r="M47" s="21">
        <f>11658.7</f>
        <v>11658.7</v>
      </c>
      <c r="N47" s="21">
        <f>176952.96</f>
        <v>176952.96</v>
      </c>
      <c r="O47" s="21">
        <f>0</f>
        <v>0</v>
      </c>
      <c r="P47" s="21">
        <f>0</f>
        <v>0</v>
      </c>
      <c r="Q47" s="21">
        <f>0</f>
        <v>0</v>
      </c>
    </row>
    <row r="48" spans="1:17" ht="26.25" customHeight="1">
      <c r="A48" s="17" t="s">
        <v>32</v>
      </c>
      <c r="B48" s="22">
        <f>7444337.71</f>
        <v>7444337.71</v>
      </c>
      <c r="C48" s="22">
        <f>7444337.71</f>
        <v>7444337.71</v>
      </c>
      <c r="D48" s="22">
        <f>7444337.71</f>
        <v>7444337.71</v>
      </c>
      <c r="E48" s="22">
        <f>0</f>
        <v>0</v>
      </c>
      <c r="F48" s="22">
        <f>0</f>
        <v>0</v>
      </c>
      <c r="G48" s="22">
        <f>7444337.71</f>
        <v>7444337.71</v>
      </c>
      <c r="H48" s="22">
        <f>0</f>
        <v>0</v>
      </c>
      <c r="I48" s="22">
        <f>0</f>
        <v>0</v>
      </c>
      <c r="J48" s="22">
        <f>0</f>
        <v>0</v>
      </c>
      <c r="K48" s="22">
        <f>0</f>
        <v>0</v>
      </c>
      <c r="L48" s="22">
        <f>0</f>
        <v>0</v>
      </c>
      <c r="M48" s="22">
        <f>0</f>
        <v>0</v>
      </c>
      <c r="N48" s="22">
        <f>0</f>
        <v>0</v>
      </c>
      <c r="O48" s="22">
        <f>0</f>
        <v>0</v>
      </c>
      <c r="P48" s="22">
        <f>0</f>
        <v>0</v>
      </c>
      <c r="Q48" s="22">
        <f>0</f>
        <v>0</v>
      </c>
    </row>
    <row r="49" spans="1:17" ht="26.25" customHeight="1">
      <c r="A49" s="17" t="s">
        <v>33</v>
      </c>
      <c r="B49" s="22">
        <f>10334215287.92</f>
        <v>10334215287.92</v>
      </c>
      <c r="C49" s="22">
        <f>10334215287.92</f>
        <v>10334215287.92</v>
      </c>
      <c r="D49" s="22">
        <f>10083505.71</f>
        <v>10083505.71</v>
      </c>
      <c r="E49" s="22">
        <f>0</f>
        <v>0</v>
      </c>
      <c r="F49" s="22">
        <f>545.81</f>
        <v>545.81</v>
      </c>
      <c r="G49" s="22">
        <f>10082959.9</f>
        <v>10082959.9</v>
      </c>
      <c r="H49" s="22">
        <f>0</f>
        <v>0</v>
      </c>
      <c r="I49" s="22">
        <f>20178157.4</f>
        <v>20178157.4</v>
      </c>
      <c r="J49" s="22">
        <f>10303487041.11</f>
        <v>10303487041.11</v>
      </c>
      <c r="K49" s="22">
        <f>8021.8</f>
        <v>8021.8</v>
      </c>
      <c r="L49" s="22">
        <f>456893.2</f>
        <v>456893.2</v>
      </c>
      <c r="M49" s="22">
        <f>1668.7</f>
        <v>1668.7</v>
      </c>
      <c r="N49" s="22">
        <f>0</f>
        <v>0</v>
      </c>
      <c r="O49" s="22">
        <f>0</f>
        <v>0</v>
      </c>
      <c r="P49" s="22">
        <f>0</f>
        <v>0</v>
      </c>
      <c r="Q49" s="22">
        <f>0</f>
        <v>0</v>
      </c>
    </row>
    <row r="50" spans="1:17" ht="26.25" customHeight="1">
      <c r="A50" s="17" t="s">
        <v>34</v>
      </c>
      <c r="B50" s="22">
        <f>938845852.94</f>
        <v>938845852.94</v>
      </c>
      <c r="C50" s="22">
        <f>938845852.94</f>
        <v>938845852.94</v>
      </c>
      <c r="D50" s="22">
        <f>146966.6</f>
        <v>146966.6</v>
      </c>
      <c r="E50" s="22">
        <f>2565</f>
        <v>2565</v>
      </c>
      <c r="F50" s="22">
        <f>28291</f>
        <v>28291</v>
      </c>
      <c r="G50" s="22">
        <f>116110.6</f>
        <v>116110.6</v>
      </c>
      <c r="H50" s="22">
        <f>0</f>
        <v>0</v>
      </c>
      <c r="I50" s="22">
        <f>52416</f>
        <v>52416</v>
      </c>
      <c r="J50" s="22">
        <f>937196904.26</f>
        <v>937196904.26</v>
      </c>
      <c r="K50" s="22">
        <f>0</f>
        <v>0</v>
      </c>
      <c r="L50" s="22">
        <f>1262623.12</f>
        <v>1262623.12</v>
      </c>
      <c r="M50" s="22">
        <f>9990</f>
        <v>9990</v>
      </c>
      <c r="N50" s="22">
        <f>176952.96</f>
        <v>176952.96</v>
      </c>
      <c r="O50" s="22">
        <f>0</f>
        <v>0</v>
      </c>
      <c r="P50" s="22">
        <f>0</f>
        <v>0</v>
      </c>
      <c r="Q50" s="22">
        <f>0</f>
        <v>0</v>
      </c>
    </row>
    <row r="51" spans="1:17" ht="26.25" customHeight="1">
      <c r="A51" s="23" t="s">
        <v>43</v>
      </c>
      <c r="B51" s="21">
        <f>12154283146.97</f>
        <v>12154283146.97</v>
      </c>
      <c r="C51" s="21">
        <f>12130965839.14</f>
        <v>12130965839.14</v>
      </c>
      <c r="D51" s="21">
        <f>382461335.02</f>
        <v>382461335.02</v>
      </c>
      <c r="E51" s="21">
        <f>125604487.11</f>
        <v>125604487.11</v>
      </c>
      <c r="F51" s="21">
        <f>13674143.44</f>
        <v>13674143.44</v>
      </c>
      <c r="G51" s="21">
        <f>239698478.28</f>
        <v>239698478.28</v>
      </c>
      <c r="H51" s="21">
        <f>3484226.19</f>
        <v>3484226.19</v>
      </c>
      <c r="I51" s="21">
        <f>4</f>
        <v>4</v>
      </c>
      <c r="J51" s="21">
        <f>709466.67</f>
        <v>709466.67</v>
      </c>
      <c r="K51" s="21">
        <f>6154445.16</f>
        <v>6154445.16</v>
      </c>
      <c r="L51" s="21">
        <f>2592015850.15</f>
        <v>2592015850.15</v>
      </c>
      <c r="M51" s="21">
        <f>9071414690.14</f>
        <v>9071414690.14</v>
      </c>
      <c r="N51" s="21">
        <f>78210048</f>
        <v>78210048</v>
      </c>
      <c r="O51" s="21">
        <f>23317307.83</f>
        <v>23317307.83</v>
      </c>
      <c r="P51" s="21">
        <f>13943872.36</f>
        <v>13943872.36</v>
      </c>
      <c r="Q51" s="21">
        <f>9373435.47</f>
        <v>9373435.47</v>
      </c>
    </row>
    <row r="52" spans="1:17" ht="26.25" customHeight="1">
      <c r="A52" s="17" t="s">
        <v>35</v>
      </c>
      <c r="B52" s="22">
        <f>5481495201.21</f>
        <v>5481495201.21</v>
      </c>
      <c r="C52" s="22">
        <f>5479881458.59</f>
        <v>5479881458.59</v>
      </c>
      <c r="D52" s="22">
        <f>75112427.56</f>
        <v>75112427.56</v>
      </c>
      <c r="E52" s="22">
        <f>1597612.06</f>
        <v>1597612.06</v>
      </c>
      <c r="F52" s="22">
        <f>619707.35</f>
        <v>619707.35</v>
      </c>
      <c r="G52" s="22">
        <f>72761341.59</f>
        <v>72761341.59</v>
      </c>
      <c r="H52" s="22">
        <f>133766.56</f>
        <v>133766.56</v>
      </c>
      <c r="I52" s="22">
        <f>0</f>
        <v>0</v>
      </c>
      <c r="J52" s="22">
        <f>65928.72</f>
        <v>65928.72</v>
      </c>
      <c r="K52" s="22">
        <f>3856862.81</f>
        <v>3856862.81</v>
      </c>
      <c r="L52" s="22">
        <f>727265664.37</f>
        <v>727265664.37</v>
      </c>
      <c r="M52" s="22">
        <f>4642752035.37</f>
        <v>4642752035.37</v>
      </c>
      <c r="N52" s="22">
        <f>30828539.76</f>
        <v>30828539.76</v>
      </c>
      <c r="O52" s="22">
        <f>1613742.62</f>
        <v>1613742.62</v>
      </c>
      <c r="P52" s="22">
        <f>470233.32</f>
        <v>470233.32</v>
      </c>
      <c r="Q52" s="22">
        <f>1143509.3</f>
        <v>1143509.3</v>
      </c>
    </row>
    <row r="53" spans="1:17" ht="26.25" customHeight="1">
      <c r="A53" s="17" t="s">
        <v>36</v>
      </c>
      <c r="B53" s="22">
        <f>6672787945.76</f>
        <v>6672787945.76</v>
      </c>
      <c r="C53" s="22">
        <f>6651084380.55</f>
        <v>6651084380.55</v>
      </c>
      <c r="D53" s="22">
        <f>307348907.46</f>
        <v>307348907.46</v>
      </c>
      <c r="E53" s="22">
        <f>124006875.05</f>
        <v>124006875.05</v>
      </c>
      <c r="F53" s="22">
        <f>13054436.09</f>
        <v>13054436.09</v>
      </c>
      <c r="G53" s="22">
        <f>166937136.69</f>
        <v>166937136.69</v>
      </c>
      <c r="H53" s="22">
        <f>3350459.63</f>
        <v>3350459.63</v>
      </c>
      <c r="I53" s="22">
        <f>4</f>
        <v>4</v>
      </c>
      <c r="J53" s="22">
        <f>643537.95</f>
        <v>643537.95</v>
      </c>
      <c r="K53" s="22">
        <f>2297582.35</f>
        <v>2297582.35</v>
      </c>
      <c r="L53" s="22">
        <f>1864750185.78</f>
        <v>1864750185.78</v>
      </c>
      <c r="M53" s="22">
        <f>4428662654.77</f>
        <v>4428662654.77</v>
      </c>
      <c r="N53" s="22">
        <f>47381508.24</f>
        <v>47381508.24</v>
      </c>
      <c r="O53" s="22">
        <f>21703565.21</f>
        <v>21703565.21</v>
      </c>
      <c r="P53" s="22">
        <f>13473639.04</f>
        <v>13473639.04</v>
      </c>
      <c r="Q53" s="22">
        <f>8229926.17</f>
        <v>8229926.17</v>
      </c>
    </row>
    <row r="54" spans="1:17" ht="26.25" customHeight="1">
      <c r="A54" s="23" t="s">
        <v>44</v>
      </c>
      <c r="B54" s="21">
        <f>9340359844.53</f>
        <v>9340359844.53</v>
      </c>
      <c r="C54" s="21">
        <f>9266661012.57</f>
        <v>9266661012.57</v>
      </c>
      <c r="D54" s="21">
        <f>1328622880.34</f>
        <v>1328622880.34</v>
      </c>
      <c r="E54" s="21">
        <f>896201142.18</f>
        <v>896201142.18</v>
      </c>
      <c r="F54" s="21">
        <f>48420935.32</f>
        <v>48420935.32</v>
      </c>
      <c r="G54" s="21">
        <f>360314876.63</f>
        <v>360314876.63</v>
      </c>
      <c r="H54" s="21">
        <f>23685926.21</f>
        <v>23685926.21</v>
      </c>
      <c r="I54" s="21">
        <f>2166073.04</f>
        <v>2166073.04</v>
      </c>
      <c r="J54" s="21">
        <f>13828397.85</f>
        <v>13828397.85</v>
      </c>
      <c r="K54" s="21">
        <f>29992154.15</f>
        <v>29992154.15</v>
      </c>
      <c r="L54" s="21">
        <f>5548804075.52</f>
        <v>5548804075.52</v>
      </c>
      <c r="M54" s="21">
        <f>2149478967.99</f>
        <v>2149478967.99</v>
      </c>
      <c r="N54" s="21">
        <f>193768463.68</f>
        <v>193768463.68</v>
      </c>
      <c r="O54" s="21">
        <f>73698831.96</f>
        <v>73698831.96</v>
      </c>
      <c r="P54" s="21">
        <f>28277520.85</f>
        <v>28277520.85</v>
      </c>
      <c r="Q54" s="21">
        <f>45421311.11</f>
        <v>45421311.11</v>
      </c>
    </row>
    <row r="55" spans="1:17" ht="26.25" customHeight="1">
      <c r="A55" s="17" t="s">
        <v>37</v>
      </c>
      <c r="B55" s="22">
        <f>543192049.14</f>
        <v>543192049.14</v>
      </c>
      <c r="C55" s="22">
        <f>498151219.02</f>
        <v>498151219.02</v>
      </c>
      <c r="D55" s="22">
        <f>35404118.04</f>
        <v>35404118.04</v>
      </c>
      <c r="E55" s="22">
        <f>2666538.96</f>
        <v>2666538.96</v>
      </c>
      <c r="F55" s="22">
        <f>1815729.84</f>
        <v>1815729.84</v>
      </c>
      <c r="G55" s="22">
        <f>30414970.28</f>
        <v>30414970.28</v>
      </c>
      <c r="H55" s="22">
        <f>506878.96</f>
        <v>506878.96</v>
      </c>
      <c r="I55" s="22">
        <f>0</f>
        <v>0</v>
      </c>
      <c r="J55" s="22">
        <f>136803.3</f>
        <v>136803.3</v>
      </c>
      <c r="K55" s="22">
        <f>305538.82</f>
        <v>305538.82</v>
      </c>
      <c r="L55" s="22">
        <f>220153679.98</f>
        <v>220153679.98</v>
      </c>
      <c r="M55" s="22">
        <f>234433383.35</f>
        <v>234433383.35</v>
      </c>
      <c r="N55" s="22">
        <f>7717695.53</f>
        <v>7717695.53</v>
      </c>
      <c r="O55" s="22">
        <f>45040830.12</f>
        <v>45040830.12</v>
      </c>
      <c r="P55" s="22">
        <f>203006.59</f>
        <v>203006.59</v>
      </c>
      <c r="Q55" s="22">
        <f>44837823.53</f>
        <v>44837823.53</v>
      </c>
    </row>
    <row r="56" spans="1:17" ht="36.75" customHeight="1">
      <c r="A56" s="17" t="s">
        <v>38</v>
      </c>
      <c r="B56" s="22">
        <f>5655406308.01</f>
        <v>5655406308.01</v>
      </c>
      <c r="C56" s="22">
        <f>5644966241.88</f>
        <v>5644966241.88</v>
      </c>
      <c r="D56" s="22">
        <f>809060438.99</f>
        <v>809060438.99</v>
      </c>
      <c r="E56" s="22">
        <f>573864686.68</f>
        <v>573864686.68</v>
      </c>
      <c r="F56" s="22">
        <f>38848802.96</f>
        <v>38848802.96</v>
      </c>
      <c r="G56" s="22">
        <f>177252273.61</f>
        <v>177252273.61</v>
      </c>
      <c r="H56" s="22">
        <f>19094675.74</f>
        <v>19094675.74</v>
      </c>
      <c r="I56" s="22">
        <f>2129901.39</f>
        <v>2129901.39</v>
      </c>
      <c r="J56" s="22">
        <f>13273037.63</f>
        <v>13273037.63</v>
      </c>
      <c r="K56" s="22">
        <f>29302509.64</f>
        <v>29302509.64</v>
      </c>
      <c r="L56" s="22">
        <f>4024306865.02</f>
        <v>4024306865.02</v>
      </c>
      <c r="M56" s="22">
        <f>731739883.88</f>
        <v>731739883.88</v>
      </c>
      <c r="N56" s="22">
        <f>35153605.33</f>
        <v>35153605.33</v>
      </c>
      <c r="O56" s="22">
        <f>10440066.13</f>
        <v>10440066.13</v>
      </c>
      <c r="P56" s="22">
        <f>10127189.85</f>
        <v>10127189.85</v>
      </c>
      <c r="Q56" s="22">
        <f>312876.28</f>
        <v>312876.28</v>
      </c>
    </row>
    <row r="57" spans="1:17" ht="26.25" customHeight="1">
      <c r="A57" s="17" t="s">
        <v>39</v>
      </c>
      <c r="B57" s="22">
        <f>3141761487.38</f>
        <v>3141761487.38</v>
      </c>
      <c r="C57" s="22">
        <f>3123543551.67</f>
        <v>3123543551.67</v>
      </c>
      <c r="D57" s="22">
        <f>484158323.31</f>
        <v>484158323.31</v>
      </c>
      <c r="E57" s="22">
        <f>319669916.54</f>
        <v>319669916.54</v>
      </c>
      <c r="F57" s="22">
        <f>7756402.52</f>
        <v>7756402.52</v>
      </c>
      <c r="G57" s="22">
        <f>152647632.74</f>
        <v>152647632.74</v>
      </c>
      <c r="H57" s="22">
        <f>4084371.51</f>
        <v>4084371.51</v>
      </c>
      <c r="I57" s="22">
        <f>36171.65</f>
        <v>36171.65</v>
      </c>
      <c r="J57" s="22">
        <f>418556.92</f>
        <v>418556.92</v>
      </c>
      <c r="K57" s="22">
        <f>384105.69</f>
        <v>384105.69</v>
      </c>
      <c r="L57" s="22">
        <f>1304343530.52</f>
        <v>1304343530.52</v>
      </c>
      <c r="M57" s="22">
        <f>1183305700.76</f>
        <v>1183305700.76</v>
      </c>
      <c r="N57" s="22">
        <f>150897162.82</f>
        <v>150897162.82</v>
      </c>
      <c r="O57" s="22">
        <f>18217935.71</f>
        <v>18217935.71</v>
      </c>
      <c r="P57" s="22">
        <f>17947324.41</f>
        <v>17947324.41</v>
      </c>
      <c r="Q57" s="22">
        <f>270611.3</f>
        <v>270611.3</v>
      </c>
    </row>
    <row r="67" spans="1:13" ht="75" customHeight="1">
      <c r="A67" s="37" t="s">
        <v>78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2:13" ht="13.5" customHeight="1">
      <c r="B68" s="47" t="s">
        <v>3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70" spans="2:12" ht="13.5" customHeight="1">
      <c r="B70" s="48" t="s">
        <v>0</v>
      </c>
      <c r="C70" s="49"/>
      <c r="D70" s="49"/>
      <c r="E70" s="50"/>
      <c r="F70" s="69" t="s">
        <v>71</v>
      </c>
      <c r="G70" s="29" t="s">
        <v>70</v>
      </c>
      <c r="H70" s="30"/>
      <c r="I70" s="30"/>
      <c r="J70" s="30"/>
      <c r="K70" s="30"/>
      <c r="L70" s="31"/>
    </row>
    <row r="71" spans="2:12" ht="13.5" customHeight="1">
      <c r="B71" s="51"/>
      <c r="C71" s="52"/>
      <c r="D71" s="52"/>
      <c r="E71" s="53"/>
      <c r="F71" s="70"/>
      <c r="G71" s="72" t="s">
        <v>72</v>
      </c>
      <c r="H71" s="25" t="s">
        <v>68</v>
      </c>
      <c r="I71" s="25" t="s">
        <v>69</v>
      </c>
      <c r="J71" s="25" t="s">
        <v>73</v>
      </c>
      <c r="K71" s="25" t="s">
        <v>74</v>
      </c>
      <c r="L71" s="32" t="s">
        <v>75</v>
      </c>
    </row>
    <row r="72" spans="2:12" ht="13.5" customHeight="1">
      <c r="B72" s="51"/>
      <c r="C72" s="52"/>
      <c r="D72" s="52"/>
      <c r="E72" s="53"/>
      <c r="F72" s="70"/>
      <c r="G72" s="72"/>
      <c r="H72" s="25"/>
      <c r="I72" s="25"/>
      <c r="J72" s="25"/>
      <c r="K72" s="25"/>
      <c r="L72" s="32"/>
    </row>
    <row r="73" spans="2:12" ht="11.25" customHeight="1">
      <c r="B73" s="51"/>
      <c r="C73" s="52"/>
      <c r="D73" s="52"/>
      <c r="E73" s="53"/>
      <c r="F73" s="70"/>
      <c r="G73" s="72"/>
      <c r="H73" s="25"/>
      <c r="I73" s="25"/>
      <c r="J73" s="25"/>
      <c r="K73" s="25"/>
      <c r="L73" s="32"/>
    </row>
    <row r="74" spans="2:12" ht="11.25" customHeight="1">
      <c r="B74" s="54"/>
      <c r="C74" s="55"/>
      <c r="D74" s="55"/>
      <c r="E74" s="56"/>
      <c r="F74" s="71"/>
      <c r="G74" s="72"/>
      <c r="H74" s="25"/>
      <c r="I74" s="25"/>
      <c r="J74" s="25"/>
      <c r="K74" s="25"/>
      <c r="L74" s="32"/>
    </row>
    <row r="75" spans="2:12" ht="11.25" customHeight="1">
      <c r="B75" s="25">
        <v>1</v>
      </c>
      <c r="C75" s="25"/>
      <c r="D75" s="25"/>
      <c r="E75" s="25"/>
      <c r="F75" s="3">
        <v>2</v>
      </c>
      <c r="G75" s="3">
        <v>3</v>
      </c>
      <c r="H75" s="3">
        <v>4</v>
      </c>
      <c r="I75" s="3">
        <v>5</v>
      </c>
      <c r="J75" s="3">
        <v>6</v>
      </c>
      <c r="K75" s="3">
        <v>7</v>
      </c>
      <c r="L75" s="10">
        <v>8</v>
      </c>
    </row>
    <row r="76" spans="2:12" ht="11.25" customHeight="1">
      <c r="B76" s="24"/>
      <c r="C76" s="24"/>
      <c r="D76" s="24"/>
      <c r="E76" s="24"/>
      <c r="F76" s="25" t="s">
        <v>76</v>
      </c>
      <c r="G76" s="25"/>
      <c r="H76" s="25"/>
      <c r="I76" s="25"/>
      <c r="J76" s="25"/>
      <c r="K76" s="25"/>
      <c r="L76" s="25"/>
    </row>
    <row r="77" spans="2:12" ht="47.25" customHeight="1">
      <c r="B77" s="42" t="s">
        <v>55</v>
      </c>
      <c r="C77" s="43"/>
      <c r="D77" s="43"/>
      <c r="E77" s="44"/>
      <c r="F77" s="20">
        <f>1841035273.24</f>
        <v>1841035273.24</v>
      </c>
      <c r="G77" s="20">
        <f>280896598.73</f>
        <v>280896598.73</v>
      </c>
      <c r="H77" s="20">
        <f>19147000</f>
        <v>19147000</v>
      </c>
      <c r="I77" s="20">
        <f>120301951</f>
        <v>120301951</v>
      </c>
      <c r="J77" s="20">
        <f>141447647.73</f>
        <v>141447647.73</v>
      </c>
      <c r="K77" s="20">
        <f>0</f>
        <v>0</v>
      </c>
      <c r="L77" s="20">
        <f>1560138674.51</f>
        <v>1560138674.51</v>
      </c>
    </row>
    <row r="78" spans="2:12" ht="47.25" customHeight="1">
      <c r="B78" s="42" t="s">
        <v>56</v>
      </c>
      <c r="C78" s="43"/>
      <c r="D78" s="43"/>
      <c r="E78" s="44"/>
      <c r="F78" s="20">
        <f>0</f>
        <v>0</v>
      </c>
      <c r="G78" s="20">
        <f>0</f>
        <v>0</v>
      </c>
      <c r="H78" s="20">
        <f>0</f>
        <v>0</v>
      </c>
      <c r="I78" s="20">
        <f>0</f>
        <v>0</v>
      </c>
      <c r="J78" s="20">
        <f>0</f>
        <v>0</v>
      </c>
      <c r="K78" s="20">
        <f>0</f>
        <v>0</v>
      </c>
      <c r="L78" s="20">
        <f>0</f>
        <v>0</v>
      </c>
    </row>
    <row r="79" spans="2:12" ht="47.25" customHeight="1">
      <c r="B79" s="42" t="s">
        <v>57</v>
      </c>
      <c r="C79" s="43"/>
      <c r="D79" s="43"/>
      <c r="E79" s="44"/>
      <c r="F79" s="20">
        <f>1180000</f>
        <v>1180000</v>
      </c>
      <c r="G79" s="20">
        <f>930000</f>
        <v>930000</v>
      </c>
      <c r="H79" s="20">
        <f>0</f>
        <v>0</v>
      </c>
      <c r="I79" s="20">
        <f>0</f>
        <v>0</v>
      </c>
      <c r="J79" s="20">
        <f>930000</f>
        <v>930000</v>
      </c>
      <c r="K79" s="20">
        <f>0</f>
        <v>0</v>
      </c>
      <c r="L79" s="20">
        <f>250000</f>
        <v>250000</v>
      </c>
    </row>
    <row r="80" spans="2:12" ht="47.25" customHeight="1">
      <c r="B80" s="42" t="s">
        <v>58</v>
      </c>
      <c r="C80" s="43"/>
      <c r="D80" s="43"/>
      <c r="E80" s="44"/>
      <c r="F80" s="20">
        <f>2500000.67</f>
        <v>2500000.67</v>
      </c>
      <c r="G80" s="20">
        <f>0</f>
        <v>0</v>
      </c>
      <c r="H80" s="20">
        <f>0</f>
        <v>0</v>
      </c>
      <c r="I80" s="20">
        <f>0</f>
        <v>0</v>
      </c>
      <c r="J80" s="20">
        <f>0</f>
        <v>0</v>
      </c>
      <c r="K80" s="20">
        <f>0</f>
        <v>0</v>
      </c>
      <c r="L80" s="20">
        <f>2500000.67</f>
        <v>2500000.67</v>
      </c>
    </row>
    <row r="81" spans="2:12" ht="47.25" customHeight="1">
      <c r="B81" s="42" t="s">
        <v>59</v>
      </c>
      <c r="C81" s="43"/>
      <c r="D81" s="43"/>
      <c r="E81" s="44"/>
      <c r="F81" s="20">
        <f>1203183.97</f>
        <v>1203183.97</v>
      </c>
      <c r="G81" s="20">
        <f>0</f>
        <v>0</v>
      </c>
      <c r="H81" s="20">
        <f>0</f>
        <v>0</v>
      </c>
      <c r="I81" s="20">
        <f>0</f>
        <v>0</v>
      </c>
      <c r="J81" s="20">
        <f>0</f>
        <v>0</v>
      </c>
      <c r="K81" s="20">
        <f>0</f>
        <v>0</v>
      </c>
      <c r="L81" s="20">
        <f>1203183.97</f>
        <v>1203183.97</v>
      </c>
    </row>
    <row r="82" spans="2:12" ht="47.25" customHeight="1">
      <c r="B82" s="42" t="s">
        <v>60</v>
      </c>
      <c r="C82" s="43"/>
      <c r="D82" s="43"/>
      <c r="E82" s="44"/>
      <c r="F82" s="20">
        <f>1620738.88</f>
        <v>1620738.88</v>
      </c>
      <c r="G82" s="20">
        <f>692136.11</f>
        <v>692136.11</v>
      </c>
      <c r="H82" s="20">
        <f>0</f>
        <v>0</v>
      </c>
      <c r="I82" s="20">
        <f>0</f>
        <v>0</v>
      </c>
      <c r="J82" s="20">
        <f>692136.11</f>
        <v>692136.11</v>
      </c>
      <c r="K82" s="20">
        <f>0</f>
        <v>0</v>
      </c>
      <c r="L82" s="20">
        <f>928602.77</f>
        <v>928602.77</v>
      </c>
    </row>
    <row r="83" spans="2:12" ht="47.25" customHeight="1">
      <c r="B83" s="42" t="s">
        <v>61</v>
      </c>
      <c r="C83" s="43"/>
      <c r="D83" s="43"/>
      <c r="E83" s="44"/>
      <c r="F83" s="20">
        <f>0</f>
        <v>0</v>
      </c>
      <c r="G83" s="20">
        <f>0</f>
        <v>0</v>
      </c>
      <c r="H83" s="20">
        <f>0</f>
        <v>0</v>
      </c>
      <c r="I83" s="20">
        <f>0</f>
        <v>0</v>
      </c>
      <c r="J83" s="20">
        <f>0</f>
        <v>0</v>
      </c>
      <c r="K83" s="20">
        <f>0</f>
        <v>0</v>
      </c>
      <c r="L83" s="20">
        <f>0</f>
        <v>0</v>
      </c>
    </row>
    <row r="86" spans="1:13" ht="75" customHeight="1">
      <c r="A86" s="37" t="s">
        <v>78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</row>
    <row r="87" ht="13.5" customHeight="1">
      <c r="B87" s="4"/>
    </row>
    <row r="88" spans="2:11" ht="13.5" customHeight="1">
      <c r="B88" s="5"/>
      <c r="C88" s="29"/>
      <c r="D88" s="30"/>
      <c r="E88" s="30"/>
      <c r="F88" s="31"/>
      <c r="G88" s="29" t="s">
        <v>4</v>
      </c>
      <c r="H88" s="31"/>
      <c r="I88" s="29" t="s">
        <v>5</v>
      </c>
      <c r="J88" s="31"/>
      <c r="K88" s="5"/>
    </row>
    <row r="89" spans="2:11" ht="13.5" customHeight="1">
      <c r="B89" s="6"/>
      <c r="C89" s="42" t="s">
        <v>6</v>
      </c>
      <c r="D89" s="43"/>
      <c r="E89" s="43"/>
      <c r="F89" s="44"/>
      <c r="G89" s="60">
        <f>63</f>
        <v>63</v>
      </c>
      <c r="H89" s="61"/>
      <c r="I89" s="45">
        <f>4817755601.87</f>
        <v>4817755601.87</v>
      </c>
      <c r="J89" s="46"/>
      <c r="K89" s="7"/>
    </row>
    <row r="90" spans="2:11" ht="13.5" customHeight="1">
      <c r="B90" s="6"/>
      <c r="C90" s="57" t="s">
        <v>7</v>
      </c>
      <c r="D90" s="58"/>
      <c r="E90" s="58"/>
      <c r="F90" s="59"/>
      <c r="G90" s="62">
        <f>3</f>
        <v>3</v>
      </c>
      <c r="H90" s="63"/>
      <c r="I90" s="64">
        <f>-28006715.64</f>
        <v>-28006715.64</v>
      </c>
      <c r="J90" s="65"/>
      <c r="K90" s="7"/>
    </row>
    <row r="91" spans="2:11" ht="13.5" customHeight="1">
      <c r="B91" s="6"/>
      <c r="C91" s="42" t="s">
        <v>8</v>
      </c>
      <c r="D91" s="43"/>
      <c r="E91" s="43"/>
      <c r="F91" s="44"/>
      <c r="G91" s="60">
        <f>0</f>
        <v>0</v>
      </c>
      <c r="H91" s="61"/>
      <c r="I91" s="45">
        <f>0</f>
        <v>0</v>
      </c>
      <c r="J91" s="46"/>
      <c r="K91" s="7"/>
    </row>
  </sheetData>
  <sheetProtection/>
  <mergeCells count="79">
    <mergeCell ref="A34:A37"/>
    <mergeCell ref="C35:C37"/>
    <mergeCell ref="E35:E37"/>
    <mergeCell ref="K71:K74"/>
    <mergeCell ref="F35:F37"/>
    <mergeCell ref="G35:G37"/>
    <mergeCell ref="H35:H37"/>
    <mergeCell ref="K35:K37"/>
    <mergeCell ref="I35:I37"/>
    <mergeCell ref="J35:J37"/>
    <mergeCell ref="Q7:Q10"/>
    <mergeCell ref="C34:N34"/>
    <mergeCell ref="L7:L10"/>
    <mergeCell ref="M7:M10"/>
    <mergeCell ref="N7:N10"/>
    <mergeCell ref="P7:P10"/>
    <mergeCell ref="A30:M30"/>
    <mergeCell ref="O34:Q34"/>
    <mergeCell ref="A32:M32"/>
    <mergeCell ref="B34:B37"/>
    <mergeCell ref="A1:M1"/>
    <mergeCell ref="C5:M5"/>
    <mergeCell ref="A3:M3"/>
    <mergeCell ref="K7:K10"/>
    <mergeCell ref="C7:C10"/>
    <mergeCell ref="B6:B10"/>
    <mergeCell ref="F70:F74"/>
    <mergeCell ref="G71:G74"/>
    <mergeCell ref="G7:G10"/>
    <mergeCell ref="F7:F10"/>
    <mergeCell ref="I7:I10"/>
    <mergeCell ref="J7:J10"/>
    <mergeCell ref="I91:J91"/>
    <mergeCell ref="I90:J90"/>
    <mergeCell ref="A6:A10"/>
    <mergeCell ref="C6:N6"/>
    <mergeCell ref="D7:D10"/>
    <mergeCell ref="E7:E10"/>
    <mergeCell ref="B81:E81"/>
    <mergeCell ref="B78:E78"/>
    <mergeCell ref="M35:M37"/>
    <mergeCell ref="B77:E77"/>
    <mergeCell ref="C89:F89"/>
    <mergeCell ref="C90:F90"/>
    <mergeCell ref="C91:F91"/>
    <mergeCell ref="G89:H89"/>
    <mergeCell ref="G88:H88"/>
    <mergeCell ref="G90:H90"/>
    <mergeCell ref="G91:H91"/>
    <mergeCell ref="I89:J89"/>
    <mergeCell ref="B68:M68"/>
    <mergeCell ref="I88:J88"/>
    <mergeCell ref="B75:E75"/>
    <mergeCell ref="B70:E74"/>
    <mergeCell ref="B83:E83"/>
    <mergeCell ref="A86:M86"/>
    <mergeCell ref="B79:E79"/>
    <mergeCell ref="B80:E80"/>
    <mergeCell ref="C88:F88"/>
    <mergeCell ref="Q35:Q37"/>
    <mergeCell ref="N35:N37"/>
    <mergeCell ref="O35:O37"/>
    <mergeCell ref="D35:D37"/>
    <mergeCell ref="H7:H10"/>
    <mergeCell ref="B82:E82"/>
    <mergeCell ref="G70:L70"/>
    <mergeCell ref="H71:H74"/>
    <mergeCell ref="I71:I74"/>
    <mergeCell ref="J71:J74"/>
    <mergeCell ref="B76:E76"/>
    <mergeCell ref="F76:L76"/>
    <mergeCell ref="B12:Q12"/>
    <mergeCell ref="B39:Q39"/>
    <mergeCell ref="L71:L74"/>
    <mergeCell ref="O6:Q6"/>
    <mergeCell ref="O7:O10"/>
    <mergeCell ref="A67:M67"/>
    <mergeCell ref="L35:L37"/>
    <mergeCell ref="P35:P37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9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2016-08-26T11:41:03Z</cp:lastPrinted>
  <dcterms:created xsi:type="dcterms:W3CDTF">2001-05-17T08:58:03Z</dcterms:created>
  <dcterms:modified xsi:type="dcterms:W3CDTF">2021-08-19T13:26:52Z</dcterms:modified>
  <cp:category/>
  <cp:version/>
  <cp:contentType/>
  <cp:contentStatus/>
</cp:coreProperties>
</file>