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definedNames>
    <definedName name="_xlnm.Print_Area" localSheetId="0">doch_wyd!$B$1:$L$106</definedName>
  </definedNames>
  <calcPr calcId="152511"/>
</workbook>
</file>

<file path=xl/calcChain.xml><?xml version="1.0" encoding="utf-8"?>
<calcChain xmlns="http://schemas.openxmlformats.org/spreadsheetml/2006/main">
  <c r="C108" i="5" l="1"/>
  <c r="C107" i="5"/>
  <c r="C106" i="5"/>
  <c r="C106" i="4"/>
  <c r="C105" i="4"/>
  <c r="C104" i="4"/>
  <c r="C103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K28" i="4" s="1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J88" i="4"/>
  <c r="J87" i="4"/>
  <c r="K88" i="4"/>
  <c r="K87" i="4"/>
  <c r="J81" i="4"/>
  <c r="J80" i="4"/>
  <c r="J82" i="4"/>
  <c r="K82" i="4"/>
  <c r="K81" i="4"/>
  <c r="K80" i="4"/>
  <c r="D106" i="5"/>
  <c r="B46" i="5" s="1"/>
  <c r="K7" i="4"/>
  <c r="K9" i="4"/>
  <c r="K14" i="4"/>
  <c r="K16" i="4"/>
  <c r="D103" i="4"/>
  <c r="B68" i="4" s="1"/>
  <c r="C61" i="4"/>
  <c r="K5" i="4"/>
  <c r="C40" i="4"/>
  <c r="C42" i="4" s="1"/>
  <c r="K8" i="4"/>
  <c r="K13" i="4"/>
  <c r="C12" i="4"/>
  <c r="C11" i="4" s="1"/>
  <c r="K15" i="4"/>
  <c r="K17" i="4"/>
  <c r="K18" i="4"/>
  <c r="K19" i="4"/>
  <c r="K20" i="4"/>
  <c r="K21" i="4"/>
  <c r="K22" i="4"/>
  <c r="K23" i="4"/>
  <c r="K24" i="4"/>
  <c r="K25" i="4"/>
  <c r="K26" i="4"/>
  <c r="K27" i="4"/>
  <c r="K29" i="4"/>
  <c r="K30" i="4"/>
  <c r="K31" i="4"/>
  <c r="K32" i="4"/>
  <c r="K33" i="4"/>
  <c r="K34" i="4"/>
  <c r="C35" i="4"/>
  <c r="K36" i="4"/>
  <c r="K37" i="4"/>
  <c r="K38" i="4"/>
  <c r="K39" i="4"/>
  <c r="K41" i="4"/>
  <c r="K51" i="4"/>
  <c r="C54" i="4"/>
  <c r="C60" i="4" s="1"/>
  <c r="E54" i="4"/>
  <c r="G54" i="4"/>
  <c r="G60" i="4"/>
  <c r="I54" i="4"/>
  <c r="I60" i="4"/>
  <c r="K53" i="4"/>
  <c r="K56" i="4"/>
  <c r="K58" i="4"/>
  <c r="C67" i="4"/>
  <c r="K67" i="4" s="1"/>
  <c r="K65" i="4"/>
  <c r="E67" i="4"/>
  <c r="G67" i="4"/>
  <c r="I67" i="4"/>
  <c r="K72" i="4"/>
  <c r="K73" i="4"/>
  <c r="K74" i="4"/>
  <c r="K75" i="4"/>
  <c r="K76" i="4"/>
  <c r="K77" i="4"/>
  <c r="K78" i="4"/>
  <c r="K79" i="4"/>
  <c r="K83" i="4"/>
  <c r="K84" i="4"/>
  <c r="K85" i="4"/>
  <c r="K86" i="4"/>
  <c r="J15" i="4"/>
  <c r="J36" i="4"/>
  <c r="J8" i="4"/>
  <c r="J27" i="4"/>
  <c r="J22" i="4"/>
  <c r="J23" i="4"/>
  <c r="J34" i="4"/>
  <c r="J37" i="4"/>
  <c r="J17" i="4"/>
  <c r="D61" i="4"/>
  <c r="J33" i="4"/>
  <c r="J20" i="4"/>
  <c r="J18" i="4"/>
  <c r="J9" i="4"/>
  <c r="J39" i="4"/>
  <c r="J30" i="4"/>
  <c r="J12" i="4"/>
  <c r="J38" i="4"/>
  <c r="J5" i="4"/>
  <c r="J21" i="4"/>
  <c r="J16" i="4"/>
  <c r="J32" i="4"/>
  <c r="J13" i="4"/>
  <c r="J26" i="4"/>
  <c r="J7" i="4"/>
  <c r="D40" i="4"/>
  <c r="J41" i="4" s="1"/>
  <c r="J14" i="4"/>
  <c r="J31" i="4"/>
  <c r="J24" i="4"/>
  <c r="J25" i="4"/>
  <c r="J28" i="4"/>
  <c r="J19" i="4"/>
  <c r="J29" i="4"/>
  <c r="D12" i="4"/>
  <c r="K12" i="4" s="1"/>
  <c r="D11" i="4"/>
  <c r="D35" i="4"/>
  <c r="J35" i="4" s="1"/>
  <c r="J51" i="4"/>
  <c r="J53" i="4"/>
  <c r="J59" i="4"/>
  <c r="J57" i="4"/>
  <c r="J52" i="4"/>
  <c r="J55" i="4"/>
  <c r="D54" i="4"/>
  <c r="D60" i="4"/>
  <c r="J60" i="4" s="1"/>
  <c r="J58" i="4"/>
  <c r="J56" i="4"/>
  <c r="F54" i="4"/>
  <c r="F60" i="4"/>
  <c r="H54" i="4"/>
  <c r="H60" i="4" s="1"/>
  <c r="K52" i="4"/>
  <c r="K55" i="4"/>
  <c r="K57" i="4"/>
  <c r="K59" i="4"/>
  <c r="J66" i="4"/>
  <c r="D67" i="4"/>
  <c r="J67" i="4"/>
  <c r="J65" i="4"/>
  <c r="F67" i="4"/>
  <c r="H67" i="4"/>
  <c r="K66" i="4"/>
  <c r="J73" i="4"/>
  <c r="J77" i="4"/>
  <c r="J75" i="4"/>
  <c r="J79" i="4"/>
  <c r="J72" i="4"/>
  <c r="J78" i="4"/>
  <c r="J74" i="4"/>
  <c r="J76" i="4"/>
  <c r="J83" i="4"/>
  <c r="J84" i="4"/>
  <c r="J86" i="4"/>
  <c r="J85" i="4"/>
  <c r="J54" i="4"/>
  <c r="D42" i="4" l="1"/>
  <c r="K40" i="4"/>
  <c r="J40" i="4"/>
  <c r="B70" i="5"/>
  <c r="B1" i="5"/>
  <c r="B44" i="4"/>
  <c r="B1" i="4"/>
  <c r="E60" i="4"/>
  <c r="K54" i="4"/>
  <c r="K60" i="4"/>
  <c r="K35" i="4"/>
  <c r="C6" i="4"/>
  <c r="C10" i="4" s="1"/>
  <c r="K11" i="4"/>
  <c r="D6" i="4"/>
  <c r="L8" i="4" s="1"/>
  <c r="J11" i="4"/>
  <c r="K42" i="4"/>
  <c r="C62" i="4"/>
  <c r="J42" i="4" l="1"/>
  <c r="D62" i="4"/>
  <c r="K6" i="4"/>
  <c r="L6" i="4"/>
  <c r="L7" i="4"/>
  <c r="J6" i="4"/>
  <c r="D10" i="4"/>
  <c r="L9" i="4"/>
  <c r="L10" i="4" l="1"/>
  <c r="J10" i="4"/>
  <c r="K10" i="4"/>
</calcChain>
</file>

<file path=xl/sharedStrings.xml><?xml version="1.0" encoding="utf-8"?>
<sst xmlns="http://schemas.openxmlformats.org/spreadsheetml/2006/main" count="824" uniqueCount="373">
  <si>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</si>
  <si>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</si>
  <si>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</si>
  <si>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</si>
  <si>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</si>
  <si>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</si>
  <si>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</si>
  <si>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</si>
  <si>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</si>
  <si>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</si>
  <si>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</si>
  <si>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</si>
  <si>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</si>
  <si>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</si>
  <si>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</si>
  <si>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</si>
  <si>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</si>
  <si>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</si>
  <si>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</si>
  <si>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</si>
  <si>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</si>
  <si>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</si>
  <si>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</si>
  <si>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</si>
  <si>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</si>
  <si>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</si>
  <si>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</si>
  <si>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</si>
  <si>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</si>
  <si>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</si>
  <si>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</si>
  <si>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</si>
  <si>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</si>
  <si>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</si>
  <si>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</si>
  <si>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</si>
  <si>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</si>
  <si>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</si>
  <si>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</si>
  <si>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</si>
  <si>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</si>
  <si>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</si>
  <si>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</si>
  <si>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</si>
  <si>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</si>
  <si>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</si>
  <si>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</si>
  <si>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</si>
  <si>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</si>
  <si>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</si>
  <si>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</si>
  <si>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</si>
  <si>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</si>
  <si>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</si>
  <si>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</si>
  <si>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</si>
  <si>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</si>
  <si>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</si>
  <si>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</si>
  <si>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</si>
  <si>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</si>
  <si>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</si>
  <si>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 xml:space="preserve">podatek dochodowy od osób fizycznych </t>
  </si>
  <si>
    <t>dochody z majątku</t>
  </si>
  <si>
    <t xml:space="preserve">pozostałe dochody </t>
  </si>
  <si>
    <t>A1/A</t>
  </si>
  <si>
    <t>A2/A</t>
  </si>
  <si>
    <t>A3/A</t>
  </si>
  <si>
    <t>A14/A</t>
  </si>
  <si>
    <t>A15/A</t>
  </si>
  <si>
    <t>A16/A</t>
  </si>
  <si>
    <t>A17/A</t>
  </si>
  <si>
    <t>A18/A</t>
  </si>
  <si>
    <t>A19/A</t>
  </si>
  <si>
    <t>A20/A</t>
  </si>
  <si>
    <t>A21/A</t>
  </si>
  <si>
    <t>R4/R1</t>
  </si>
  <si>
    <t>A2/A1</t>
  </si>
  <si>
    <t>A3/A1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</si>
  <si>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</si>
  <si>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</si>
  <si>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</si>
  <si>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</si>
  <si>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</si>
  <si>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</si>
  <si>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</si>
  <si>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</si>
  <si>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</si>
  <si>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</si>
  <si>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</si>
  <si>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</si>
  <si>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</si>
  <si>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</si>
  <si>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</si>
  <si>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</si>
  <si>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</si>
  <si>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</si>
  <si>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</si>
  <si>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</si>
  <si>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</si>
  <si>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</si>
  <si>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</si>
  <si>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</si>
  <si>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</si>
  <si>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</si>
  <si>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</si>
  <si>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</si>
  <si>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</si>
  <si>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</si>
  <si>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</si>
  <si>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>D2W/D2P</t>
  </si>
  <si>
    <t>D111</t>
  </si>
  <si>
    <t>D111W/D1W</t>
  </si>
  <si>
    <t>D111W/D111P</t>
  </si>
  <si>
    <t xml:space="preserve">  spłaty pożyczek udzielonych</t>
  </si>
  <si>
    <t xml:space="preserve">  nadwyżka z lat ubiegłych</t>
  </si>
  <si>
    <t xml:space="preserve">  papiery wartościowe</t>
  </si>
  <si>
    <t xml:space="preserve">  prywatyzacja majątku j.s.t.</t>
  </si>
  <si>
    <t xml:space="preserve"> ROZCHODY OGÓŁEM     z tego:</t>
  </si>
  <si>
    <t xml:space="preserve">  spłaty kredytów i pożyczek</t>
  </si>
  <si>
    <t>D211</t>
  </si>
  <si>
    <t>D211W/D2W</t>
  </si>
  <si>
    <t>D211W/D211P</t>
  </si>
  <si>
    <t xml:space="preserve">  pożyczki</t>
  </si>
  <si>
    <t xml:space="preserve">  wykup papierów wartościowych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</si>
  <si>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</si>
  <si>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</si>
  <si>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</si>
  <si>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</si>
  <si>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</si>
  <si>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</si>
  <si>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</si>
  <si>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</si>
  <si>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</si>
  <si>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</si>
  <si>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</si>
  <si>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</si>
  <si>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</si>
  <si>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B=Σ§§</t>
  </si>
  <si>
    <t>PL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</si>
  <si>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</si>
  <si>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</si>
  <si>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</si>
  <si>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</si>
  <si>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</si>
  <si>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</si>
  <si>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</si>
  <si>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</si>
  <si>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</si>
  <si>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</si>
  <si>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</si>
  <si>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</si>
  <si>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</si>
  <si>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A4/A</t>
  </si>
  <si>
    <t>A5/A</t>
  </si>
  <si>
    <t>A4/A1</t>
  </si>
  <si>
    <t>A5/A1</t>
  </si>
  <si>
    <t>A6/A</t>
  </si>
  <si>
    <t>A7/A</t>
  </si>
  <si>
    <t>A8/A</t>
  </si>
  <si>
    <t>A9/A</t>
  </si>
  <si>
    <t>A10/A</t>
  </si>
  <si>
    <t>A11/A</t>
  </si>
  <si>
    <t>A12/A</t>
  </si>
  <si>
    <t>A13/A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</si>
  <si>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</si>
  <si>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</si>
  <si>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</si>
  <si>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</si>
  <si>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</si>
  <si>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</si>
  <si>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</si>
  <si>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</si>
  <si>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</si>
  <si>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</si>
  <si>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Symbol=D1</t>
  </si>
  <si>
    <t>Symbol=D11</t>
  </si>
  <si>
    <t>Symbol=D111</t>
  </si>
  <si>
    <t>Symbol=D12</t>
  </si>
  <si>
    <t>Symbol=D13</t>
  </si>
  <si>
    <t>Symbol=D14</t>
  </si>
  <si>
    <t>Symbol=D15</t>
  </si>
  <si>
    <t>Symbol=D16</t>
  </si>
  <si>
    <t>Symbol=D2</t>
  </si>
  <si>
    <t>Symbol=D21</t>
  </si>
  <si>
    <t>Symbol=D211</t>
  </si>
  <si>
    <t>Symbol=D22</t>
  </si>
  <si>
    <t>paragraf zawiera(001)</t>
  </si>
  <si>
    <t>paragraf zawiera(002)</t>
  </si>
  <si>
    <t>paragraf zawiera(212,642)</t>
  </si>
  <si>
    <t>paragraf zawiera(642)</t>
  </si>
  <si>
    <t>paragraf zawiera(231,232,233,288,661,662,663,664)</t>
  </si>
  <si>
    <t>paragraf zawiera(661,662,663,664)</t>
  </si>
  <si>
    <t>paragraf zawiera(244,626)</t>
  </si>
  <si>
    <t>paragraf zawiera(626)</t>
  </si>
  <si>
    <t>paragraf zawiera(292) i dzial zawiera(758) i rozdzial zawiera(75801)</t>
  </si>
  <si>
    <t>paragraf zawiera(292) i dzial zawiera(758) i rozdzial zawiera(75832)</t>
  </si>
  <si>
    <t>paragraf zawiera(292) i dzial zawiera(758) i rozdzial zawiera(75803)</t>
  </si>
  <si>
    <t>wydatki z tytułu udzielania poręczeń i gwarancji</t>
  </si>
  <si>
    <t>D23</t>
  </si>
  <si>
    <t>Symbol=D23</t>
  </si>
  <si>
    <t>D23W/D23P</t>
  </si>
  <si>
    <t>D23W/D2W</t>
  </si>
  <si>
    <t>paragraf zawiera(200,620)</t>
  </si>
  <si>
    <t>paragraf zawiera(620)</t>
  </si>
  <si>
    <t>A22</t>
  </si>
  <si>
    <t>A23</t>
  </si>
  <si>
    <t>A22/A</t>
  </si>
  <si>
    <t>A23/A</t>
  </si>
  <si>
    <t>Dotacje ogółem                        z tego:</t>
  </si>
  <si>
    <t>A24</t>
  </si>
  <si>
    <t>A24/A</t>
  </si>
  <si>
    <t>świadczenia na rzecz osób fizycznych</t>
  </si>
  <si>
    <r>
      <t xml:space="preserve">Dotacje </t>
    </r>
    <r>
      <rPr>
        <b/>
        <sz val="10"/>
        <color indexed="8"/>
        <rFont val="Arial"/>
        <family val="2"/>
        <charset val="238"/>
      </rPr>
      <t>§§ 200 i 620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</si>
  <si>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</si>
  <si>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 tym: inwestycyjne § 620</t>
  </si>
  <si>
    <t>A5=A1-A2-A3-A4</t>
  </si>
  <si>
    <t>tytul</t>
  </si>
  <si>
    <t>majątkowe</t>
  </si>
  <si>
    <t>bieżące</t>
  </si>
  <si>
    <t>UE</t>
  </si>
  <si>
    <t>wydatki majątkowe</t>
  </si>
  <si>
    <t>wydatki bieżące</t>
  </si>
  <si>
    <t>AM</t>
  </si>
  <si>
    <t>AB</t>
  </si>
  <si>
    <t>Dochody Ogółem</t>
  </si>
  <si>
    <r>
      <t xml:space="preserve">A = </t>
    </r>
    <r>
      <rPr>
        <sz val="9"/>
        <color indexed="8"/>
        <rFont val="Arial"/>
        <family val="2"/>
        <charset val="238"/>
      </rPr>
      <t>∑</t>
    </r>
    <r>
      <rPr>
        <sz val="9"/>
        <color indexed="8"/>
        <rFont val="Arial"/>
        <family val="2"/>
        <charset val="238"/>
      </rPr>
      <t>§§</t>
    </r>
  </si>
  <si>
    <t>AB=A-AM</t>
  </si>
  <si>
    <t>AM/A</t>
  </si>
  <si>
    <t>AB/A</t>
  </si>
  <si>
    <t>Wydatki Ogółem</t>
  </si>
  <si>
    <t>UE1</t>
  </si>
  <si>
    <t>UE2</t>
  </si>
  <si>
    <t>UE2=UE-UE1</t>
  </si>
  <si>
    <t>UE1/UE</t>
  </si>
  <si>
    <t>UE2/UE</t>
  </si>
  <si>
    <t>w złotych</t>
  </si>
  <si>
    <t>paragraf zawiera(630)</t>
  </si>
  <si>
    <t>A25</t>
  </si>
  <si>
    <t>A26</t>
  </si>
  <si>
    <t>A25/A</t>
  </si>
  <si>
    <t>A26/A</t>
  </si>
  <si>
    <t>z tytułu pomocy finansowej udzielanej między jst na dofinansowanie własnych zadań</t>
  </si>
  <si>
    <t xml:space="preserve"> E</t>
  </si>
  <si>
    <t>FINANSOWANIE DEFICYTU (E1+E2+E3+E4+E5)  z tego:</t>
  </si>
  <si>
    <t>Symbol=E</t>
  </si>
  <si>
    <t xml:space="preserve"> E1</t>
  </si>
  <si>
    <t>sprzedaż papierów wartościowych wyemitowanych przez jednostkę samorządu terytorialnego</t>
  </si>
  <si>
    <t>Symbol=E1</t>
  </si>
  <si>
    <t xml:space="preserve"> E2</t>
  </si>
  <si>
    <t>kredyty i pożyczki</t>
  </si>
  <si>
    <t>Symbol=E2</t>
  </si>
  <si>
    <t xml:space="preserve"> E3</t>
  </si>
  <si>
    <t>prywatyzacja majątku jednostki samorządu terytorialnego</t>
  </si>
  <si>
    <t>Symbol=E3</t>
  </si>
  <si>
    <t xml:space="preserve"> E4</t>
  </si>
  <si>
    <t>Symbol=E4</t>
  </si>
  <si>
    <t xml:space="preserve"> E5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</si>
  <si>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</si>
  <si>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Symbol=E5</t>
  </si>
  <si>
    <t>w tym: inwestycyjne § 625</t>
  </si>
  <si>
    <r>
      <t xml:space="preserve">Dotacje </t>
    </r>
    <r>
      <rPr>
        <b/>
        <sz val="10"/>
        <color indexed="8"/>
        <rFont val="Arial"/>
        <family val="2"/>
        <charset val="238"/>
      </rPr>
      <t>§§ 205 i 625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</si>
  <si>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</si>
  <si>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t>paragraf zawiera(205,625)</t>
  </si>
  <si>
    <t>paragraf zawiera(625)</t>
  </si>
  <si>
    <t>A27</t>
  </si>
  <si>
    <t>A28</t>
  </si>
  <si>
    <t>A27/A</t>
  </si>
  <si>
    <t>A28/A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</si>
  <si>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</si>
  <si>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paragraf zawiera(073,074,075,076,077,078,080,081,087)</t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</si>
  <si>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</si>
  <si>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</si>
  <si>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</si>
  <si>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</si>
  <si>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</si>
  <si>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</si>
  <si>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</si>
  <si>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</si>
  <si>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</si>
  <si>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paragraf zawiera(271,278,630)</t>
  </si>
  <si>
    <t>paragraf zawiera(802,803) lub grupa zawiera(1800)</t>
  </si>
  <si>
    <t>finpar zawiera(1,2,5,6,7,8,9) lub grupa zawiera(1101,1102,1201,1202,1301,1302,1401,1402,1601,1602,1611,1612)</t>
  </si>
  <si>
    <t>B9=B3-B4-B5-B6-B7-B8</t>
  </si>
  <si>
    <t>paragraf zawiera(801,804,806,807,809,811,812,813) lub grupa zawiera(1810)</t>
  </si>
  <si>
    <t>otrzymane ze środków z Funduszu Przeciwdziałania COVID-19 (m.in. z Rządowego Funduszu Inwestycji Lokalnych)</t>
  </si>
  <si>
    <t>A29</t>
  </si>
  <si>
    <t>A30</t>
  </si>
  <si>
    <t>A29/A</t>
  </si>
  <si>
    <t>A30/A</t>
  </si>
  <si>
    <t>na finansowanie lub dofinansowanie zadań inwestycyjnych obiektów zabytkowych oraz prac remontowych i konserwatorskich przy zabytkach</t>
  </si>
  <si>
    <t>w tym: inwestycyjne</t>
  </si>
  <si>
    <t>paragraf zawiera (273, 656)</t>
  </si>
  <si>
    <t>paragraf zawiera (656)</t>
  </si>
  <si>
    <t>A31</t>
  </si>
  <si>
    <t>A32</t>
  </si>
  <si>
    <t>A32/A</t>
  </si>
  <si>
    <t>A31/A</t>
  </si>
  <si>
    <t>A6=A7+A24+A26</t>
  </si>
  <si>
    <t>A28=A29+A30+A31+A32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</si>
  <si>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</si>
  <si>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</si>
  <si>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</si>
  <si>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</si>
  <si>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</si>
  <si>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</si>
  <si>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 xml:space="preserve"> E6</t>
  </si>
  <si>
    <t xml:space="preserve"> E7</t>
  </si>
  <si>
    <t>Symbol=E6</t>
  </si>
  <si>
    <t>Symbol=E7</t>
  </si>
  <si>
    <t>A1=A-A6-A28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</si>
  <si>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</si>
  <si>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</si>
  <si>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</si>
  <si>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</si>
  <si>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</si>
  <si>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</si>
  <si>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</si>
  <si>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</si>
  <si>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</si>
  <si>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</si>
  <si>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</si>
  <si>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 xml:space="preserve">Wydatki finansowane i współfinansowane środkami, o których mowa w art. 5 ust. 1 pkt 2 i 3  </t>
  </si>
  <si>
    <t>(*) na finansowanie lub dofinansowanie realizacji zadań w zakresie pomocy obywatelom Ukrainy</t>
  </si>
  <si>
    <t>WYDATKI Z UDZIAŁEM ŚRODKÓW, O KTÓRYCH MOWA W ART. 5 UST. 1 pkt 2</t>
  </si>
  <si>
    <t>AUkr</t>
  </si>
  <si>
    <t>paragraf zawiera(210,638,253,639)</t>
  </si>
  <si>
    <t>AUkrinw</t>
  </si>
  <si>
    <t>paragraf zawiera(638,639)</t>
  </si>
  <si>
    <t>AUkr/A</t>
  </si>
  <si>
    <t>AUkrinw/A</t>
  </si>
  <si>
    <t>A7=A8+A10+A12+A14+A16+A18+A20+A22+AUkr</t>
  </si>
  <si>
    <t>paragraf zawiera(208,211,216,641,644,671)</t>
  </si>
  <si>
    <t>paragraf zawiera(641,644,671)</t>
  </si>
  <si>
    <t>paragraf zawiera(207,213,643,670)</t>
  </si>
  <si>
    <t>paragraf zawiera(643,670)</t>
  </si>
  <si>
    <t>paragraf zawiera(218,609,610,637)</t>
  </si>
  <si>
    <t>paragraf zawiera(609,610,637)</t>
  </si>
  <si>
    <t>paragraf zawiera(276,279,618) i dzial zawiera(758) i rozdzial zawiera(75802,75819)</t>
  </si>
  <si>
    <t>paragraf zawiera(076,077,078,080,087,609,610,618,620,625,626,628,629,630,631,632,633,634,635,637,638,639,641,642,643,644,651,652,653,656,661,662,663,664,665,666,668,669,670,671)</t>
  </si>
  <si>
    <t>paragraf zawiera(601,603,605,606,610,613,614,615,617,619,620,621,622,623,625,630,637,647,648,649,656,657,658,659,661,662,663,664,665,666,669,672,680) lub grupa zawiera(1600,1601,1602,1610,1611,1612,1620,1630)</t>
  </si>
  <si>
    <t>paragraf zawiera(605,606,610,613,614,615,617,619,620,621,622,623,625,630,637,647,648,649,656,657,658,659,661,662,663,664,665,666,669,672,680)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</si>
  <si>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</si>
  <si>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zawiera(200,205,209,220,226,227,231,232,233,234,236,241,243,248,249,251,254,255,256,257,258,259,262,263,264,265,271,272,273,274,278,280,281,282,283,288,290) lub grupa zawiera (1200,1201,1202,1203)</t>
  </si>
  <si>
    <t>paragraf zawiera(302,303,304,305,307,311,320,321,324,325,326,328,329) lub grupa zawiera (1300,1301,1302,1303)</t>
  </si>
  <si>
    <t>paragraf zawiera(601,603,605,606,610,613,614,615,617,619,620,621,622,623,625,630,637,647,648,649,656,657,658,659,661,662,663,664,665,666,669,672,680) i finpar zawiera(1,2,5,6,7,8,9) lub grupa zawiera(1601,1602,1611,1612)</t>
  </si>
  <si>
    <t>D17</t>
  </si>
  <si>
    <t>Symbol=D17</t>
  </si>
  <si>
    <t>D18</t>
  </si>
  <si>
    <t>Symbol=D18</t>
  </si>
  <si>
    <t>D181</t>
  </si>
  <si>
    <t>Symbol=D181</t>
  </si>
  <si>
    <t>D181W/D1W</t>
  </si>
  <si>
    <t>D181W/D181P</t>
  </si>
  <si>
    <t>D231</t>
  </si>
  <si>
    <t>Symbol=D231</t>
  </si>
  <si>
    <t>D231W/D2W</t>
  </si>
  <si>
    <t>D231W/D231P</t>
  </si>
  <si>
    <t>stan niespłaconych na koniec okresu sprawozdawczego zobowiązań przeznaczonych na cel , o którym mowa w art. 89 ust. 1 pkt.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</si>
  <si>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</si>
  <si>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</si>
  <si>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</si>
  <si>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</si>
  <si>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 xml:space="preserve">  wykup obligacji samorządowych</t>
  </si>
  <si>
    <t>D17W/D1W</t>
  </si>
  <si>
    <t>D17W/D17P</t>
  </si>
  <si>
    <t>D18W/D1W</t>
  </si>
  <si>
    <t>D18W/D18P</t>
  </si>
  <si>
    <t xml:space="preserve"> E8</t>
  </si>
  <si>
    <t>Symbol=E8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</si>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</sst>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6" formatCode="dd/mm/yy\ h:mm;@"/>
  </numFmts>
  <fonts count="4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6" fillId="18" borderId="0" applyNumberFormat="0" applyBorder="0" applyAlignment="0" applyProtection="0"/>
    <xf numFmtId="0" fontId="17" fillId="7" borderId="1" applyNumberFormat="0" applyAlignment="0" applyProtection="0"/>
    <xf numFmtId="0" fontId="18" fillId="17" borderId="2" applyNumberFormat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1" applyNumberFormat="0" applyAlignment="0" applyProtection="0"/>
    <xf numFmtId="0" fontId="25" fillId="0" borderId="7" applyNumberFormat="0" applyFill="0" applyAlignment="0" applyProtection="0"/>
    <xf numFmtId="0" fontId="26" fillId="10" borderId="0" applyNumberFormat="0" applyBorder="0" applyAlignment="0" applyProtection="0"/>
    <xf numFmtId="0" fontId="41" fillId="0" borderId="0"/>
    <xf numFmtId="0" fontId="41" fillId="0" borderId="0"/>
    <xf numFmtId="0" fontId="1" fillId="4" borderId="8" applyNumberFormat="0" applyFont="0" applyAlignment="0" applyProtection="0"/>
    <xf numFmtId="0" fontId="27" fillId="7" borderId="3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20" borderId="1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2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/>
    </xf>
    <xf numFmtId="4" fontId="7" fillId="20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/>
    <xf numFmtId="166" fontId="2" fillId="0" borderId="10" xfId="0" applyNumberFormat="1" applyFont="1" applyBorder="1"/>
    <xf numFmtId="4" fontId="4" fillId="20" borderId="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4" fontId="11" fillId="20" borderId="10" xfId="28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20" borderId="10" xfId="0" applyNumberFormat="1" applyFont="1" applyFill="1" applyBorder="1" applyAlignment="1">
      <alignment horizontal="center" vertical="center"/>
    </xf>
    <xf numFmtId="4" fontId="11" fillId="20" borderId="10" xfId="0" applyNumberFormat="1" applyFont="1" applyFill="1" applyBorder="1" applyAlignment="1">
      <alignment horizontal="center" vertical="center"/>
    </xf>
    <xf numFmtId="4" fontId="6" fillId="21" borderId="10" xfId="0" applyNumberFormat="1" applyFont="1" applyFill="1" applyBorder="1" applyAlignment="1">
      <alignment horizontal="center" vertical="center"/>
    </xf>
    <xf numFmtId="0" fontId="42" fillId="0" borderId="0" xfId="44" applyFont="1" applyAlignment="1">
      <alignment horizontal="center" vertical="center"/>
    </xf>
    <xf numFmtId="0" fontId="6" fillId="19" borderId="12" xfId="0" applyFont="1" applyFill="1" applyBorder="1" applyAlignment="1">
      <alignment horizontal="center"/>
    </xf>
    <xf numFmtId="4" fontId="37" fillId="20" borderId="10" xfId="0" applyNumberFormat="1" applyFont="1" applyFill="1" applyBorder="1" applyAlignment="1">
      <alignment horizontal="right" vertical="center"/>
    </xf>
    <xf numFmtId="164" fontId="37" fillId="20" borderId="10" xfId="0" applyNumberFormat="1" applyFont="1" applyFill="1" applyBorder="1" applyAlignment="1">
      <alignment horizontal="right" vertical="center"/>
    </xf>
    <xf numFmtId="4" fontId="38" fillId="0" borderId="10" xfId="0" applyNumberFormat="1" applyFont="1" applyFill="1" applyBorder="1" applyAlignment="1">
      <alignment horizontal="right" vertical="center"/>
    </xf>
    <xf numFmtId="164" fontId="38" fillId="0" borderId="10" xfId="0" applyNumberFormat="1" applyFont="1" applyFill="1" applyBorder="1" applyAlignment="1">
      <alignment horizontal="right" vertical="center"/>
    </xf>
    <xf numFmtId="164" fontId="38" fillId="20" borderId="10" xfId="0" applyNumberFormat="1" applyFont="1" applyFill="1" applyBorder="1" applyAlignment="1">
      <alignment horizontal="right" vertical="center"/>
    </xf>
    <xf numFmtId="4" fontId="38" fillId="0" borderId="10" xfId="0" applyNumberFormat="1" applyFont="1" applyBorder="1" applyAlignment="1">
      <alignment horizontal="right" vertical="center"/>
    </xf>
    <xf numFmtId="164" fontId="39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4" fontId="37" fillId="20" borderId="10" xfId="0" applyNumberFormat="1" applyFont="1" applyFill="1" applyBorder="1" applyAlignment="1">
      <alignment horizontal="right" vertical="center" wrapText="1"/>
    </xf>
    <xf numFmtId="164" fontId="40" fillId="20" borderId="10" xfId="0" applyNumberFormat="1" applyFont="1" applyFill="1" applyBorder="1" applyAlignment="1">
      <alignment horizontal="right" vertical="center"/>
    </xf>
    <xf numFmtId="0" fontId="39" fillId="0" borderId="0" xfId="0" applyFont="1"/>
    <xf numFmtId="0" fontId="39" fillId="0" borderId="0" xfId="0" applyFont="1" applyBorder="1"/>
    <xf numFmtId="3" fontId="37" fillId="0" borderId="0" xfId="0" applyNumberFormat="1" applyFont="1" applyBorder="1" applyAlignment="1">
      <alignment horizontal="right" vertical="center"/>
    </xf>
    <xf numFmtId="164" fontId="39" fillId="0" borderId="0" xfId="0" applyNumberFormat="1" applyFont="1"/>
    <xf numFmtId="4" fontId="40" fillId="20" borderId="12" xfId="0" applyNumberFormat="1" applyFont="1" applyFill="1" applyBorder="1" applyAlignment="1">
      <alignment horizontal="right" vertical="center"/>
    </xf>
    <xf numFmtId="164" fontId="40" fillId="20" borderId="10" xfId="28" applyNumberFormat="1" applyFont="1" applyFill="1" applyBorder="1" applyAlignment="1">
      <alignment horizontal="right" vertical="center"/>
    </xf>
    <xf numFmtId="4" fontId="39" fillId="0" borderId="12" xfId="0" applyNumberFormat="1" applyFont="1" applyBorder="1" applyAlignment="1">
      <alignment horizontal="right" vertical="center"/>
    </xf>
    <xf numFmtId="164" fontId="40" fillId="22" borderId="10" xfId="28" applyNumberFormat="1" applyFont="1" applyFill="1" applyBorder="1" applyAlignment="1">
      <alignment horizontal="right" vertical="center"/>
    </xf>
    <xf numFmtId="164" fontId="40" fillId="22" borderId="10" xfId="0" applyNumberFormat="1" applyFont="1" applyFill="1" applyBorder="1" applyAlignment="1">
      <alignment horizontal="right" vertical="center"/>
    </xf>
    <xf numFmtId="4" fontId="39" fillId="23" borderId="12" xfId="0" applyNumberFormat="1" applyFont="1" applyFill="1" applyBorder="1" applyAlignment="1">
      <alignment horizontal="right" vertical="center"/>
    </xf>
    <xf numFmtId="164" fontId="40" fillId="23" borderId="10" xfId="0" applyNumberFormat="1" applyFont="1" applyFill="1" applyBorder="1" applyAlignment="1">
      <alignment horizontal="right" vertical="center"/>
    </xf>
    <xf numFmtId="4" fontId="40" fillId="23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42" fillId="23" borderId="10" xfId="44" applyFont="1" applyFill="1" applyBorder="1" applyAlignment="1">
      <alignment horizontal="left" vertical="top" wrapText="1"/>
    </xf>
    <xf numFmtId="4" fontId="37" fillId="23" borderId="10" xfId="0" applyNumberFormat="1" applyFont="1" applyFill="1" applyBorder="1" applyAlignment="1">
      <alignment horizontal="right" vertical="center"/>
    </xf>
    <xf numFmtId="164" fontId="37" fillId="23" borderId="10" xfId="0" applyNumberFormat="1" applyFont="1" applyFill="1" applyBorder="1" applyAlignment="1">
      <alignment horizontal="right" vertical="center"/>
    </xf>
    <xf numFmtId="4" fontId="39" fillId="0" borderId="10" xfId="0" applyNumberFormat="1" applyFont="1" applyFill="1" applyBorder="1" applyAlignment="1">
      <alignment horizontal="right" vertical="center"/>
    </xf>
    <xf numFmtId="164" fontId="38" fillId="0" borderId="0" xfId="0" applyNumberFormat="1" applyFont="1" applyFill="1" applyBorder="1" applyAlignment="1">
      <alignment horizontal="right" vertical="center"/>
    </xf>
    <xf numFmtId="4" fontId="38" fillId="23" borderId="10" xfId="0" applyNumberFormat="1" applyFont="1" applyFill="1" applyBorder="1" applyAlignment="1">
      <alignment horizontal="right" vertical="center"/>
    </xf>
    <xf numFmtId="164" fontId="38" fillId="23" borderId="10" xfId="0" applyNumberFormat="1" applyFont="1" applyFill="1" applyBorder="1" applyAlignment="1">
      <alignment horizontal="right" vertical="center"/>
    </xf>
    <xf numFmtId="4" fontId="40" fillId="23" borderId="10" xfId="0" applyNumberFormat="1" applyFont="1" applyFill="1" applyBorder="1" applyAlignment="1">
      <alignment horizontal="right" vertical="center"/>
    </xf>
    <xf numFmtId="4" fontId="38" fillId="0" borderId="10" xfId="0" applyNumberFormat="1" applyFont="1" applyFill="1" applyBorder="1" applyAlignment="1">
      <alignment horizontal="right" vertical="center" wrapText="1"/>
    </xf>
    <xf numFmtId="4" fontId="38" fillId="23" borderId="10" xfId="0" applyNumberFormat="1" applyFont="1" applyFill="1" applyBorder="1" applyAlignment="1">
      <alignment horizontal="right" vertical="center" wrapText="1"/>
    </xf>
    <xf numFmtId="164" fontId="39" fillId="23" borderId="10" xfId="0" applyNumberFormat="1" applyFont="1" applyFill="1" applyBorder="1" applyAlignment="1">
      <alignment horizontal="right" vertical="center"/>
    </xf>
    <xf numFmtId="4" fontId="37" fillId="23" borderId="10" xfId="0" applyNumberFormat="1" applyFont="1" applyFill="1" applyBorder="1" applyAlignment="1">
      <alignment horizontal="right" vertical="center" wrapText="1"/>
    </xf>
    <xf numFmtId="4" fontId="37" fillId="20" borderId="11" xfId="0" applyNumberFormat="1" applyFont="1" applyFill="1" applyBorder="1" applyAlignment="1">
      <alignment horizontal="right" vertical="center" wrapText="1"/>
    </xf>
    <xf numFmtId="4" fontId="39" fillId="0" borderId="12" xfId="0" applyNumberFormat="1" applyFont="1" applyFill="1" applyBorder="1" applyAlignment="1">
      <alignment horizontal="right" vertical="center"/>
    </xf>
    <xf numFmtId="164" fontId="40" fillId="0" borderId="10" xfId="28" applyNumberFormat="1" applyFont="1" applyFill="1" applyBorder="1" applyAlignment="1">
      <alignment horizontal="right" vertical="center"/>
    </xf>
    <xf numFmtId="164" fontId="40" fillId="0" borderId="10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4" fontId="38" fillId="22" borderId="10" xfId="0" applyNumberFormat="1" applyFont="1" applyFill="1" applyBorder="1" applyAlignment="1">
      <alignment horizontal="right" vertical="center"/>
    </xf>
    <xf numFmtId="164" fontId="38" fillId="22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40" fillId="23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horizontal="right" vertical="center" wrapText="1"/>
    </xf>
    <xf numFmtId="4" fontId="38" fillId="0" borderId="0" xfId="0" applyNumberFormat="1" applyFont="1" applyFill="1" applyBorder="1" applyAlignment="1">
      <alignment horizontal="right" vertical="center"/>
    </xf>
    <xf numFmtId="4" fontId="40" fillId="0" borderId="0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40" fillId="23" borderId="10" xfId="0" applyNumberFormat="1" applyFont="1" applyFill="1" applyBorder="1" applyAlignment="1">
      <alignment vertical="center"/>
    </xf>
    <xf numFmtId="4" fontId="37" fillId="23" borderId="10" xfId="0" applyNumberFormat="1" applyFont="1" applyFill="1" applyBorder="1" applyAlignment="1">
      <alignment vertical="center" wrapText="1"/>
    </xf>
    <xf numFmtId="4" fontId="38" fillId="0" borderId="10" xfId="0" applyNumberFormat="1" applyFont="1" applyBorder="1" applyAlignment="1">
      <alignment vertical="center"/>
    </xf>
    <xf numFmtId="4" fontId="38" fillId="0" borderId="10" xfId="0" applyNumberFormat="1" applyFont="1" applyFill="1" applyBorder="1" applyAlignment="1">
      <alignment vertical="center" wrapText="1"/>
    </xf>
    <xf numFmtId="4" fontId="38" fillId="0" borderId="10" xfId="0" applyNumberFormat="1" applyFont="1" applyFill="1" applyBorder="1" applyAlignment="1">
      <alignment vertical="center"/>
    </xf>
    <xf numFmtId="4" fontId="38" fillId="0" borderId="12" xfId="0" applyNumberFormat="1" applyFont="1" applyFill="1" applyBorder="1" applyAlignment="1">
      <alignment vertical="center" wrapText="1"/>
    </xf>
    <xf numFmtId="4" fontId="38" fillId="0" borderId="13" xfId="0" applyNumberFormat="1" applyFont="1" applyBorder="1" applyAlignment="1">
      <alignment horizontal="right" vertical="center"/>
    </xf>
    <xf numFmtId="4" fontId="38" fillId="0" borderId="14" xfId="0" applyNumberFormat="1" applyFont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0" fontId="39" fillId="0" borderId="0" xfId="0" applyFont="1" applyFill="1" applyBorder="1"/>
    <xf numFmtId="4" fontId="37" fillId="0" borderId="15" xfId="0" applyNumberFormat="1" applyFont="1" applyFill="1" applyBorder="1" applyAlignment="1">
      <alignment horizontal="right" vertical="center" wrapText="1"/>
    </xf>
    <xf numFmtId="4" fontId="37" fillId="0" borderId="14" xfId="0" applyNumberFormat="1" applyFont="1" applyFill="1" applyBorder="1" applyAlignment="1">
      <alignment horizontal="right" vertical="center" wrapText="1"/>
    </xf>
    <xf numFmtId="4" fontId="37" fillId="0" borderId="16" xfId="0" applyNumberFormat="1" applyFont="1" applyFill="1" applyBorder="1" applyAlignment="1">
      <alignment horizontal="right" vertical="center" wrapText="1"/>
    </xf>
    <xf numFmtId="4" fontId="39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9" fillId="23" borderId="10" xfId="0" applyNumberFormat="1" applyFont="1" applyFill="1" applyBorder="1" applyAlignment="1">
      <alignment horizontal="right" vertical="center"/>
    </xf>
    <xf numFmtId="4" fontId="37" fillId="23" borderId="10" xfId="0" applyNumberFormat="1" applyFont="1" applyFill="1" applyBorder="1" applyAlignment="1">
      <alignment horizontal="center" vertical="center"/>
    </xf>
    <xf numFmtId="4" fontId="39" fillId="0" borderId="10" xfId="0" applyNumberFormat="1" applyFont="1" applyBorder="1" applyAlignment="1">
      <alignment horizontal="right" vertical="center"/>
    </xf>
    <xf numFmtId="4" fontId="39" fillId="22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40" fillId="20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3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8" fillId="23" borderId="17" xfId="0" applyNumberFormat="1" applyFont="1" applyFill="1" applyBorder="1" applyAlignment="1">
      <alignment horizontal="right" vertical="center" wrapText="1"/>
    </xf>
    <xf numFmtId="4" fontId="38" fillId="0" borderId="17" xfId="0" applyNumberFormat="1" applyFont="1" applyFill="1" applyBorder="1" applyAlignment="1">
      <alignment horizontal="right" vertical="center" wrapText="1"/>
    </xf>
    <xf numFmtId="0" fontId="7" fillId="23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" fontId="37" fillId="23" borderId="0" xfId="0" applyNumberFormat="1" applyFont="1" applyFill="1" applyBorder="1" applyAlignment="1">
      <alignment horizontal="center" vertical="center"/>
    </xf>
    <xf numFmtId="0" fontId="44" fillId="0" borderId="0" xfId="0" applyFont="1"/>
    <xf numFmtId="0" fontId="4" fillId="23" borderId="10" xfId="0" applyFont="1" applyFill="1" applyBorder="1" applyAlignment="1">
      <alignment horizontal="left" vertical="center" wrapText="1" indent="1"/>
    </xf>
    <xf numFmtId="0" fontId="2" fillId="0" borderId="0" xfId="44" applyFont="1" applyFill="1" applyAlignment="1">
      <alignment horizontal="center" vertical="center"/>
    </xf>
    <xf numFmtId="0" fontId="42" fillId="0" borderId="10" xfId="45" applyFont="1" applyBorder="1" applyAlignment="1">
      <alignment horizontal="left" vertical="center" wrapText="1" inden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7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10" fillId="19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7" fillId="20" borderId="10" xfId="0" applyNumberFormat="1" applyFont="1" applyFill="1" applyBorder="1" applyAlignment="1">
      <alignment horizontal="left" vertical="center" wrapText="1"/>
    </xf>
    <xf numFmtId="4" fontId="4" fillId="20" borderId="12" xfId="0" applyNumberFormat="1" applyFont="1" applyFill="1" applyBorder="1" applyAlignment="1">
      <alignment horizontal="left" vertical="center" wrapText="1"/>
    </xf>
    <xf numFmtId="4" fontId="4" fillId="20" borderId="19" xfId="0" applyNumberFormat="1" applyFont="1" applyFill="1" applyBorder="1" applyAlignment="1">
      <alignment horizontal="left" vertical="center" wrapText="1"/>
    </xf>
    <xf numFmtId="4" fontId="4" fillId="20" borderId="17" xfId="0" applyNumberFormat="1" applyFont="1" applyFill="1" applyBorder="1" applyAlignment="1">
      <alignment horizontal="left" vertical="center" wrapText="1"/>
    </xf>
    <xf numFmtId="0" fontId="6" fillId="21" borderId="12" xfId="0" applyFont="1" applyFill="1" applyBorder="1" applyAlignment="1">
      <alignment horizontal="left" vertical="center" wrapText="1"/>
    </xf>
    <xf numFmtId="0" fontId="6" fillId="21" borderId="17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left" vertical="center"/>
    </xf>
    <xf numFmtId="4" fontId="4" fillId="0" borderId="12" xfId="0" applyNumberFormat="1" applyFont="1" applyFill="1" applyBorder="1" applyAlignment="1">
      <alignment horizontal="left" vertical="center" wrapText="1"/>
    </xf>
    <xf numFmtId="4" fontId="4" fillId="0" borderId="19" xfId="0" applyNumberFormat="1" applyFont="1" applyFill="1" applyBorder="1" applyAlignment="1">
      <alignment horizontal="left" vertical="center" wrapText="1"/>
    </xf>
    <xf numFmtId="4" fontId="4" fillId="0" borderId="17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4" fontId="4" fillId="20" borderId="10" xfId="0" applyNumberFormat="1" applyFont="1" applyFill="1" applyBorder="1" applyAlignment="1">
      <alignment horizontal="left" vertical="center"/>
    </xf>
    <xf numFmtId="4" fontId="4" fillId="20" borderId="10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left" vertical="center" wrapText="1"/>
    </xf>
    <xf numFmtId="0" fontId="34" fillId="0" borderId="10" xfId="0" applyFont="1" applyBorder="1" applyAlignment="1">
      <alignment vertical="center" wrapText="1"/>
    </xf>
    <xf numFmtId="4" fontId="4" fillId="23" borderId="10" xfId="0" applyNumberFormat="1" applyFont="1" applyFill="1" applyBorder="1" applyAlignment="1">
      <alignment horizontal="left" vertical="center"/>
    </xf>
    <xf numFmtId="4" fontId="7" fillId="0" borderId="10" xfId="0" applyNumberFormat="1" applyFont="1" applyBorder="1" applyAlignment="1">
      <alignment horizontal="left" vertical="center"/>
    </xf>
    <xf numFmtId="4" fontId="7" fillId="20" borderId="10" xfId="0" applyNumberFormat="1" applyFont="1" applyFill="1" applyBorder="1" applyAlignment="1">
      <alignment horizontal="left" vertical="center"/>
    </xf>
    <xf numFmtId="4" fontId="4" fillId="0" borderId="1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7" fillId="0" borderId="19" xfId="0" applyNumberFormat="1" applyFont="1" applyBorder="1" applyAlignment="1">
      <alignment horizontal="left" vertical="center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4" fontId="10" fillId="0" borderId="10" xfId="0" applyNumberFormat="1" applyFont="1" applyBorder="1" applyAlignment="1">
      <alignment horizontal="left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20" borderId="12" xfId="0" applyFont="1" applyFill="1" applyBorder="1" applyAlignment="1">
      <alignment horizontal="left" vertical="center" wrapText="1"/>
    </xf>
    <xf numFmtId="0" fontId="10" fillId="20" borderId="17" xfId="0" applyFont="1" applyFill="1" applyBorder="1" applyAlignment="1">
      <alignment horizontal="left" vertical="center" wrapText="1"/>
    </xf>
    <xf numFmtId="4" fontId="8" fillId="20" borderId="12" xfId="0" applyNumberFormat="1" applyFont="1" applyFill="1" applyBorder="1" applyAlignment="1">
      <alignment horizontal="center" vertical="center"/>
    </xf>
    <xf numFmtId="4" fontId="8" fillId="20" borderId="19" xfId="0" applyNumberFormat="1" applyFont="1" applyFill="1" applyBorder="1" applyAlignment="1">
      <alignment horizontal="center" vertical="center"/>
    </xf>
    <xf numFmtId="4" fontId="8" fillId="20" borderId="17" xfId="0" applyNumberFormat="1" applyFont="1" applyFill="1" applyBorder="1" applyAlignment="1">
      <alignment horizontal="center" vertical="center"/>
    </xf>
    <xf numFmtId="4" fontId="10" fillId="20" borderId="12" xfId="0" applyNumberFormat="1" applyFont="1" applyFill="1" applyBorder="1" applyAlignment="1">
      <alignment horizontal="center" vertical="center"/>
    </xf>
    <xf numFmtId="4" fontId="10" fillId="20" borderId="19" xfId="0" applyNumberFormat="1" applyFont="1" applyFill="1" applyBorder="1" applyAlignment="1">
      <alignment horizontal="center" vertical="center"/>
    </xf>
    <xf numFmtId="4" fontId="10" fillId="20" borderId="17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/>
    </xf>
    <xf numFmtId="0" fontId="6" fillId="21" borderId="12" xfId="0" applyFont="1" applyFill="1" applyBorder="1" applyAlignment="1">
      <alignment horizontal="left" vertical="center" wrapText="1" indent="1"/>
    </xf>
    <xf numFmtId="0" fontId="6" fillId="21" borderId="17" xfId="0" applyFont="1" applyFill="1" applyBorder="1" applyAlignment="1">
      <alignment horizontal="left" vertical="center" wrapText="1" indent="1"/>
    </xf>
    <xf numFmtId="4" fontId="8" fillId="21" borderId="12" xfId="0" applyNumberFormat="1" applyFont="1" applyFill="1" applyBorder="1" applyAlignment="1">
      <alignment horizontal="center" vertical="center"/>
    </xf>
    <xf numFmtId="4" fontId="8" fillId="21" borderId="19" xfId="0" applyNumberFormat="1" applyFont="1" applyFill="1" applyBorder="1" applyAlignment="1">
      <alignment horizontal="center" vertical="center"/>
    </xf>
    <xf numFmtId="4" fontId="8" fillId="21" borderId="1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/>
    </xf>
    <xf numFmtId="0" fontId="6" fillId="21" borderId="10" xfId="0" applyFont="1" applyFill="1" applyBorder="1" applyAlignment="1">
      <alignment horizontal="left" vertical="center" wrapText="1" inden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3 4" xfId="32"/>
    <cellStyle name="Dziesiętny 4" xfId="33"/>
    <cellStyle name="Dziesiętny 5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ny" xfId="0" builtinId="0"/>
    <cellStyle name="Normalny 2" xfId="44"/>
    <cellStyle name="Normalny 2 2" xfId="45"/>
    <cellStyle name="Note" xfId="46"/>
    <cellStyle name="Output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6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51" t="str">
        <f>CONCATENATE("Informacja z wykonania budżetów powiatów za ",$D$103," ",$C$104," rok     ",$C$106,"")</f>
        <v xml:space="preserve">Informacja z wykonania budżetów powiatów za II Kwartały 2023 rok     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2:13" ht="57.75" customHeight="1" x14ac:dyDescent="0.2">
      <c r="B2" s="187" t="s">
        <v>0</v>
      </c>
      <c r="C2" s="17" t="s">
        <v>127</v>
      </c>
      <c r="D2" s="17" t="s">
        <v>128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9" t="s">
        <v>2</v>
      </c>
      <c r="K2" s="17" t="s">
        <v>61</v>
      </c>
      <c r="L2" s="17" t="s">
        <v>3</v>
      </c>
    </row>
    <row r="3" spans="2:13" x14ac:dyDescent="0.2">
      <c r="B3" s="187"/>
      <c r="C3" s="191" t="s">
        <v>236</v>
      </c>
      <c r="D3" s="193"/>
      <c r="E3" s="195" t="s">
        <v>312</v>
      </c>
      <c r="F3" s="196"/>
      <c r="G3" s="196"/>
      <c r="H3" s="196"/>
      <c r="I3" s="197"/>
      <c r="J3" s="191" t="s">
        <v>4</v>
      </c>
      <c r="K3" s="192"/>
      <c r="L3" s="193"/>
    </row>
    <row r="4" spans="2:13" ht="9" customHeight="1" x14ac:dyDescent="0.2">
      <c r="B4" s="19">
        <v>1</v>
      </c>
      <c r="C4" s="21">
        <v>2</v>
      </c>
      <c r="D4" s="21">
        <v>3</v>
      </c>
      <c r="E4" s="198"/>
      <c r="F4" s="199"/>
      <c r="G4" s="199"/>
      <c r="H4" s="199"/>
      <c r="I4" s="200"/>
      <c r="J4" s="21">
        <v>4</v>
      </c>
      <c r="K4" s="21">
        <v>5</v>
      </c>
      <c r="L4" s="21">
        <v>6</v>
      </c>
    </row>
    <row r="5" spans="2:13" ht="12.95" customHeight="1" x14ac:dyDescent="0.2">
      <c r="B5" s="140" t="s">
        <v>5</v>
      </c>
      <c r="C5" s="86">
        <f>42954205386.89</f>
        <v>42954205386.889999</v>
      </c>
      <c r="D5" s="86">
        <f>20760288976.09</f>
        <v>20760288976.09</v>
      </c>
      <c r="E5" s="131" t="s">
        <v>312</v>
      </c>
      <c r="F5" s="131" t="s">
        <v>312</v>
      </c>
      <c r="G5" s="131" t="s">
        <v>312</v>
      </c>
      <c r="H5" s="131" t="s">
        <v>312</v>
      </c>
      <c r="I5" s="131" t="s">
        <v>312</v>
      </c>
      <c r="J5" s="87">
        <f t="shared" ref="J5:J39" si="0">IF($D$5=0,"",100*$D5/$D$5)</f>
        <v>100</v>
      </c>
      <c r="K5" s="87">
        <f t="shared" ref="K5:K42" si="1">IF(C5=0,"",100*D5/C5)</f>
        <v>48.33121411303356</v>
      </c>
      <c r="L5" s="87"/>
    </row>
    <row r="6" spans="2:13" ht="26.85" customHeight="1" x14ac:dyDescent="0.2">
      <c r="B6" s="141" t="s">
        <v>165</v>
      </c>
      <c r="C6" s="62">
        <f>C5-C11-C35</f>
        <v>14062403204.559998</v>
      </c>
      <c r="D6" s="62">
        <f>D5-D11-D35</f>
        <v>6694678664.8999996</v>
      </c>
      <c r="E6" s="131" t="s">
        <v>312</v>
      </c>
      <c r="F6" s="131" t="s">
        <v>312</v>
      </c>
      <c r="G6" s="131" t="s">
        <v>312</v>
      </c>
      <c r="H6" s="131" t="s">
        <v>312</v>
      </c>
      <c r="I6" s="131" t="s">
        <v>312</v>
      </c>
      <c r="J6" s="63">
        <f t="shared" si="0"/>
        <v>32.247521566825888</v>
      </c>
      <c r="K6" s="63">
        <f t="shared" si="1"/>
        <v>47.606931528809561</v>
      </c>
      <c r="L6" s="63">
        <f>IF($D$6=0,"",100*$D6/$D$6)</f>
        <v>100</v>
      </c>
    </row>
    <row r="7" spans="2:13" ht="22.5" outlineLevel="1" x14ac:dyDescent="0.2">
      <c r="B7" s="143" t="s">
        <v>62</v>
      </c>
      <c r="C7" s="64">
        <f>5781465822</f>
        <v>5781465822</v>
      </c>
      <c r="D7" s="64">
        <f>2890227150</f>
        <v>2890227150</v>
      </c>
      <c r="E7" s="131" t="s">
        <v>312</v>
      </c>
      <c r="F7" s="131" t="s">
        <v>312</v>
      </c>
      <c r="G7" s="131" t="s">
        <v>312</v>
      </c>
      <c r="H7" s="131" t="s">
        <v>312</v>
      </c>
      <c r="I7" s="131" t="s">
        <v>312</v>
      </c>
      <c r="J7" s="65">
        <f t="shared" si="0"/>
        <v>13.921902307471379</v>
      </c>
      <c r="K7" s="65">
        <f t="shared" si="1"/>
        <v>49.991252028195419</v>
      </c>
      <c r="L7" s="65">
        <f>IF($D$6=0,"",100*$D7/$D$6)</f>
        <v>43.172007121915719</v>
      </c>
    </row>
    <row r="8" spans="2:13" ht="22.5" outlineLevel="1" x14ac:dyDescent="0.2">
      <c r="B8" s="143" t="s">
        <v>126</v>
      </c>
      <c r="C8" s="64">
        <f>474339515</f>
        <v>474339515</v>
      </c>
      <c r="D8" s="64">
        <f>237565758</f>
        <v>237565758</v>
      </c>
      <c r="E8" s="131" t="s">
        <v>312</v>
      </c>
      <c r="F8" s="131" t="s">
        <v>312</v>
      </c>
      <c r="G8" s="131" t="s">
        <v>312</v>
      </c>
      <c r="H8" s="131" t="s">
        <v>312</v>
      </c>
      <c r="I8" s="131" t="s">
        <v>312</v>
      </c>
      <c r="J8" s="65">
        <f t="shared" si="0"/>
        <v>1.1443277994521597</v>
      </c>
      <c r="K8" s="65">
        <f t="shared" si="1"/>
        <v>50.083484611228307</v>
      </c>
      <c r="L8" s="65">
        <f>IF($D$6=0,"",100*$D8/$D$6)</f>
        <v>3.5485759644529344</v>
      </c>
    </row>
    <row r="9" spans="2:13" ht="12.95" customHeight="1" outlineLevel="1" x14ac:dyDescent="0.2">
      <c r="B9" s="143" t="s">
        <v>63</v>
      </c>
      <c r="C9" s="64">
        <f>528928833.54</f>
        <v>528928833.54000002</v>
      </c>
      <c r="D9" s="88">
        <f>167468607.1</f>
        <v>167468607.09999999</v>
      </c>
      <c r="E9" s="131" t="s">
        <v>312</v>
      </c>
      <c r="F9" s="131" t="s">
        <v>312</v>
      </c>
      <c r="G9" s="131" t="s">
        <v>312</v>
      </c>
      <c r="H9" s="131" t="s">
        <v>312</v>
      </c>
      <c r="I9" s="131" t="s">
        <v>312</v>
      </c>
      <c r="J9" s="65">
        <f t="shared" si="0"/>
        <v>0.80667763003143467</v>
      </c>
      <c r="K9" s="65">
        <f t="shared" si="1"/>
        <v>31.661841155296983</v>
      </c>
      <c r="L9" s="65">
        <f>IF($D$6=0,"",100*$D9/$D$6)</f>
        <v>2.5015182278730257</v>
      </c>
    </row>
    <row r="10" spans="2:13" ht="12.95" customHeight="1" outlineLevel="1" x14ac:dyDescent="0.2">
      <c r="B10" s="143" t="s">
        <v>64</v>
      </c>
      <c r="C10" s="64">
        <f>C6-C8-C7-C9</f>
        <v>7277669034.0199976</v>
      </c>
      <c r="D10" s="64">
        <f>D6-D8-D7-D9</f>
        <v>3399417149.7999997</v>
      </c>
      <c r="E10" s="131" t="s">
        <v>312</v>
      </c>
      <c r="F10" s="131" t="s">
        <v>312</v>
      </c>
      <c r="G10" s="131" t="s">
        <v>312</v>
      </c>
      <c r="H10" s="131" t="s">
        <v>312</v>
      </c>
      <c r="I10" s="131" t="s">
        <v>312</v>
      </c>
      <c r="J10" s="65">
        <f t="shared" si="0"/>
        <v>16.374613829870913</v>
      </c>
      <c r="K10" s="65">
        <f t="shared" si="1"/>
        <v>46.710246562589958</v>
      </c>
      <c r="L10" s="65">
        <f>IF($D$6=0,"",100*$D10/$D$6)</f>
        <v>50.777898685758323</v>
      </c>
    </row>
    <row r="11" spans="2:13" ht="26.85" customHeight="1" x14ac:dyDescent="0.2">
      <c r="B11" s="142" t="s">
        <v>318</v>
      </c>
      <c r="C11" s="86">
        <f>C12+C31+C33</f>
        <v>12658043436.33</v>
      </c>
      <c r="D11" s="86">
        <f>D12+D31+D33</f>
        <v>4508921411.1900005</v>
      </c>
      <c r="E11" s="131" t="s">
        <v>312</v>
      </c>
      <c r="F11" s="131" t="s">
        <v>312</v>
      </c>
      <c r="G11" s="131" t="s">
        <v>312</v>
      </c>
      <c r="H11" s="131" t="s">
        <v>312</v>
      </c>
      <c r="I11" s="131" t="s">
        <v>312</v>
      </c>
      <c r="J11" s="87">
        <f t="shared" si="0"/>
        <v>21.718972295535032</v>
      </c>
      <c r="K11" s="87">
        <f t="shared" si="1"/>
        <v>35.620998093977875</v>
      </c>
      <c r="L11" s="89"/>
    </row>
    <row r="12" spans="2:13" ht="26.85" customHeight="1" outlineLevel="1" x14ac:dyDescent="0.2">
      <c r="B12" s="144" t="s">
        <v>166</v>
      </c>
      <c r="C12" s="86">
        <f>C13+C15+C17+C19+C21+C23+C25+C27+C29</f>
        <v>11378671165.93</v>
      </c>
      <c r="D12" s="86">
        <f>D13+D15+D17+D19+D21+D23+D25+D27+D29</f>
        <v>4070146980.7900004</v>
      </c>
      <c r="E12" s="131" t="s">
        <v>312</v>
      </c>
      <c r="F12" s="131" t="s">
        <v>312</v>
      </c>
      <c r="G12" s="131" t="s">
        <v>312</v>
      </c>
      <c r="H12" s="131" t="s">
        <v>312</v>
      </c>
      <c r="I12" s="131" t="s">
        <v>312</v>
      </c>
      <c r="J12" s="87">
        <f t="shared" si="0"/>
        <v>19.605444729009612</v>
      </c>
      <c r="K12" s="87">
        <f t="shared" si="1"/>
        <v>35.769967524651108</v>
      </c>
      <c r="L12" s="68"/>
    </row>
    <row r="13" spans="2:13" ht="22.5" outlineLevel="1" x14ac:dyDescent="0.2">
      <c r="B13" s="145" t="s">
        <v>9</v>
      </c>
      <c r="C13" s="64">
        <f>3006051830.92</f>
        <v>3006051830.9200001</v>
      </c>
      <c r="D13" s="64">
        <f>1747236210.3</f>
        <v>1747236210.3</v>
      </c>
      <c r="E13" s="131" t="s">
        <v>312</v>
      </c>
      <c r="F13" s="131" t="s">
        <v>312</v>
      </c>
      <c r="G13" s="131" t="s">
        <v>312</v>
      </c>
      <c r="H13" s="131" t="s">
        <v>312</v>
      </c>
      <c r="I13" s="131" t="s">
        <v>312</v>
      </c>
      <c r="J13" s="65">
        <f t="shared" si="0"/>
        <v>8.4162422416774803</v>
      </c>
      <c r="K13" s="65">
        <f t="shared" si="1"/>
        <v>58.123954894192877</v>
      </c>
      <c r="L13" s="68"/>
    </row>
    <row r="14" spans="2:13" ht="12.95" customHeight="1" outlineLevel="1" x14ac:dyDescent="0.2">
      <c r="B14" s="148" t="s">
        <v>6</v>
      </c>
      <c r="C14" s="64">
        <f>100038638.03</f>
        <v>100038638.03</v>
      </c>
      <c r="D14" s="64">
        <f>15914602.53</f>
        <v>15914602.529999999</v>
      </c>
      <c r="E14" s="131" t="s">
        <v>312</v>
      </c>
      <c r="F14" s="131" t="s">
        <v>312</v>
      </c>
      <c r="G14" s="131" t="s">
        <v>312</v>
      </c>
      <c r="H14" s="131" t="s">
        <v>312</v>
      </c>
      <c r="I14" s="131" t="s">
        <v>312</v>
      </c>
      <c r="J14" s="65">
        <f t="shared" si="0"/>
        <v>7.6658868035647934E-2</v>
      </c>
      <c r="K14" s="65">
        <f t="shared" si="1"/>
        <v>15.90845581606925</v>
      </c>
      <c r="L14" s="68"/>
    </row>
    <row r="15" spans="2:13" ht="12.95" customHeight="1" outlineLevel="1" x14ac:dyDescent="0.2">
      <c r="B15" s="145" t="s">
        <v>7</v>
      </c>
      <c r="C15" s="64">
        <f>854146889.2</f>
        <v>854146889.20000005</v>
      </c>
      <c r="D15" s="64">
        <f>355834815.68</f>
        <v>355834815.68000001</v>
      </c>
      <c r="E15" s="131" t="s">
        <v>312</v>
      </c>
      <c r="F15" s="131" t="s">
        <v>312</v>
      </c>
      <c r="G15" s="131" t="s">
        <v>312</v>
      </c>
      <c r="H15" s="131" t="s">
        <v>312</v>
      </c>
      <c r="I15" s="131" t="s">
        <v>312</v>
      </c>
      <c r="J15" s="65">
        <f t="shared" si="0"/>
        <v>1.71401667910221</v>
      </c>
      <c r="K15" s="65">
        <f t="shared" si="1"/>
        <v>41.659674720969527</v>
      </c>
      <c r="L15" s="68"/>
    </row>
    <row r="16" spans="2:13" ht="12.95" customHeight="1" outlineLevel="1" x14ac:dyDescent="0.2">
      <c r="B16" s="148" t="s">
        <v>6</v>
      </c>
      <c r="C16" s="64">
        <f>166173490.11</f>
        <v>166173490.11000001</v>
      </c>
      <c r="D16" s="64">
        <f>11901231.66</f>
        <v>11901231.66</v>
      </c>
      <c r="E16" s="131" t="s">
        <v>312</v>
      </c>
      <c r="F16" s="131" t="s">
        <v>312</v>
      </c>
      <c r="G16" s="131" t="s">
        <v>312</v>
      </c>
      <c r="H16" s="131" t="s">
        <v>312</v>
      </c>
      <c r="I16" s="131" t="s">
        <v>312</v>
      </c>
      <c r="J16" s="65">
        <f t="shared" si="0"/>
        <v>5.7326907509364942E-2</v>
      </c>
      <c r="K16" s="65">
        <f t="shared" si="1"/>
        <v>7.161931576523954</v>
      </c>
      <c r="L16" s="68"/>
    </row>
    <row r="17" spans="2:12" ht="33.75" outlineLevel="1" x14ac:dyDescent="0.2">
      <c r="B17" s="145" t="s">
        <v>10</v>
      </c>
      <c r="C17" s="64">
        <f>104533099.17</f>
        <v>104533099.17</v>
      </c>
      <c r="D17" s="64">
        <f>90923370.1</f>
        <v>90923370.099999994</v>
      </c>
      <c r="E17" s="131" t="s">
        <v>312</v>
      </c>
      <c r="F17" s="131" t="s">
        <v>312</v>
      </c>
      <c r="G17" s="131" t="s">
        <v>312</v>
      </c>
      <c r="H17" s="131" t="s">
        <v>312</v>
      </c>
      <c r="I17" s="131" t="s">
        <v>312</v>
      </c>
      <c r="J17" s="65">
        <f t="shared" si="0"/>
        <v>0.43796774796689047</v>
      </c>
      <c r="K17" s="65">
        <f t="shared" si="1"/>
        <v>86.980459607471516</v>
      </c>
      <c r="L17" s="68"/>
    </row>
    <row r="18" spans="2:12" ht="12.95" customHeight="1" outlineLevel="1" x14ac:dyDescent="0.2">
      <c r="B18" s="148" t="s">
        <v>6</v>
      </c>
      <c r="C18" s="64">
        <f>4801955.41</f>
        <v>4801955.41</v>
      </c>
      <c r="D18" s="64">
        <f>2096438.26</f>
        <v>2096438.26</v>
      </c>
      <c r="E18" s="131" t="s">
        <v>312</v>
      </c>
      <c r="F18" s="131" t="s">
        <v>312</v>
      </c>
      <c r="G18" s="131" t="s">
        <v>312</v>
      </c>
      <c r="H18" s="131" t="s">
        <v>312</v>
      </c>
      <c r="I18" s="131" t="s">
        <v>312</v>
      </c>
      <c r="J18" s="65">
        <f t="shared" si="0"/>
        <v>1.0098309625721037E-2</v>
      </c>
      <c r="K18" s="65">
        <f t="shared" si="1"/>
        <v>43.658011809818113</v>
      </c>
      <c r="L18" s="68"/>
    </row>
    <row r="19" spans="2:12" ht="25.5" customHeight="1" outlineLevel="1" x14ac:dyDescent="0.2">
      <c r="B19" s="145" t="s">
        <v>11</v>
      </c>
      <c r="C19" s="64">
        <f>462481203.98</f>
        <v>462481203.98000002</v>
      </c>
      <c r="D19" s="64">
        <f>201825126.71</f>
        <v>201825126.71000001</v>
      </c>
      <c r="E19" s="131" t="s">
        <v>312</v>
      </c>
      <c r="F19" s="131" t="s">
        <v>312</v>
      </c>
      <c r="G19" s="131" t="s">
        <v>312</v>
      </c>
      <c r="H19" s="131" t="s">
        <v>312</v>
      </c>
      <c r="I19" s="131" t="s">
        <v>312</v>
      </c>
      <c r="J19" s="65">
        <f t="shared" si="0"/>
        <v>0.9721691588322573</v>
      </c>
      <c r="K19" s="65">
        <f t="shared" si="1"/>
        <v>43.639638751400568</v>
      </c>
      <c r="L19" s="68"/>
    </row>
    <row r="20" spans="2:12" ht="12.95" customHeight="1" outlineLevel="1" x14ac:dyDescent="0.2">
      <c r="B20" s="148" t="s">
        <v>6</v>
      </c>
      <c r="C20" s="64">
        <f>83718289.92</f>
        <v>83718289.920000002</v>
      </c>
      <c r="D20" s="64">
        <f>16099694.03</f>
        <v>16099694.029999999</v>
      </c>
      <c r="E20" s="131" t="s">
        <v>312</v>
      </c>
      <c r="F20" s="131" t="s">
        <v>312</v>
      </c>
      <c r="G20" s="131" t="s">
        <v>312</v>
      </c>
      <c r="H20" s="131" t="s">
        <v>312</v>
      </c>
      <c r="I20" s="131" t="s">
        <v>312</v>
      </c>
      <c r="J20" s="65">
        <f t="shared" si="0"/>
        <v>7.7550433178181236E-2</v>
      </c>
      <c r="K20" s="65">
        <f t="shared" si="1"/>
        <v>19.230796574302506</v>
      </c>
      <c r="L20" s="68"/>
    </row>
    <row r="21" spans="2:12" ht="35.25" customHeight="1" outlineLevel="1" x14ac:dyDescent="0.2">
      <c r="B21" s="145" t="s">
        <v>242</v>
      </c>
      <c r="C21" s="64">
        <f>1035186674.4</f>
        <v>1035186674.4</v>
      </c>
      <c r="D21" s="64">
        <f>290673933.38</f>
        <v>290673933.38</v>
      </c>
      <c r="E21" s="131" t="s">
        <v>312</v>
      </c>
      <c r="F21" s="131" t="s">
        <v>312</v>
      </c>
      <c r="G21" s="131" t="s">
        <v>312</v>
      </c>
      <c r="H21" s="131" t="s">
        <v>312</v>
      </c>
      <c r="I21" s="131" t="s">
        <v>312</v>
      </c>
      <c r="J21" s="65">
        <f t="shared" si="0"/>
        <v>1.4001439657934165</v>
      </c>
      <c r="K21" s="65">
        <f t="shared" si="1"/>
        <v>28.07937356307994</v>
      </c>
      <c r="L21" s="68"/>
    </row>
    <row r="22" spans="2:12" ht="12.95" customHeight="1" outlineLevel="1" x14ac:dyDescent="0.2">
      <c r="B22" s="148" t="s">
        <v>6</v>
      </c>
      <c r="C22" s="64">
        <f>889941954.17</f>
        <v>889941954.16999996</v>
      </c>
      <c r="D22" s="64">
        <f>228164386.16</f>
        <v>228164386.16</v>
      </c>
      <c r="E22" s="131" t="s">
        <v>312</v>
      </c>
      <c r="F22" s="131" t="s">
        <v>312</v>
      </c>
      <c r="G22" s="131" t="s">
        <v>312</v>
      </c>
      <c r="H22" s="131" t="s">
        <v>312</v>
      </c>
      <c r="I22" s="131" t="s">
        <v>312</v>
      </c>
      <c r="J22" s="65">
        <f t="shared" si="0"/>
        <v>1.0990424382954449</v>
      </c>
      <c r="K22" s="65">
        <f t="shared" si="1"/>
        <v>25.638120002196818</v>
      </c>
      <c r="L22" s="68"/>
    </row>
    <row r="23" spans="2:12" ht="12.95" customHeight="1" outlineLevel="1" x14ac:dyDescent="0.2">
      <c r="B23" s="145" t="s">
        <v>8</v>
      </c>
      <c r="C23" s="64">
        <f>96465730.18</f>
        <v>96465730.180000007</v>
      </c>
      <c r="D23" s="64">
        <f>19800282.15</f>
        <v>19800282.149999999</v>
      </c>
      <c r="E23" s="131" t="s">
        <v>312</v>
      </c>
      <c r="F23" s="131" t="s">
        <v>312</v>
      </c>
      <c r="G23" s="131" t="s">
        <v>312</v>
      </c>
      <c r="H23" s="131" t="s">
        <v>312</v>
      </c>
      <c r="I23" s="131" t="s">
        <v>312</v>
      </c>
      <c r="J23" s="65">
        <f t="shared" si="0"/>
        <v>9.537575403119071E-2</v>
      </c>
      <c r="K23" s="65">
        <f t="shared" si="1"/>
        <v>20.525716348234454</v>
      </c>
      <c r="L23" s="68"/>
    </row>
    <row r="24" spans="2:12" ht="12.95" customHeight="1" outlineLevel="1" x14ac:dyDescent="0.2">
      <c r="B24" s="148" t="s">
        <v>6</v>
      </c>
      <c r="C24" s="64">
        <f>76345792.77</f>
        <v>76345792.769999996</v>
      </c>
      <c r="D24" s="64">
        <f>10332626.11</f>
        <v>10332626.109999999</v>
      </c>
      <c r="E24" s="131" t="s">
        <v>312</v>
      </c>
      <c r="F24" s="131" t="s">
        <v>312</v>
      </c>
      <c r="G24" s="131" t="s">
        <v>312</v>
      </c>
      <c r="H24" s="131" t="s">
        <v>312</v>
      </c>
      <c r="I24" s="131" t="s">
        <v>312</v>
      </c>
      <c r="J24" s="65">
        <f t="shared" si="0"/>
        <v>4.9771109264906056E-2</v>
      </c>
      <c r="K24" s="65">
        <f t="shared" si="1"/>
        <v>13.533982338919657</v>
      </c>
      <c r="L24" s="68"/>
    </row>
    <row r="25" spans="2:12" ht="67.5" outlineLevel="1" x14ac:dyDescent="0.2">
      <c r="B25" s="145" t="s">
        <v>290</v>
      </c>
      <c r="C25" s="64">
        <f>6294030</f>
        <v>6294030</v>
      </c>
      <c r="D25" s="64">
        <f>114030</f>
        <v>114030</v>
      </c>
      <c r="E25" s="131" t="s">
        <v>312</v>
      </c>
      <c r="F25" s="131" t="s">
        <v>312</v>
      </c>
      <c r="G25" s="131" t="s">
        <v>312</v>
      </c>
      <c r="H25" s="131" t="s">
        <v>312</v>
      </c>
      <c r="I25" s="131" t="s">
        <v>312</v>
      </c>
      <c r="J25" s="65">
        <f t="shared" si="0"/>
        <v>5.4926981089391583E-4</v>
      </c>
      <c r="K25" s="65">
        <f t="shared" si="1"/>
        <v>1.8117168173650269</v>
      </c>
      <c r="L25" s="68"/>
    </row>
    <row r="26" spans="2:12" ht="12.95" customHeight="1" outlineLevel="1" x14ac:dyDescent="0.2">
      <c r="B26" s="148" t="s">
        <v>291</v>
      </c>
      <c r="C26" s="64">
        <f>5555000</f>
        <v>5555000</v>
      </c>
      <c r="D26" s="64">
        <f>20000</f>
        <v>20000</v>
      </c>
      <c r="E26" s="131" t="s">
        <v>312</v>
      </c>
      <c r="F26" s="131" t="s">
        <v>312</v>
      </c>
      <c r="G26" s="131" t="s">
        <v>312</v>
      </c>
      <c r="H26" s="131" t="s">
        <v>312</v>
      </c>
      <c r="I26" s="131" t="s">
        <v>312</v>
      </c>
      <c r="J26" s="65">
        <f t="shared" si="0"/>
        <v>9.6337772672790641E-5</v>
      </c>
      <c r="K26" s="65">
        <f t="shared" si="1"/>
        <v>0.36003600360036003</v>
      </c>
      <c r="L26" s="68"/>
    </row>
    <row r="27" spans="2:12" ht="45" outlineLevel="1" x14ac:dyDescent="0.2">
      <c r="B27" s="146" t="s">
        <v>285</v>
      </c>
      <c r="C27" s="102">
        <f>5204531744.77</f>
        <v>5204531744.7700005</v>
      </c>
      <c r="D27" s="102">
        <f>882008228.65</f>
        <v>882008228.64999998</v>
      </c>
      <c r="E27" s="131" t="s">
        <v>312</v>
      </c>
      <c r="F27" s="131" t="s">
        <v>312</v>
      </c>
      <c r="G27" s="131" t="s">
        <v>312</v>
      </c>
      <c r="H27" s="131" t="s">
        <v>312</v>
      </c>
      <c r="I27" s="131" t="s">
        <v>312</v>
      </c>
      <c r="J27" s="103">
        <f t="shared" si="0"/>
        <v>4.2485354113607228</v>
      </c>
      <c r="K27" s="103">
        <f t="shared" si="1"/>
        <v>16.946927637367651</v>
      </c>
      <c r="L27" s="68"/>
    </row>
    <row r="28" spans="2:12" ht="12.95" customHeight="1" outlineLevel="1" x14ac:dyDescent="0.2">
      <c r="B28" s="148" t="s">
        <v>6</v>
      </c>
      <c r="C28" s="64">
        <f>5185439466.92</f>
        <v>5185439466.9200001</v>
      </c>
      <c r="D28" s="64">
        <f>882000181.1</f>
        <v>882000181.10000002</v>
      </c>
      <c r="E28" s="131" t="s">
        <v>312</v>
      </c>
      <c r="F28" s="131" t="s">
        <v>312</v>
      </c>
      <c r="G28" s="131" t="s">
        <v>312</v>
      </c>
      <c r="H28" s="131" t="s">
        <v>312</v>
      </c>
      <c r="I28" s="131" t="s">
        <v>312</v>
      </c>
      <c r="J28" s="65">
        <f t="shared" si="0"/>
        <v>4.248496647208599</v>
      </c>
      <c r="K28" s="65">
        <f t="shared" si="1"/>
        <v>17.009169362146316</v>
      </c>
      <c r="L28" s="68"/>
    </row>
    <row r="29" spans="2:12" ht="22.5" outlineLevel="1" x14ac:dyDescent="0.2">
      <c r="B29" s="146" t="s">
        <v>321</v>
      </c>
      <c r="C29" s="64">
        <f>608979963.31</f>
        <v>608979963.30999994</v>
      </c>
      <c r="D29" s="64">
        <f>481730983.82</f>
        <v>481730983.81999999</v>
      </c>
      <c r="E29" s="131" t="s">
        <v>312</v>
      </c>
      <c r="F29" s="131" t="s">
        <v>312</v>
      </c>
      <c r="G29" s="131" t="s">
        <v>312</v>
      </c>
      <c r="H29" s="131" t="s">
        <v>312</v>
      </c>
      <c r="I29" s="131" t="s">
        <v>312</v>
      </c>
      <c r="J29" s="65">
        <f t="shared" si="0"/>
        <v>2.3204445004345473</v>
      </c>
      <c r="K29" s="65">
        <f t="shared" si="1"/>
        <v>79.104570403538204</v>
      </c>
      <c r="L29" s="68"/>
    </row>
    <row r="30" spans="2:12" ht="12.95" customHeight="1" outlineLevel="1" x14ac:dyDescent="0.2">
      <c r="B30" s="148" t="s">
        <v>6</v>
      </c>
      <c r="C30" s="64">
        <f>0</f>
        <v>0</v>
      </c>
      <c r="D30" s="64">
        <f>0</f>
        <v>0</v>
      </c>
      <c r="E30" s="131" t="s">
        <v>312</v>
      </c>
      <c r="F30" s="131" t="s">
        <v>312</v>
      </c>
      <c r="G30" s="131" t="s">
        <v>312</v>
      </c>
      <c r="H30" s="131" t="s">
        <v>312</v>
      </c>
      <c r="I30" s="131" t="s">
        <v>312</v>
      </c>
      <c r="J30" s="65">
        <f t="shared" si="0"/>
        <v>0</v>
      </c>
      <c r="K30" s="65" t="str">
        <f t="shared" si="1"/>
        <v/>
      </c>
      <c r="L30" s="68"/>
    </row>
    <row r="31" spans="2:12" ht="12.95" customHeight="1" outlineLevel="1" x14ac:dyDescent="0.2">
      <c r="B31" s="147" t="s">
        <v>271</v>
      </c>
      <c r="C31" s="62">
        <f>106789117.51</f>
        <v>106789117.51000001</v>
      </c>
      <c r="D31" s="62">
        <f>62875138.35</f>
        <v>62875138.350000001</v>
      </c>
      <c r="E31" s="131" t="s">
        <v>312</v>
      </c>
      <c r="F31" s="131" t="s">
        <v>312</v>
      </c>
      <c r="G31" s="131" t="s">
        <v>312</v>
      </c>
      <c r="H31" s="131" t="s">
        <v>312</v>
      </c>
      <c r="I31" s="131" t="s">
        <v>312</v>
      </c>
      <c r="J31" s="66">
        <f t="shared" si="0"/>
        <v>0.30286253925662804</v>
      </c>
      <c r="K31" s="66">
        <f t="shared" si="1"/>
        <v>58.877851803684223</v>
      </c>
      <c r="L31" s="37"/>
    </row>
    <row r="32" spans="2:12" ht="12.95" customHeight="1" outlineLevel="1" x14ac:dyDescent="0.2">
      <c r="B32" s="149" t="s">
        <v>215</v>
      </c>
      <c r="C32" s="67">
        <f>56940440.01</f>
        <v>56940440.009999998</v>
      </c>
      <c r="D32" s="67">
        <f>28346907.63</f>
        <v>28346907.629999999</v>
      </c>
      <c r="E32" s="131" t="s">
        <v>312</v>
      </c>
      <c r="F32" s="131" t="s">
        <v>312</v>
      </c>
      <c r="G32" s="131" t="s">
        <v>312</v>
      </c>
      <c r="H32" s="131" t="s">
        <v>312</v>
      </c>
      <c r="I32" s="131" t="s">
        <v>312</v>
      </c>
      <c r="J32" s="65">
        <f t="shared" si="0"/>
        <v>0.13654389716177673</v>
      </c>
      <c r="K32" s="65">
        <f t="shared" si="1"/>
        <v>49.783436209874139</v>
      </c>
      <c r="L32" s="37"/>
    </row>
    <row r="33" spans="1:26" ht="12.95" customHeight="1" outlineLevel="1" x14ac:dyDescent="0.2">
      <c r="B33" s="147" t="s">
        <v>272</v>
      </c>
      <c r="C33" s="90">
        <f>1172583152.89</f>
        <v>1172583152.8900001</v>
      </c>
      <c r="D33" s="90">
        <f>375899292.05</f>
        <v>375899292.05000001</v>
      </c>
      <c r="E33" s="131" t="s">
        <v>312</v>
      </c>
      <c r="F33" s="131" t="s">
        <v>312</v>
      </c>
      <c r="G33" s="131" t="s">
        <v>312</v>
      </c>
      <c r="H33" s="131" t="s">
        <v>312</v>
      </c>
      <c r="I33" s="131" t="s">
        <v>312</v>
      </c>
      <c r="J33" s="91">
        <f t="shared" si="0"/>
        <v>1.8106650272687919</v>
      </c>
      <c r="K33" s="91">
        <f t="shared" si="1"/>
        <v>32.057367626640556</v>
      </c>
      <c r="L33" s="37"/>
    </row>
    <row r="34" spans="1:26" ht="12.95" customHeight="1" outlineLevel="1" x14ac:dyDescent="0.2">
      <c r="B34" s="149" t="s">
        <v>260</v>
      </c>
      <c r="C34" s="67">
        <f>784589977.14</f>
        <v>784589977.13999999</v>
      </c>
      <c r="D34" s="67">
        <f>164422096.13</f>
        <v>164422096.13</v>
      </c>
      <c r="E34" s="131" t="s">
        <v>312</v>
      </c>
      <c r="F34" s="131" t="s">
        <v>312</v>
      </c>
      <c r="G34" s="131" t="s">
        <v>312</v>
      </c>
      <c r="H34" s="131" t="s">
        <v>312</v>
      </c>
      <c r="I34" s="131" t="s">
        <v>312</v>
      </c>
      <c r="J34" s="65">
        <f t="shared" si="0"/>
        <v>0.79200292596778343</v>
      </c>
      <c r="K34" s="65">
        <f t="shared" si="1"/>
        <v>20.95643596281386</v>
      </c>
      <c r="L34" s="37"/>
    </row>
    <row r="35" spans="1:26" s="6" customFormat="1" ht="26.85" customHeight="1" x14ac:dyDescent="0.2">
      <c r="B35" s="141" t="s">
        <v>167</v>
      </c>
      <c r="C35" s="62">
        <f>C36+C37+C38+C39</f>
        <v>16233758746</v>
      </c>
      <c r="D35" s="62">
        <f>D36+D37+D38+D39</f>
        <v>9556688900</v>
      </c>
      <c r="E35" s="131" t="s">
        <v>312</v>
      </c>
      <c r="F35" s="131" t="s">
        <v>312</v>
      </c>
      <c r="G35" s="131" t="s">
        <v>312</v>
      </c>
      <c r="H35" s="131" t="s">
        <v>312</v>
      </c>
      <c r="I35" s="131" t="s">
        <v>312</v>
      </c>
      <c r="J35" s="63">
        <f t="shared" si="0"/>
        <v>46.03350613763908</v>
      </c>
      <c r="K35" s="63">
        <f t="shared" si="1"/>
        <v>58.869230777220764</v>
      </c>
      <c r="L35" s="38"/>
    </row>
    <row r="36" spans="1:26" ht="12.95" customHeight="1" outlineLevel="1" x14ac:dyDescent="0.2">
      <c r="B36" s="143" t="s">
        <v>131</v>
      </c>
      <c r="C36" s="64">
        <f>12600161928</f>
        <v>12600161928</v>
      </c>
      <c r="D36" s="64">
        <f>7753007336</f>
        <v>7753007336</v>
      </c>
      <c r="E36" s="131" t="s">
        <v>312</v>
      </c>
      <c r="F36" s="131" t="s">
        <v>312</v>
      </c>
      <c r="G36" s="131" t="s">
        <v>312</v>
      </c>
      <c r="H36" s="131" t="s">
        <v>312</v>
      </c>
      <c r="I36" s="131" t="s">
        <v>312</v>
      </c>
      <c r="J36" s="65">
        <f t="shared" si="0"/>
        <v>37.345372913302306</v>
      </c>
      <c r="K36" s="65">
        <f t="shared" si="1"/>
        <v>61.53101349254343</v>
      </c>
      <c r="L36" s="37"/>
    </row>
    <row r="37" spans="1:26" ht="12.95" customHeight="1" outlineLevel="1" x14ac:dyDescent="0.2">
      <c r="B37" s="143" t="s">
        <v>130</v>
      </c>
      <c r="C37" s="64">
        <f>806541050</f>
        <v>806541050</v>
      </c>
      <c r="D37" s="64">
        <f>402943942</f>
        <v>402943942</v>
      </c>
      <c r="E37" s="131" t="s">
        <v>312</v>
      </c>
      <c r="F37" s="131" t="s">
        <v>312</v>
      </c>
      <c r="G37" s="131" t="s">
        <v>312</v>
      </c>
      <c r="H37" s="131" t="s">
        <v>312</v>
      </c>
      <c r="I37" s="131" t="s">
        <v>312</v>
      </c>
      <c r="J37" s="65">
        <f t="shared" si="0"/>
        <v>1.9409360942137068</v>
      </c>
      <c r="K37" s="65">
        <f t="shared" si="1"/>
        <v>49.959508198621755</v>
      </c>
      <c r="L37" s="37"/>
    </row>
    <row r="38" spans="1:26" ht="12.95" customHeight="1" outlineLevel="1" x14ac:dyDescent="0.2">
      <c r="B38" s="143" t="s">
        <v>132</v>
      </c>
      <c r="C38" s="64">
        <f>2729477171</f>
        <v>2729477171</v>
      </c>
      <c r="D38" s="64">
        <f>1364738622</f>
        <v>1364738622</v>
      </c>
      <c r="E38" s="131" t="s">
        <v>312</v>
      </c>
      <c r="F38" s="131" t="s">
        <v>312</v>
      </c>
      <c r="G38" s="131" t="s">
        <v>312</v>
      </c>
      <c r="H38" s="131" t="s">
        <v>312</v>
      </c>
      <c r="I38" s="131" t="s">
        <v>312</v>
      </c>
      <c r="J38" s="65">
        <f t="shared" si="0"/>
        <v>6.573793956200678</v>
      </c>
      <c r="K38" s="65">
        <f t="shared" si="1"/>
        <v>50.000001337252435</v>
      </c>
      <c r="L38" s="37"/>
    </row>
    <row r="39" spans="1:26" s="6" customFormat="1" ht="12.95" customHeight="1" outlineLevel="1" x14ac:dyDescent="0.2">
      <c r="B39" s="143" t="s">
        <v>129</v>
      </c>
      <c r="C39" s="64">
        <f>97578597</f>
        <v>97578597</v>
      </c>
      <c r="D39" s="64">
        <f>35999000</f>
        <v>35999000</v>
      </c>
      <c r="E39" s="131" t="s">
        <v>312</v>
      </c>
      <c r="F39" s="131" t="s">
        <v>312</v>
      </c>
      <c r="G39" s="131" t="s">
        <v>312</v>
      </c>
      <c r="H39" s="131" t="s">
        <v>312</v>
      </c>
      <c r="I39" s="131" t="s">
        <v>312</v>
      </c>
      <c r="J39" s="65">
        <f t="shared" si="0"/>
        <v>0.17340317392238952</v>
      </c>
      <c r="K39" s="65">
        <f t="shared" si="1"/>
        <v>36.892311538359174</v>
      </c>
      <c r="L39" s="38"/>
    </row>
    <row r="40" spans="1:26" s="6" customFormat="1" ht="12.95" customHeight="1" x14ac:dyDescent="0.2">
      <c r="B40" s="140" t="s">
        <v>5</v>
      </c>
      <c r="C40" s="90">
        <f>+C5</f>
        <v>42954205386.889999</v>
      </c>
      <c r="D40" s="90">
        <f>+D5</f>
        <v>20760288976.09</v>
      </c>
      <c r="E40" s="131" t="s">
        <v>312</v>
      </c>
      <c r="F40" s="131" t="s">
        <v>312</v>
      </c>
      <c r="G40" s="131" t="s">
        <v>312</v>
      </c>
      <c r="H40" s="131" t="s">
        <v>312</v>
      </c>
      <c r="I40" s="131" t="s">
        <v>312</v>
      </c>
      <c r="J40" s="91">
        <f>IF($D$5=0,"",100*$D40/$D$40)</f>
        <v>100</v>
      </c>
      <c r="K40" s="91">
        <f t="shared" si="1"/>
        <v>48.33121411303356</v>
      </c>
    </row>
    <row r="41" spans="1:26" s="6" customFormat="1" ht="12.95" customHeight="1" x14ac:dyDescent="0.2">
      <c r="B41" s="150" t="s">
        <v>218</v>
      </c>
      <c r="C41" s="64">
        <f>9425416375.98</f>
        <v>9425416375.9799995</v>
      </c>
      <c r="D41" s="64">
        <f>1821594751.18</f>
        <v>1821594751.1800001</v>
      </c>
      <c r="E41" s="131" t="s">
        <v>312</v>
      </c>
      <c r="F41" s="131" t="s">
        <v>312</v>
      </c>
      <c r="G41" s="131" t="s">
        <v>312</v>
      </c>
      <c r="H41" s="131" t="s">
        <v>312</v>
      </c>
      <c r="I41" s="131" t="s">
        <v>312</v>
      </c>
      <c r="J41" s="65">
        <f>IF($D$5=0,"",100*$D41/$D$40)</f>
        <v>8.7744190520563734</v>
      </c>
      <c r="K41" s="65">
        <f t="shared" si="1"/>
        <v>19.326411465727965</v>
      </c>
    </row>
    <row r="42" spans="1:26" s="6" customFormat="1" ht="12.95" customHeight="1" x14ac:dyDescent="0.2">
      <c r="A42" s="3"/>
      <c r="B42" s="150" t="s">
        <v>219</v>
      </c>
      <c r="C42" s="64">
        <f>C40-C41</f>
        <v>33528789010.91</v>
      </c>
      <c r="D42" s="64">
        <f>D40-D41</f>
        <v>18938694224.91</v>
      </c>
      <c r="E42" s="131" t="s">
        <v>312</v>
      </c>
      <c r="F42" s="131" t="s">
        <v>312</v>
      </c>
      <c r="G42" s="131" t="s">
        <v>312</v>
      </c>
      <c r="H42" s="131" t="s">
        <v>312</v>
      </c>
      <c r="I42" s="131" t="s">
        <v>312</v>
      </c>
      <c r="J42" s="65">
        <f>IF($D$5=0,"",100*$D42/$D$40)</f>
        <v>91.225580947943627</v>
      </c>
      <c r="K42" s="65">
        <f t="shared" si="1"/>
        <v>56.484873995143396</v>
      </c>
      <c r="M42" s="18"/>
      <c r="N42" s="18"/>
      <c r="O42" s="10"/>
      <c r="P42" s="10"/>
      <c r="Q42" s="4"/>
    </row>
    <row r="43" spans="1:26" s="6" customFormat="1" ht="12.95" customHeight="1" x14ac:dyDescent="0.2">
      <c r="A43" s="3"/>
      <c r="B43" s="163" t="s">
        <v>323</v>
      </c>
      <c r="C43" s="110"/>
      <c r="D43" s="110"/>
      <c r="E43" s="162"/>
      <c r="F43" s="162"/>
      <c r="G43" s="162"/>
      <c r="H43" s="162"/>
      <c r="I43" s="162"/>
      <c r="J43" s="89"/>
      <c r="K43" s="89"/>
      <c r="M43" s="18"/>
      <c r="N43" s="18"/>
      <c r="O43" s="10"/>
      <c r="P43" s="10"/>
      <c r="Q43" s="4"/>
    </row>
    <row r="44" spans="1:26" ht="20.100000000000001" customHeight="1" x14ac:dyDescent="0.2">
      <c r="B44" s="151" t="str">
        <f>CONCATENATE("Informacja z wykonania budżetów powiatów za ",$D$103," ",$C$104," rok     ",$C$106,"")</f>
        <v xml:space="preserve">Informacja z wykonania budżetów powiatów za II Kwartały 2023 rok     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</row>
    <row r="45" spans="1:26" s="6" customFormat="1" ht="9" customHeight="1" x14ac:dyDescent="0.2">
      <c r="B45" s="7"/>
      <c r="C45" s="8"/>
      <c r="D45" s="9"/>
      <c r="E45" s="9"/>
      <c r="F45" s="5"/>
      <c r="G45" s="5"/>
      <c r="H45" s="5"/>
      <c r="I45" s="5"/>
      <c r="J45" s="5"/>
      <c r="K45" s="10"/>
      <c r="L45" s="10"/>
      <c r="M45" s="4"/>
    </row>
    <row r="46" spans="1:26" ht="29.25" customHeight="1" x14ac:dyDescent="0.2">
      <c r="B46" s="187" t="s">
        <v>0</v>
      </c>
      <c r="C46" s="169" t="s">
        <v>149</v>
      </c>
      <c r="D46" s="169" t="s">
        <v>151</v>
      </c>
      <c r="E46" s="169" t="s">
        <v>150</v>
      </c>
      <c r="F46" s="169" t="s">
        <v>34</v>
      </c>
      <c r="G46" s="169"/>
      <c r="H46" s="169"/>
      <c r="I46" s="188" t="s">
        <v>269</v>
      </c>
      <c r="J46" s="169" t="s">
        <v>2</v>
      </c>
      <c r="K46" s="173" t="s">
        <v>61</v>
      </c>
      <c r="M46" s="11"/>
      <c r="N46" s="107"/>
      <c r="O46" s="1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 x14ac:dyDescent="0.2">
      <c r="B47" s="187"/>
      <c r="C47" s="169"/>
      <c r="D47" s="169"/>
      <c r="E47" s="170"/>
      <c r="F47" s="171" t="s">
        <v>152</v>
      </c>
      <c r="G47" s="185" t="s">
        <v>125</v>
      </c>
      <c r="H47" s="170"/>
      <c r="I47" s="189"/>
      <c r="J47" s="169"/>
      <c r="K47" s="173"/>
      <c r="L47" s="12"/>
      <c r="M47" s="13"/>
      <c r="N47" s="108"/>
      <c r="O47" s="11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57" customHeight="1" x14ac:dyDescent="0.2">
      <c r="B48" s="187"/>
      <c r="C48" s="169"/>
      <c r="D48" s="169"/>
      <c r="E48" s="170"/>
      <c r="F48" s="170"/>
      <c r="G48" s="20" t="s">
        <v>136</v>
      </c>
      <c r="H48" s="20" t="s">
        <v>137</v>
      </c>
      <c r="I48" s="190"/>
      <c r="J48" s="169"/>
      <c r="K48" s="173"/>
      <c r="L48" s="12"/>
      <c r="M48" s="11"/>
      <c r="N48" s="108"/>
      <c r="O48" s="110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ht="13.5" customHeight="1" x14ac:dyDescent="0.2">
      <c r="B49" s="187"/>
      <c r="C49" s="191" t="s">
        <v>236</v>
      </c>
      <c r="D49" s="192"/>
      <c r="E49" s="192"/>
      <c r="F49" s="192"/>
      <c r="G49" s="192"/>
      <c r="H49" s="192"/>
      <c r="I49" s="193"/>
      <c r="J49" s="194" t="s">
        <v>4</v>
      </c>
      <c r="K49" s="194"/>
      <c r="N49" s="11"/>
      <c r="O49" s="11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ht="11.25" customHeight="1" x14ac:dyDescent="0.2">
      <c r="B50" s="19">
        <v>1</v>
      </c>
      <c r="C50" s="21">
        <v>2</v>
      </c>
      <c r="D50" s="21">
        <v>3</v>
      </c>
      <c r="E50" s="21">
        <v>4</v>
      </c>
      <c r="F50" s="19">
        <v>5</v>
      </c>
      <c r="G50" s="19">
        <v>6</v>
      </c>
      <c r="H50" s="21">
        <v>7</v>
      </c>
      <c r="I50" s="21">
        <v>8</v>
      </c>
      <c r="J50" s="19">
        <v>9</v>
      </c>
      <c r="K50" s="21">
        <v>10</v>
      </c>
      <c r="M50" s="11"/>
      <c r="N50" s="11"/>
      <c r="O50" s="110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ht="26.85" customHeight="1" x14ac:dyDescent="0.2">
      <c r="B51" s="137" t="s">
        <v>168</v>
      </c>
      <c r="C51" s="92">
        <f>48755309974.48</f>
        <v>48755309974.480003</v>
      </c>
      <c r="D51" s="105">
        <f>19753474183.58</f>
        <v>19753474183.580002</v>
      </c>
      <c r="E51" s="105">
        <f>36087231276.4</f>
        <v>36087231276.400002</v>
      </c>
      <c r="F51" s="92">
        <f>1064740877.55</f>
        <v>1064740877.55</v>
      </c>
      <c r="G51" s="92">
        <f>7947185.49</f>
        <v>7947185.4900000002</v>
      </c>
      <c r="H51" s="92">
        <f>2989389.13</f>
        <v>2989389.13</v>
      </c>
      <c r="I51" s="114">
        <f>0</f>
        <v>0</v>
      </c>
      <c r="J51" s="82">
        <f>IF($D$51=0,"",100*$D51/$D$51)</f>
        <v>100</v>
      </c>
      <c r="K51" s="82">
        <f>IF(C51=0,"",100*D51/C51)</f>
        <v>40.515533987825258</v>
      </c>
      <c r="O51" s="109"/>
    </row>
    <row r="52" spans="2:26" ht="12.95" customHeight="1" x14ac:dyDescent="0.2">
      <c r="B52" s="23" t="s">
        <v>36</v>
      </c>
      <c r="C52" s="70">
        <f>13971438497.22</f>
        <v>13971438497.219999</v>
      </c>
      <c r="D52" s="70">
        <f>2630823546.81</f>
        <v>2630823546.8099999</v>
      </c>
      <c r="E52" s="70">
        <f>8490761010.31</f>
        <v>8490761010.3100004</v>
      </c>
      <c r="F52" s="70">
        <f>376556144.74</f>
        <v>376556144.74000001</v>
      </c>
      <c r="G52" s="70">
        <f>46.23</f>
        <v>46.23</v>
      </c>
      <c r="H52" s="70">
        <f>9353.17</f>
        <v>9353.17</v>
      </c>
      <c r="I52" s="115">
        <f>0</f>
        <v>0</v>
      </c>
      <c r="J52" s="82">
        <f t="shared" ref="J52:J60" si="2">IF($D$51=0,"",100*$D52/$D$51)</f>
        <v>13.318282760593384</v>
      </c>
      <c r="K52" s="82">
        <f t="shared" ref="K52:K60" si="3">IF(C52=0,"",100*D52/C52)</f>
        <v>18.830012008666642</v>
      </c>
      <c r="O52" s="110"/>
    </row>
    <row r="53" spans="2:26" ht="12.95" customHeight="1" outlineLevel="1" x14ac:dyDescent="0.2">
      <c r="B53" s="24" t="s">
        <v>35</v>
      </c>
      <c r="C53" s="67">
        <f>13920423871.2</f>
        <v>13920423871.200001</v>
      </c>
      <c r="D53" s="67">
        <f>2599799820.99</f>
        <v>2599799820.9899998</v>
      </c>
      <c r="E53" s="67">
        <f>8458937284.49</f>
        <v>8458937284.4899998</v>
      </c>
      <c r="F53" s="67">
        <f>376556144.74</f>
        <v>376556144.74000001</v>
      </c>
      <c r="G53" s="67">
        <f>46.23</f>
        <v>46.23</v>
      </c>
      <c r="H53" s="67">
        <f>9353.17</f>
        <v>9353.17</v>
      </c>
      <c r="I53" s="116">
        <f>0</f>
        <v>0</v>
      </c>
      <c r="J53" s="82">
        <f t="shared" si="2"/>
        <v>13.16122823169543</v>
      </c>
      <c r="K53" s="82">
        <f t="shared" si="3"/>
        <v>18.676154153385603</v>
      </c>
      <c r="O53" s="109"/>
    </row>
    <row r="54" spans="2:26" ht="26.85" customHeight="1" x14ac:dyDescent="0.2">
      <c r="B54" s="23" t="s">
        <v>169</v>
      </c>
      <c r="C54" s="70">
        <f t="shared" ref="C54:I54" si="4">C51-C52</f>
        <v>34783871477.260002</v>
      </c>
      <c r="D54" s="70">
        <f>D51-D52</f>
        <v>17122650636.770002</v>
      </c>
      <c r="E54" s="70">
        <f>E51-E52</f>
        <v>27596470266.09</v>
      </c>
      <c r="F54" s="70">
        <f t="shared" si="4"/>
        <v>688184732.80999994</v>
      </c>
      <c r="G54" s="70">
        <f t="shared" si="4"/>
        <v>7947139.2599999998</v>
      </c>
      <c r="H54" s="70">
        <f t="shared" si="4"/>
        <v>2980035.96</v>
      </c>
      <c r="I54" s="115">
        <f t="shared" si="4"/>
        <v>0</v>
      </c>
      <c r="J54" s="82">
        <f t="shared" si="2"/>
        <v>86.681717239406623</v>
      </c>
      <c r="K54" s="82">
        <f t="shared" si="3"/>
        <v>49.22583343824725</v>
      </c>
      <c r="O54" s="109"/>
    </row>
    <row r="55" spans="2:26" ht="22.5" outlineLevel="1" x14ac:dyDescent="0.2">
      <c r="B55" s="24" t="s">
        <v>311</v>
      </c>
      <c r="C55" s="67">
        <f>21674094442.23</f>
        <v>21674094442.23</v>
      </c>
      <c r="D55" s="67">
        <f>11209051670.34</f>
        <v>11209051670.34</v>
      </c>
      <c r="E55" s="67">
        <f>19172945204.03</f>
        <v>19172945204.029999</v>
      </c>
      <c r="F55" s="67">
        <f>423937586.46</f>
        <v>423937586.45999998</v>
      </c>
      <c r="G55" s="67">
        <f>1971.94</f>
        <v>1971.94</v>
      </c>
      <c r="H55" s="67">
        <f>3471.02</f>
        <v>3471.02</v>
      </c>
      <c r="I55" s="116">
        <f>0</f>
        <v>0</v>
      </c>
      <c r="J55" s="82">
        <f t="shared" si="2"/>
        <v>56.744710151581742</v>
      </c>
      <c r="K55" s="82">
        <f t="shared" si="3"/>
        <v>51.71635521020977</v>
      </c>
      <c r="O55" s="110"/>
    </row>
    <row r="56" spans="2:26" ht="12.95" customHeight="1" outlineLevel="1" x14ac:dyDescent="0.2">
      <c r="B56" s="42" t="s">
        <v>135</v>
      </c>
      <c r="C56" s="93">
        <f>2697126963.67</f>
        <v>2697126963.6700001</v>
      </c>
      <c r="D56" s="93">
        <f>1383196783.42</f>
        <v>1383196783.4200001</v>
      </c>
      <c r="E56" s="93">
        <f>1979639365.86</f>
        <v>1979639365.8599999</v>
      </c>
      <c r="F56" s="93">
        <f>2090020.86</f>
        <v>2090020.86</v>
      </c>
      <c r="G56" s="93">
        <f>0</f>
        <v>0</v>
      </c>
      <c r="H56" s="93">
        <f>0</f>
        <v>0</v>
      </c>
      <c r="I56" s="117">
        <f>0</f>
        <v>0</v>
      </c>
      <c r="J56" s="82">
        <f t="shared" si="2"/>
        <v>7.0022962571808094</v>
      </c>
      <c r="K56" s="82">
        <f t="shared" si="3"/>
        <v>51.284081248361929</v>
      </c>
    </row>
    <row r="57" spans="2:26" ht="12.95" customHeight="1" outlineLevel="1" x14ac:dyDescent="0.2">
      <c r="B57" s="42" t="s">
        <v>134</v>
      </c>
      <c r="C57" s="64">
        <f>470572651.15</f>
        <v>470572651.14999998</v>
      </c>
      <c r="D57" s="64">
        <f>229038569.76</f>
        <v>229038569.75999999</v>
      </c>
      <c r="E57" s="64">
        <f>301583237.11</f>
        <v>301583237.11000001</v>
      </c>
      <c r="F57" s="64">
        <f>18303290.28</f>
        <v>18303290.280000001</v>
      </c>
      <c r="G57" s="64">
        <f>0</f>
        <v>0</v>
      </c>
      <c r="H57" s="64">
        <f>0</f>
        <v>0</v>
      </c>
      <c r="I57" s="118">
        <f>0</f>
        <v>0</v>
      </c>
      <c r="J57" s="82">
        <f t="shared" si="2"/>
        <v>1.1594849980890318</v>
      </c>
      <c r="K57" s="82">
        <f t="shared" si="3"/>
        <v>48.672307921055008</v>
      </c>
    </row>
    <row r="58" spans="2:26" ht="22.5" customHeight="1" outlineLevel="1" x14ac:dyDescent="0.2">
      <c r="B58" s="42" t="s">
        <v>198</v>
      </c>
      <c r="C58" s="93">
        <f>38921166.41</f>
        <v>38921166.409999996</v>
      </c>
      <c r="D58" s="93">
        <f>466666.5</f>
        <v>466666.5</v>
      </c>
      <c r="E58" s="93">
        <f>1962217.47</f>
        <v>1962217.47</v>
      </c>
      <c r="F58" s="93">
        <f>0</f>
        <v>0</v>
      </c>
      <c r="G58" s="93">
        <f>0</f>
        <v>0</v>
      </c>
      <c r="H58" s="93">
        <f>0</f>
        <v>0</v>
      </c>
      <c r="I58" s="117">
        <f>0</f>
        <v>0</v>
      </c>
      <c r="J58" s="82">
        <f t="shared" si="2"/>
        <v>2.3624527800173737E-3</v>
      </c>
      <c r="K58" s="82">
        <f t="shared" si="3"/>
        <v>1.1990044056852818</v>
      </c>
    </row>
    <row r="59" spans="2:26" ht="12.95" customHeight="1" outlineLevel="1" x14ac:dyDescent="0.2">
      <c r="B59" s="42" t="s">
        <v>212</v>
      </c>
      <c r="C59" s="93">
        <f>1112865846.15</f>
        <v>1112865846.1500001</v>
      </c>
      <c r="D59" s="93">
        <f>508723486.54</f>
        <v>508723486.54000002</v>
      </c>
      <c r="E59" s="93">
        <f>779117165.99</f>
        <v>779117165.99000001</v>
      </c>
      <c r="F59" s="93">
        <f>8901805.96000001</f>
        <v>8901805.9600000102</v>
      </c>
      <c r="G59" s="93">
        <f>0</f>
        <v>0</v>
      </c>
      <c r="H59" s="93">
        <f>0</f>
        <v>0</v>
      </c>
      <c r="I59" s="119">
        <f>0</f>
        <v>0</v>
      </c>
      <c r="J59" s="82">
        <f t="shared" si="2"/>
        <v>2.5753620948505067</v>
      </c>
      <c r="K59" s="82">
        <f t="shared" si="3"/>
        <v>45.712921130605942</v>
      </c>
    </row>
    <row r="60" spans="2:26" ht="12.95" customHeight="1" outlineLevel="1" x14ac:dyDescent="0.2">
      <c r="B60" s="24" t="s">
        <v>133</v>
      </c>
      <c r="C60" s="67">
        <f t="shared" ref="C60:I60" si="5">C54-C55-C56-C57-C58-C59</f>
        <v>8790290407.6500034</v>
      </c>
      <c r="D60" s="67">
        <f>D54-D55-D56-D57-D58-D59</f>
        <v>3792173460.2100019</v>
      </c>
      <c r="E60" s="120">
        <f>E54-E55-E56-E57-E58-E59</f>
        <v>5361223075.630002</v>
      </c>
      <c r="F60" s="120">
        <f t="shared" si="5"/>
        <v>234952029.24999994</v>
      </c>
      <c r="G60" s="120">
        <f t="shared" si="5"/>
        <v>7945167.3199999994</v>
      </c>
      <c r="H60" s="120">
        <f t="shared" si="5"/>
        <v>2976564.94</v>
      </c>
      <c r="I60" s="121">
        <f t="shared" si="5"/>
        <v>0</v>
      </c>
      <c r="J60" s="82">
        <f t="shared" si="2"/>
        <v>19.19750128492451</v>
      </c>
      <c r="K60" s="82">
        <f t="shared" si="3"/>
        <v>43.14047982885473</v>
      </c>
    </row>
    <row r="61" spans="2:26" ht="12.95" customHeight="1" x14ac:dyDescent="0.2">
      <c r="B61" s="137" t="s">
        <v>48</v>
      </c>
      <c r="C61" s="96">
        <f>C5-C51</f>
        <v>-5801104587.590004</v>
      </c>
      <c r="D61" s="96">
        <f>D5-D51</f>
        <v>1006814792.5099983</v>
      </c>
      <c r="E61" s="126"/>
      <c r="F61" s="127"/>
      <c r="G61" s="127"/>
      <c r="H61" s="127"/>
      <c r="I61" s="172"/>
      <c r="J61" s="172"/>
      <c r="K61" s="128"/>
      <c r="L61" s="122"/>
      <c r="M61" s="14"/>
    </row>
    <row r="62" spans="2:26" ht="39" customHeight="1" x14ac:dyDescent="0.2">
      <c r="B62" s="138" t="s">
        <v>320</v>
      </c>
      <c r="C62" s="97">
        <f>C42-C54</f>
        <v>-1255082466.3500023</v>
      </c>
      <c r="D62" s="97">
        <f>D42-D54</f>
        <v>1816043588.1399975</v>
      </c>
      <c r="E62" s="125"/>
      <c r="F62" s="123"/>
      <c r="G62" s="123"/>
      <c r="H62" s="123"/>
      <c r="I62" s="123"/>
      <c r="J62" s="123"/>
      <c r="K62" s="124"/>
      <c r="L62" s="124"/>
      <c r="M62" s="11"/>
    </row>
    <row r="63" spans="2:26" ht="12" customHeight="1" x14ac:dyDescent="0.2">
      <c r="B63" s="69"/>
      <c r="C63" s="74"/>
      <c r="D63" s="74"/>
      <c r="E63" s="74"/>
      <c r="F63" s="75"/>
      <c r="G63" s="75"/>
      <c r="H63" s="75"/>
      <c r="I63" s="75"/>
      <c r="J63" s="72"/>
      <c r="K63" s="72"/>
      <c r="L63" s="73"/>
      <c r="M63" s="11"/>
    </row>
    <row r="64" spans="2:26" ht="12" customHeight="1" x14ac:dyDescent="0.2">
      <c r="B64" s="160" t="s">
        <v>324</v>
      </c>
      <c r="C64" s="74"/>
      <c r="D64" s="74"/>
      <c r="E64" s="74"/>
      <c r="F64" s="75"/>
      <c r="G64" s="75"/>
      <c r="H64" s="75"/>
      <c r="I64" s="75"/>
      <c r="J64" s="72"/>
      <c r="K64" s="72"/>
      <c r="L64" s="73"/>
      <c r="M64" s="11"/>
    </row>
    <row r="65" spans="2:13" ht="26.85" customHeight="1" x14ac:dyDescent="0.2">
      <c r="B65" s="158" t="s">
        <v>319</v>
      </c>
      <c r="C65" s="156">
        <f>1768343298.53</f>
        <v>1768343298.53</v>
      </c>
      <c r="D65" s="94">
        <f>607123886.97</f>
        <v>607123886.97000003</v>
      </c>
      <c r="E65" s="94">
        <f>983691391.58</f>
        <v>983691391.58000004</v>
      </c>
      <c r="F65" s="94">
        <f>36615615.57</f>
        <v>36615615.57</v>
      </c>
      <c r="G65" s="94">
        <f>0</f>
        <v>0</v>
      </c>
      <c r="H65" s="94">
        <f>0</f>
        <v>0</v>
      </c>
      <c r="I65" s="94">
        <f>0</f>
        <v>0</v>
      </c>
      <c r="J65" s="82">
        <f>IF($D$65=0,"",100*$D65/$D$65)</f>
        <v>100</v>
      </c>
      <c r="K65" s="95">
        <f>IF(C65=0,"",100*D65/C65)</f>
        <v>34.332919828106562</v>
      </c>
      <c r="L65" s="11"/>
    </row>
    <row r="66" spans="2:13" ht="12.95" customHeight="1" x14ac:dyDescent="0.2">
      <c r="B66" s="159" t="s">
        <v>221</v>
      </c>
      <c r="C66" s="157">
        <f>1074802486.23</f>
        <v>1074802486.23</v>
      </c>
      <c r="D66" s="93">
        <f>266310983.46</f>
        <v>266310983.46000001</v>
      </c>
      <c r="E66" s="93">
        <f>546965920.99</f>
        <v>546965920.99000001</v>
      </c>
      <c r="F66" s="93">
        <f>28669526.22</f>
        <v>28669526.219999999</v>
      </c>
      <c r="G66" s="93">
        <f>0</f>
        <v>0</v>
      </c>
      <c r="H66" s="93">
        <f>0</f>
        <v>0</v>
      </c>
      <c r="I66" s="93">
        <f>0</f>
        <v>0</v>
      </c>
      <c r="J66" s="82">
        <f>IF($D$65=0,"",100*$D66/$D$65)</f>
        <v>43.864356052450837</v>
      </c>
      <c r="K66" s="95">
        <f>IF(C66=0,"",100*D66/C66)</f>
        <v>24.777667233922955</v>
      </c>
    </row>
    <row r="67" spans="2:13" ht="12.95" customHeight="1" x14ac:dyDescent="0.2">
      <c r="B67" s="159" t="s">
        <v>222</v>
      </c>
      <c r="C67" s="157">
        <f>C65-C66</f>
        <v>693540812.29999995</v>
      </c>
      <c r="D67" s="93">
        <f t="shared" ref="D67:I67" si="6">D65-D66</f>
        <v>340812903.50999999</v>
      </c>
      <c r="E67" s="93">
        <f t="shared" si="6"/>
        <v>436725470.59000003</v>
      </c>
      <c r="F67" s="93">
        <f t="shared" si="6"/>
        <v>7946089.3500000015</v>
      </c>
      <c r="G67" s="93">
        <f t="shared" si="6"/>
        <v>0</v>
      </c>
      <c r="H67" s="93">
        <f t="shared" si="6"/>
        <v>0</v>
      </c>
      <c r="I67" s="93">
        <f t="shared" si="6"/>
        <v>0</v>
      </c>
      <c r="J67" s="82">
        <f>IF($D$65=0,"",100*$D67/$D$65)</f>
        <v>56.135643947549156</v>
      </c>
      <c r="K67" s="95">
        <f>IF(C67=0,"",100*D67/C67)</f>
        <v>49.141001865449994</v>
      </c>
    </row>
    <row r="68" spans="2:13" ht="20.100000000000001" customHeight="1" x14ac:dyDescent="0.2">
      <c r="B68" s="151" t="str">
        <f>CONCATENATE("Informacja z wykonania budżetów powiatów za ",$D$103," ",$C$104," rok     ",$C$106,"")</f>
        <v xml:space="preserve">Informacja z wykonania budżetów powiatów za II Kwartały 2023 rok     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</row>
    <row r="69" spans="2:13" x14ac:dyDescent="0.2">
      <c r="B69" s="54" t="s">
        <v>49</v>
      </c>
      <c r="C69" s="129" t="s">
        <v>50</v>
      </c>
      <c r="D69" s="104" t="s">
        <v>1</v>
      </c>
      <c r="E69" s="176" t="s">
        <v>312</v>
      </c>
      <c r="F69" s="177"/>
      <c r="G69" s="177"/>
      <c r="H69" s="177"/>
      <c r="I69" s="178"/>
      <c r="J69" s="21" t="s">
        <v>91</v>
      </c>
      <c r="K69" s="21" t="s">
        <v>92</v>
      </c>
    </row>
    <row r="70" spans="2:13" x14ac:dyDescent="0.2">
      <c r="B70" s="54"/>
      <c r="C70" s="171" t="s">
        <v>236</v>
      </c>
      <c r="D70" s="186"/>
      <c r="E70" s="179"/>
      <c r="F70" s="180"/>
      <c r="G70" s="180"/>
      <c r="H70" s="180"/>
      <c r="I70" s="181"/>
      <c r="J70" s="167" t="s">
        <v>4</v>
      </c>
      <c r="K70" s="168"/>
    </row>
    <row r="71" spans="2:13" x14ac:dyDescent="0.2">
      <c r="B71" s="52">
        <v>1</v>
      </c>
      <c r="C71" s="61">
        <v>2</v>
      </c>
      <c r="D71" s="53">
        <v>3</v>
      </c>
      <c r="E71" s="182"/>
      <c r="F71" s="183"/>
      <c r="G71" s="183"/>
      <c r="H71" s="183"/>
      <c r="I71" s="184"/>
      <c r="J71" s="53">
        <v>4</v>
      </c>
      <c r="K71" s="53">
        <v>5</v>
      </c>
    </row>
    <row r="72" spans="2:13" ht="26.85" customHeight="1" x14ac:dyDescent="0.2">
      <c r="B72" s="139" t="s">
        <v>170</v>
      </c>
      <c r="C72" s="76">
        <f>6638690548.15</f>
        <v>6638690548.1499996</v>
      </c>
      <c r="D72" s="105">
        <f>5752037532.08</f>
        <v>5752037532.0799999</v>
      </c>
      <c r="E72" s="136" t="s">
        <v>312</v>
      </c>
      <c r="F72" s="136" t="s">
        <v>312</v>
      </c>
      <c r="G72" s="136" t="s">
        <v>312</v>
      </c>
      <c r="H72" s="136" t="s">
        <v>312</v>
      </c>
      <c r="I72" s="136" t="s">
        <v>312</v>
      </c>
      <c r="J72" s="77">
        <f>IF($D$72=0,"",100*$D72/$D$72)</f>
        <v>100</v>
      </c>
      <c r="K72" s="71">
        <f t="shared" ref="K72:K86" si="7">IF(C72=0,"",100*D72/C72)</f>
        <v>86.644158066426471</v>
      </c>
    </row>
    <row r="73" spans="2:13" ht="25.5" customHeight="1" x14ac:dyDescent="0.2">
      <c r="B73" s="153" t="s">
        <v>273</v>
      </c>
      <c r="C73" s="78">
        <f>2230081902.75</f>
        <v>2230081902.75</v>
      </c>
      <c r="D73" s="132">
        <f>125609514.58</f>
        <v>125609514.58</v>
      </c>
      <c r="E73" s="136" t="s">
        <v>312</v>
      </c>
      <c r="F73" s="136" t="s">
        <v>312</v>
      </c>
      <c r="G73" s="136" t="s">
        <v>312</v>
      </c>
      <c r="H73" s="136" t="s">
        <v>312</v>
      </c>
      <c r="I73" s="136" t="s">
        <v>312</v>
      </c>
      <c r="J73" s="79">
        <f t="shared" ref="J73:J82" si="8">IF($D$72=0,"",100*$D73/$D$72)</f>
        <v>2.1837394815220934</v>
      </c>
      <c r="K73" s="80">
        <f t="shared" si="7"/>
        <v>5.6325067893293994</v>
      </c>
    </row>
    <row r="74" spans="2:13" ht="22.5" x14ac:dyDescent="0.2">
      <c r="B74" s="154" t="s">
        <v>274</v>
      </c>
      <c r="C74" s="98">
        <f>134272000</f>
        <v>134272000</v>
      </c>
      <c r="D74" s="88">
        <f>24000000</f>
        <v>24000000</v>
      </c>
      <c r="E74" s="136" t="s">
        <v>312</v>
      </c>
      <c r="F74" s="136" t="s">
        <v>312</v>
      </c>
      <c r="G74" s="136" t="s">
        <v>312</v>
      </c>
      <c r="H74" s="136" t="s">
        <v>312</v>
      </c>
      <c r="I74" s="136" t="s">
        <v>312</v>
      </c>
      <c r="J74" s="99">
        <f t="shared" si="8"/>
        <v>0.41724345270955382</v>
      </c>
      <c r="K74" s="100">
        <f t="shared" si="7"/>
        <v>17.874165872259294</v>
      </c>
    </row>
    <row r="75" spans="2:13" ht="12.95" customHeight="1" x14ac:dyDescent="0.2">
      <c r="B75" s="152" t="s">
        <v>275</v>
      </c>
      <c r="C75" s="98">
        <f>60330968.81</f>
        <v>60330968.810000002</v>
      </c>
      <c r="D75" s="88">
        <f>6617696.18</f>
        <v>6617696.1799999997</v>
      </c>
      <c r="E75" s="136" t="s">
        <v>312</v>
      </c>
      <c r="F75" s="136" t="s">
        <v>312</v>
      </c>
      <c r="G75" s="136" t="s">
        <v>312</v>
      </c>
      <c r="H75" s="136" t="s">
        <v>312</v>
      </c>
      <c r="I75" s="136" t="s">
        <v>312</v>
      </c>
      <c r="J75" s="99">
        <f t="shared" si="8"/>
        <v>0.11504960013025103</v>
      </c>
      <c r="K75" s="100">
        <f t="shared" si="7"/>
        <v>10.968987089932329</v>
      </c>
    </row>
    <row r="76" spans="2:13" ht="48.75" customHeight="1" x14ac:dyDescent="0.2">
      <c r="B76" s="152" t="s">
        <v>300</v>
      </c>
      <c r="C76" s="98">
        <f>1430491457.53</f>
        <v>1430491457.53</v>
      </c>
      <c r="D76" s="88">
        <f>1999342971.77</f>
        <v>1999342971.77</v>
      </c>
      <c r="E76" s="136" t="s">
        <v>312</v>
      </c>
      <c r="F76" s="136" t="s">
        <v>312</v>
      </c>
      <c r="G76" s="136" t="s">
        <v>312</v>
      </c>
      <c r="H76" s="136" t="s">
        <v>312</v>
      </c>
      <c r="I76" s="136" t="s">
        <v>312</v>
      </c>
      <c r="J76" s="99">
        <f t="shared" si="8"/>
        <v>34.758865195495616</v>
      </c>
      <c r="K76" s="100">
        <f t="shared" si="7"/>
        <v>139.76615947236931</v>
      </c>
    </row>
    <row r="77" spans="2:13" ht="35.25" customHeight="1" x14ac:dyDescent="0.2">
      <c r="B77" s="152" t="s">
        <v>301</v>
      </c>
      <c r="C77" s="98">
        <f>853586808.25</f>
        <v>853586808.25</v>
      </c>
      <c r="D77" s="88">
        <f>914506560.69</f>
        <v>914506560.69000006</v>
      </c>
      <c r="E77" s="136" t="s">
        <v>312</v>
      </c>
      <c r="F77" s="136" t="s">
        <v>312</v>
      </c>
      <c r="G77" s="136" t="s">
        <v>312</v>
      </c>
      <c r="H77" s="136" t="s">
        <v>312</v>
      </c>
      <c r="I77" s="136" t="s">
        <v>312</v>
      </c>
      <c r="J77" s="99">
        <f t="shared" si="8"/>
        <v>15.898828121159779</v>
      </c>
      <c r="K77" s="100">
        <f t="shared" si="7"/>
        <v>107.13691353371499</v>
      </c>
    </row>
    <row r="78" spans="2:13" ht="12.95" customHeight="1" x14ac:dyDescent="0.2">
      <c r="B78" s="152" t="s">
        <v>276</v>
      </c>
      <c r="C78" s="98">
        <f>0</f>
        <v>0</v>
      </c>
      <c r="D78" s="88">
        <f>0</f>
        <v>0</v>
      </c>
      <c r="E78" s="136" t="s">
        <v>312</v>
      </c>
      <c r="F78" s="136" t="s">
        <v>312</v>
      </c>
      <c r="G78" s="136" t="s">
        <v>312</v>
      </c>
      <c r="H78" s="136" t="s">
        <v>312</v>
      </c>
      <c r="I78" s="136" t="s">
        <v>312</v>
      </c>
      <c r="J78" s="99">
        <f t="shared" si="8"/>
        <v>0</v>
      </c>
      <c r="K78" s="100" t="str">
        <f t="shared" si="7"/>
        <v/>
      </c>
    </row>
    <row r="79" spans="2:13" ht="33.75" x14ac:dyDescent="0.2">
      <c r="B79" s="152" t="s">
        <v>277</v>
      </c>
      <c r="C79" s="98">
        <f>1928232100.19</f>
        <v>1928232100.1900001</v>
      </c>
      <c r="D79" s="88">
        <f>2543678855.25</f>
        <v>2543678855.25</v>
      </c>
      <c r="E79" s="136" t="s">
        <v>312</v>
      </c>
      <c r="F79" s="136" t="s">
        <v>312</v>
      </c>
      <c r="G79" s="136" t="s">
        <v>312</v>
      </c>
      <c r="H79" s="136" t="s">
        <v>312</v>
      </c>
      <c r="I79" s="136" t="s">
        <v>312</v>
      </c>
      <c r="J79" s="99">
        <f t="shared" si="8"/>
        <v>44.222222839533138</v>
      </c>
      <c r="K79" s="100">
        <f t="shared" si="7"/>
        <v>131.91766981782723</v>
      </c>
    </row>
    <row r="80" spans="2:13" ht="56.25" x14ac:dyDescent="0.2">
      <c r="B80" s="152" t="s">
        <v>370</v>
      </c>
      <c r="C80" s="98">
        <f>0</f>
        <v>0</v>
      </c>
      <c r="D80" s="88">
        <f>26291230.19</f>
        <v>26291230.190000001</v>
      </c>
      <c r="E80" s="136" t="s">
        <v>312</v>
      </c>
      <c r="F80" s="136" t="s">
        <v>312</v>
      </c>
      <c r="G80" s="136" t="s">
        <v>312</v>
      </c>
      <c r="H80" s="136" t="s">
        <v>312</v>
      </c>
      <c r="I80" s="136" t="s">
        <v>312</v>
      </c>
      <c r="J80" s="99">
        <f t="shared" si="8"/>
        <v>0.45707681918571907</v>
      </c>
      <c r="K80" s="100" t="str">
        <f>IF(C80=0,"",100*D80/C80)</f>
        <v/>
      </c>
    </row>
    <row r="81" spans="2:11" x14ac:dyDescent="0.2">
      <c r="B81" s="152" t="s">
        <v>359</v>
      </c>
      <c r="C81" s="98">
        <f>135967310.62</f>
        <v>135967310.62</v>
      </c>
      <c r="D81" s="88">
        <f>135990703.42</f>
        <v>135990703.41999999</v>
      </c>
      <c r="E81" s="136" t="s">
        <v>312</v>
      </c>
      <c r="F81" s="136" t="s">
        <v>312</v>
      </c>
      <c r="G81" s="136" t="s">
        <v>312</v>
      </c>
      <c r="H81" s="136" t="s">
        <v>312</v>
      </c>
      <c r="I81" s="136" t="s">
        <v>312</v>
      </c>
      <c r="J81" s="99">
        <f t="shared" si="8"/>
        <v>2.3642179429734052</v>
      </c>
      <c r="K81" s="100">
        <f>IF(C81=0,"",100*D81/C81)</f>
        <v>100.01720472361578</v>
      </c>
    </row>
    <row r="82" spans="2:11" ht="23.25" customHeight="1" x14ac:dyDescent="0.2">
      <c r="B82" s="154" t="s">
        <v>360</v>
      </c>
      <c r="C82" s="98">
        <f>135967310.62</f>
        <v>135967310.62</v>
      </c>
      <c r="D82" s="88">
        <f>135990703.42</f>
        <v>135990703.41999999</v>
      </c>
      <c r="E82" s="136" t="s">
        <v>312</v>
      </c>
      <c r="F82" s="136" t="s">
        <v>312</v>
      </c>
      <c r="G82" s="136" t="s">
        <v>312</v>
      </c>
      <c r="H82" s="136" t="s">
        <v>312</v>
      </c>
      <c r="I82" s="136" t="s">
        <v>312</v>
      </c>
      <c r="J82" s="99">
        <f t="shared" si="8"/>
        <v>2.3642179429734052</v>
      </c>
      <c r="K82" s="100">
        <f>IF(C82=0,"",100*D82/C82)</f>
        <v>100.01720472361578</v>
      </c>
    </row>
    <row r="83" spans="2:11" ht="26.85" customHeight="1" x14ac:dyDescent="0.2">
      <c r="B83" s="139" t="s">
        <v>171</v>
      </c>
      <c r="C83" s="83">
        <f>837785960.56</f>
        <v>837785960.55999994</v>
      </c>
      <c r="D83" s="105">
        <f>555202100.96</f>
        <v>555202100.96000004</v>
      </c>
      <c r="E83" s="136" t="s">
        <v>312</v>
      </c>
      <c r="F83" s="136" t="s">
        <v>312</v>
      </c>
      <c r="G83" s="136" t="s">
        <v>312</v>
      </c>
      <c r="H83" s="136" t="s">
        <v>312</v>
      </c>
      <c r="I83" s="136" t="s">
        <v>312</v>
      </c>
      <c r="J83" s="77">
        <f t="shared" ref="J83:J88" si="9">IF($D$83=0,"",100*$D83/$D$83)</f>
        <v>100</v>
      </c>
      <c r="K83" s="71">
        <f t="shared" si="7"/>
        <v>66.270160529890845</v>
      </c>
    </row>
    <row r="84" spans="2:11" ht="33.75" x14ac:dyDescent="0.2">
      <c r="B84" s="153" t="s">
        <v>371</v>
      </c>
      <c r="C84" s="78">
        <f>741561099.4</f>
        <v>741561099.39999998</v>
      </c>
      <c r="D84" s="133">
        <f>333255417.52</f>
        <v>333255417.51999998</v>
      </c>
      <c r="E84" s="136" t="s">
        <v>312</v>
      </c>
      <c r="F84" s="136" t="s">
        <v>312</v>
      </c>
      <c r="G84" s="136" t="s">
        <v>312</v>
      </c>
      <c r="H84" s="136" t="s">
        <v>312</v>
      </c>
      <c r="I84" s="136" t="s">
        <v>312</v>
      </c>
      <c r="J84" s="79">
        <f t="shared" si="9"/>
        <v>60.02416362325863</v>
      </c>
      <c r="K84" s="80">
        <f t="shared" si="7"/>
        <v>44.939711345381831</v>
      </c>
    </row>
    <row r="85" spans="2:11" ht="12.95" customHeight="1" x14ac:dyDescent="0.2">
      <c r="B85" s="154" t="s">
        <v>279</v>
      </c>
      <c r="C85" s="98">
        <f>26550000</f>
        <v>26550000</v>
      </c>
      <c r="D85" s="88">
        <f>5300000</f>
        <v>5300000</v>
      </c>
      <c r="E85" s="136" t="s">
        <v>312</v>
      </c>
      <c r="F85" s="136" t="s">
        <v>312</v>
      </c>
      <c r="G85" s="136" t="s">
        <v>312</v>
      </c>
      <c r="H85" s="136" t="s">
        <v>312</v>
      </c>
      <c r="I85" s="136" t="s">
        <v>312</v>
      </c>
      <c r="J85" s="99">
        <f t="shared" si="9"/>
        <v>0.95460733863142255</v>
      </c>
      <c r="K85" s="100">
        <f t="shared" si="7"/>
        <v>19.962335216572505</v>
      </c>
    </row>
    <row r="86" spans="2:11" ht="12.95" customHeight="1" x14ac:dyDescent="0.2">
      <c r="B86" s="152" t="s">
        <v>305</v>
      </c>
      <c r="C86" s="98">
        <f>72985279.56</f>
        <v>72985279.560000002</v>
      </c>
      <c r="D86" s="88">
        <f>59048598.21</f>
        <v>59048598.210000001</v>
      </c>
      <c r="E86" s="136" t="s">
        <v>312</v>
      </c>
      <c r="F86" s="136" t="s">
        <v>312</v>
      </c>
      <c r="G86" s="136" t="s">
        <v>312</v>
      </c>
      <c r="H86" s="136" t="s">
        <v>312</v>
      </c>
      <c r="I86" s="136" t="s">
        <v>312</v>
      </c>
      <c r="J86" s="99">
        <f t="shared" si="9"/>
        <v>10.635514186257412</v>
      </c>
      <c r="K86" s="100">
        <f t="shared" si="7"/>
        <v>80.90480514150407</v>
      </c>
    </row>
    <row r="87" spans="2:11" ht="12.95" customHeight="1" x14ac:dyDescent="0.2">
      <c r="B87" s="152" t="s">
        <v>361</v>
      </c>
      <c r="C87" s="98">
        <f>23239581.6</f>
        <v>23239581.600000001</v>
      </c>
      <c r="D87" s="88">
        <f>162898085.23</f>
        <v>162898085.22999999</v>
      </c>
      <c r="E87" s="136" t="s">
        <v>312</v>
      </c>
      <c r="F87" s="136" t="s">
        <v>312</v>
      </c>
      <c r="G87" s="136" t="s">
        <v>312</v>
      </c>
      <c r="H87" s="136" t="s">
        <v>312</v>
      </c>
      <c r="I87" s="136" t="s">
        <v>312</v>
      </c>
      <c r="J87" s="99">
        <f t="shared" si="9"/>
        <v>29.340322190483949</v>
      </c>
      <c r="K87" s="100">
        <f>IF(C87=0,"",100*D87/C87)</f>
        <v>700.95102413547738</v>
      </c>
    </row>
    <row r="88" spans="2:11" ht="22.5" x14ac:dyDescent="0.2">
      <c r="B88" s="154" t="s">
        <v>362</v>
      </c>
      <c r="C88" s="98">
        <f>8413112.23</f>
        <v>8413112.2300000004</v>
      </c>
      <c r="D88" s="88">
        <f>6635043.44</f>
        <v>6635043.4400000004</v>
      </c>
      <c r="E88" s="136" t="s">
        <v>312</v>
      </c>
      <c r="F88" s="136" t="s">
        <v>312</v>
      </c>
      <c r="G88" s="136" t="s">
        <v>312</v>
      </c>
      <c r="H88" s="136" t="s">
        <v>312</v>
      </c>
      <c r="I88" s="136" t="s">
        <v>312</v>
      </c>
      <c r="J88" s="99">
        <f t="shared" si="9"/>
        <v>1.1950681433891093</v>
      </c>
      <c r="K88" s="100">
        <f>IF(C88=0,"",100*D88/C88)</f>
        <v>78.865504923853834</v>
      </c>
    </row>
    <row r="89" spans="2:11" x14ac:dyDescent="0.2">
      <c r="B89" s="51"/>
    </row>
    <row r="90" spans="2:11" x14ac:dyDescent="0.2">
      <c r="B90" s="84" t="s">
        <v>49</v>
      </c>
      <c r="C90" s="113" t="s">
        <v>50</v>
      </c>
      <c r="D90" s="21" t="s">
        <v>1</v>
      </c>
    </row>
    <row r="91" spans="2:11" x14ac:dyDescent="0.2">
      <c r="B91" s="84"/>
      <c r="C91" s="169" t="s">
        <v>236</v>
      </c>
      <c r="D91" s="169"/>
    </row>
    <row r="92" spans="2:11" x14ac:dyDescent="0.2">
      <c r="B92" s="52">
        <v>1</v>
      </c>
      <c r="C92" s="53">
        <v>2</v>
      </c>
      <c r="D92" s="53">
        <v>3</v>
      </c>
    </row>
    <row r="93" spans="2:11" ht="36" customHeight="1" x14ac:dyDescent="0.2">
      <c r="B93" s="85" t="s">
        <v>372</v>
      </c>
      <c r="C93" s="81">
        <f>5802538787.89</f>
        <v>5802538787.8900003</v>
      </c>
      <c r="D93" s="130">
        <f>0</f>
        <v>0</v>
      </c>
    </row>
    <row r="94" spans="2:11" ht="35.25" customHeight="1" x14ac:dyDescent="0.2">
      <c r="B94" s="155" t="s">
        <v>247</v>
      </c>
      <c r="C94" s="98">
        <f>103278373.89</f>
        <v>103278373.89</v>
      </c>
      <c r="D94" s="88">
        <f>0</f>
        <v>0</v>
      </c>
    </row>
    <row r="95" spans="2:11" ht="12.95" customHeight="1" x14ac:dyDescent="0.2">
      <c r="B95" s="155" t="s">
        <v>250</v>
      </c>
      <c r="C95" s="98">
        <f>1714978757.63</f>
        <v>1714978757.6300001</v>
      </c>
      <c r="D95" s="88">
        <f>0</f>
        <v>0</v>
      </c>
    </row>
    <row r="96" spans="2:11" ht="24" customHeight="1" x14ac:dyDescent="0.2">
      <c r="B96" s="155" t="s">
        <v>253</v>
      </c>
      <c r="C96" s="98">
        <f>0</f>
        <v>0</v>
      </c>
      <c r="D96" s="88">
        <f>0</f>
        <v>0</v>
      </c>
    </row>
    <row r="97" spans="2:4" ht="57.75" customHeight="1" x14ac:dyDescent="0.2">
      <c r="B97" s="155" t="s">
        <v>302</v>
      </c>
      <c r="C97" s="98">
        <f>1373458248.94</f>
        <v>1373458248.9400001</v>
      </c>
      <c r="D97" s="88">
        <f>0</f>
        <v>0</v>
      </c>
    </row>
    <row r="98" spans="2:4" ht="81" customHeight="1" x14ac:dyDescent="0.2">
      <c r="B98" s="155" t="s">
        <v>258</v>
      </c>
      <c r="C98" s="98">
        <f>1623656878.95</f>
        <v>1623656878.95</v>
      </c>
      <c r="D98" s="88">
        <f>0</f>
        <v>0</v>
      </c>
    </row>
    <row r="99" spans="2:4" ht="149.25" customHeight="1" x14ac:dyDescent="0.2">
      <c r="B99" s="155" t="s">
        <v>303</v>
      </c>
      <c r="C99" s="98">
        <f>836140018.96</f>
        <v>836140018.96000004</v>
      </c>
      <c r="D99" s="88">
        <f>0</f>
        <v>0</v>
      </c>
    </row>
    <row r="100" spans="2:4" ht="25.5" customHeight="1" x14ac:dyDescent="0.2">
      <c r="B100" s="155" t="s">
        <v>304</v>
      </c>
      <c r="C100" s="98">
        <f>23653441.45</f>
        <v>23653441.449999999</v>
      </c>
      <c r="D100" s="88">
        <f>0</f>
        <v>0</v>
      </c>
    </row>
    <row r="101" spans="2:4" ht="25.5" customHeight="1" x14ac:dyDescent="0.2">
      <c r="B101" s="166" t="s">
        <v>360</v>
      </c>
      <c r="C101" s="98">
        <f>127373068.07</f>
        <v>127373068.06999999</v>
      </c>
      <c r="D101" s="88">
        <f>0</f>
        <v>0</v>
      </c>
    </row>
    <row r="103" spans="2:4" ht="10.5" customHeight="1" x14ac:dyDescent="0.2">
      <c r="B103" s="50" t="s">
        <v>172</v>
      </c>
      <c r="C103" s="50">
        <f>2</f>
        <v>2</v>
      </c>
      <c r="D103" s="50" t="str">
        <f>IF(C103=1,"I Kwartał",IF(C103=2,"II Kwartały",IF(C103=3,"III Kwartały",IF(C103=4,"IV Kwartały",IF(C103="M1","Styczeń",IF(C103="M11","Listopad",IF(C103="M12","Grudzień","-")))))))</f>
        <v>II Kwartały</v>
      </c>
    </row>
    <row r="104" spans="2:4" ht="10.5" customHeight="1" x14ac:dyDescent="0.2">
      <c r="B104" s="50" t="s">
        <v>173</v>
      </c>
      <c r="C104" s="134">
        <f>2023</f>
        <v>2023</v>
      </c>
      <c r="D104" s="51"/>
    </row>
    <row r="105" spans="2:4" ht="12" customHeight="1" x14ac:dyDescent="0.2">
      <c r="B105" s="50" t="s">
        <v>174</v>
      </c>
      <c r="C105" s="174" t="str">
        <f>"Aug 14 2023 12:00AM"</f>
        <v>Aug 14 2023 12:00AM</v>
      </c>
      <c r="D105" s="175"/>
    </row>
    <row r="106" spans="2:4" ht="9.75" hidden="1" customHeight="1" x14ac:dyDescent="0.2">
      <c r="B106" s="50" t="s">
        <v>217</v>
      </c>
      <c r="C106" s="135" t="str">
        <f>""</f>
        <v/>
      </c>
      <c r="D106" s="51"/>
    </row>
  </sheetData>
  <mergeCells count="22">
    <mergeCell ref="B2:B3"/>
    <mergeCell ref="C46:C48"/>
    <mergeCell ref="B46:B49"/>
    <mergeCell ref="I46:I48"/>
    <mergeCell ref="C49:I49"/>
    <mergeCell ref="J46:J48"/>
    <mergeCell ref="J49:K49"/>
    <mergeCell ref="C3:D3"/>
    <mergeCell ref="J3:L3"/>
    <mergeCell ref="E3:I4"/>
    <mergeCell ref="C105:D105"/>
    <mergeCell ref="E69:I71"/>
    <mergeCell ref="F46:H46"/>
    <mergeCell ref="G47:H47"/>
    <mergeCell ref="C70:D70"/>
    <mergeCell ref="C91:D91"/>
    <mergeCell ref="J70:K70"/>
    <mergeCell ref="D46:D48"/>
    <mergeCell ref="E46:E48"/>
    <mergeCell ref="F47:F48"/>
    <mergeCell ref="I61:J61"/>
    <mergeCell ref="K46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9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08"/>
  <sheetViews>
    <sheetView zoomScaleNormal="100" workbookViewId="0">
      <selection activeCell="B2" sqref="B2:B3"/>
    </sheetView>
  </sheetViews>
  <sheetFormatPr defaultRowHeight="12.75" x14ac:dyDescent="0.2"/>
  <cols>
    <col min="1" max="1" width="7.7109375" style="43" bestFit="1" customWidth="1"/>
    <col min="2" max="2" width="22.85546875" style="1" customWidth="1"/>
    <col min="3" max="6" width="13.85546875" style="1" customWidth="1"/>
    <col min="7" max="10" width="13.5703125" style="1" customWidth="1"/>
    <col min="11" max="11" width="7.42578125" style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43.5" customHeight="1" x14ac:dyDescent="0.2">
      <c r="B1" s="233" t="str">
        <f>CONCATENATE("Informacja z wykonania budżetów powiatów za ",definicja!$D$106," ",definicja!$C$107," rok")</f>
        <v>Informacja z wykonania budżetów powiatów za - 2023 rok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66.75" customHeight="1" x14ac:dyDescent="0.2">
      <c r="B2" s="187" t="s">
        <v>0</v>
      </c>
      <c r="C2" s="17" t="s">
        <v>127</v>
      </c>
      <c r="D2" s="17" t="s">
        <v>128</v>
      </c>
      <c r="E2" s="19" t="s">
        <v>2</v>
      </c>
      <c r="F2" s="17" t="s">
        <v>61</v>
      </c>
      <c r="G2" s="17" t="s">
        <v>3</v>
      </c>
    </row>
    <row r="3" spans="1:13" x14ac:dyDescent="0.2">
      <c r="B3" s="187"/>
      <c r="C3" s="19" t="s">
        <v>139</v>
      </c>
      <c r="D3" s="19" t="s">
        <v>89</v>
      </c>
      <c r="E3" s="194" t="s">
        <v>4</v>
      </c>
      <c r="F3" s="194"/>
      <c r="G3" s="194"/>
    </row>
    <row r="4" spans="1:13" x14ac:dyDescent="0.2">
      <c r="B4" s="19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</row>
    <row r="5" spans="1:13" ht="25.5" customHeight="1" x14ac:dyDescent="0.2">
      <c r="A5" s="43" t="s">
        <v>12</v>
      </c>
      <c r="B5" s="22" t="s">
        <v>5</v>
      </c>
      <c r="C5" s="230" t="s">
        <v>140</v>
      </c>
      <c r="D5" s="230"/>
      <c r="E5" s="230"/>
      <c r="F5" s="39">
        <v>100</v>
      </c>
      <c r="G5" s="39" t="s">
        <v>76</v>
      </c>
      <c r="H5" s="39"/>
    </row>
    <row r="6" spans="1:13" ht="25.5" customHeight="1" x14ac:dyDescent="0.2">
      <c r="A6" s="43" t="s">
        <v>13</v>
      </c>
      <c r="B6" s="23" t="s">
        <v>165</v>
      </c>
      <c r="C6" s="231" t="s">
        <v>310</v>
      </c>
      <c r="D6" s="231"/>
      <c r="E6" s="231"/>
      <c r="F6" s="40" t="s">
        <v>65</v>
      </c>
      <c r="G6" s="40" t="s">
        <v>76</v>
      </c>
      <c r="H6" s="40">
        <v>100</v>
      </c>
    </row>
    <row r="7" spans="1:13" ht="22.5" customHeight="1" x14ac:dyDescent="0.2">
      <c r="A7" s="43" t="s">
        <v>14</v>
      </c>
      <c r="B7" s="42" t="s">
        <v>62</v>
      </c>
      <c r="C7" s="232" t="s">
        <v>187</v>
      </c>
      <c r="D7" s="232"/>
      <c r="E7" s="232"/>
      <c r="F7" s="30" t="s">
        <v>66</v>
      </c>
      <c r="G7" s="30" t="s">
        <v>76</v>
      </c>
      <c r="H7" s="30" t="s">
        <v>77</v>
      </c>
    </row>
    <row r="8" spans="1:13" ht="22.5" customHeight="1" x14ac:dyDescent="0.2">
      <c r="A8" s="43" t="s">
        <v>15</v>
      </c>
      <c r="B8" s="25" t="s">
        <v>126</v>
      </c>
      <c r="C8" s="224" t="s">
        <v>188</v>
      </c>
      <c r="D8" s="224"/>
      <c r="E8" s="224"/>
      <c r="F8" s="29" t="s">
        <v>67</v>
      </c>
      <c r="G8" s="29" t="s">
        <v>76</v>
      </c>
      <c r="H8" s="29" t="s">
        <v>78</v>
      </c>
    </row>
    <row r="9" spans="1:13" ht="13.5" customHeight="1" x14ac:dyDescent="0.2">
      <c r="A9" s="43" t="s">
        <v>16</v>
      </c>
      <c r="B9" s="24" t="s">
        <v>63</v>
      </c>
      <c r="C9" s="226" t="s">
        <v>270</v>
      </c>
      <c r="D9" s="226"/>
      <c r="E9" s="226"/>
      <c r="F9" s="30" t="s">
        <v>153</v>
      </c>
      <c r="G9" s="30" t="s">
        <v>76</v>
      </c>
      <c r="H9" s="30" t="s">
        <v>155</v>
      </c>
    </row>
    <row r="10" spans="1:13" ht="13.5" customHeight="1" x14ac:dyDescent="0.2">
      <c r="A10" s="43" t="s">
        <v>17</v>
      </c>
      <c r="B10" s="25" t="s">
        <v>64</v>
      </c>
      <c r="C10" s="224" t="s">
        <v>216</v>
      </c>
      <c r="D10" s="224"/>
      <c r="E10" s="224"/>
      <c r="F10" s="29" t="s">
        <v>154</v>
      </c>
      <c r="G10" s="29" t="s">
        <v>76</v>
      </c>
      <c r="H10" s="29" t="s">
        <v>156</v>
      </c>
    </row>
    <row r="11" spans="1:13" ht="25.5" customHeight="1" x14ac:dyDescent="0.2">
      <c r="A11" s="43" t="s">
        <v>18</v>
      </c>
      <c r="B11" s="22" t="s">
        <v>209</v>
      </c>
      <c r="C11" s="230" t="s">
        <v>298</v>
      </c>
      <c r="D11" s="230"/>
      <c r="E11" s="230"/>
      <c r="F11" s="39" t="s">
        <v>157</v>
      </c>
      <c r="G11" s="39" t="s">
        <v>76</v>
      </c>
      <c r="H11" s="48"/>
    </row>
    <row r="12" spans="1:13" ht="25.5" customHeight="1" x14ac:dyDescent="0.2">
      <c r="A12" s="43" t="s">
        <v>19</v>
      </c>
      <c r="B12" s="22" t="s">
        <v>166</v>
      </c>
      <c r="C12" s="230" t="s">
        <v>331</v>
      </c>
      <c r="D12" s="230"/>
      <c r="E12" s="230"/>
      <c r="F12" s="39" t="s">
        <v>158</v>
      </c>
      <c r="G12" s="39" t="s">
        <v>76</v>
      </c>
      <c r="H12" s="27"/>
    </row>
    <row r="13" spans="1:13" ht="22.5" customHeight="1" x14ac:dyDescent="0.2">
      <c r="A13" s="43" t="s">
        <v>20</v>
      </c>
      <c r="B13" s="25" t="s">
        <v>9</v>
      </c>
      <c r="C13" s="224" t="s">
        <v>332</v>
      </c>
      <c r="D13" s="224"/>
      <c r="E13" s="224"/>
      <c r="F13" s="30" t="s">
        <v>159</v>
      </c>
      <c r="G13" s="29" t="s">
        <v>76</v>
      </c>
      <c r="H13" s="27"/>
    </row>
    <row r="14" spans="1:13" ht="13.5" customHeight="1" x14ac:dyDescent="0.2">
      <c r="A14" s="43" t="s">
        <v>21</v>
      </c>
      <c r="B14" s="41" t="s">
        <v>6</v>
      </c>
      <c r="C14" s="226" t="s">
        <v>333</v>
      </c>
      <c r="D14" s="226"/>
      <c r="E14" s="226"/>
      <c r="F14" s="29" t="s">
        <v>160</v>
      </c>
      <c r="G14" s="30" t="s">
        <v>76</v>
      </c>
      <c r="H14" s="27"/>
    </row>
    <row r="15" spans="1:13" ht="13.5" customHeight="1" x14ac:dyDescent="0.2">
      <c r="A15" s="43" t="s">
        <v>22</v>
      </c>
      <c r="B15" s="25" t="s">
        <v>7</v>
      </c>
      <c r="C15" s="224" t="s">
        <v>334</v>
      </c>
      <c r="D15" s="224"/>
      <c r="E15" s="224"/>
      <c r="F15" s="30" t="s">
        <v>161</v>
      </c>
      <c r="G15" s="29" t="s">
        <v>76</v>
      </c>
      <c r="H15" s="27"/>
    </row>
    <row r="16" spans="1:13" ht="13.5" customHeight="1" x14ac:dyDescent="0.2">
      <c r="A16" s="43" t="s">
        <v>23</v>
      </c>
      <c r="B16" s="41" t="s">
        <v>6</v>
      </c>
      <c r="C16" s="226" t="s">
        <v>335</v>
      </c>
      <c r="D16" s="226"/>
      <c r="E16" s="226"/>
      <c r="F16" s="29" t="s">
        <v>162</v>
      </c>
      <c r="G16" s="30" t="s">
        <v>76</v>
      </c>
      <c r="H16" s="27"/>
    </row>
    <row r="17" spans="1:8" ht="33" customHeight="1" x14ac:dyDescent="0.2">
      <c r="A17" s="43" t="s">
        <v>24</v>
      </c>
      <c r="B17" s="25" t="s">
        <v>10</v>
      </c>
      <c r="C17" s="224" t="s">
        <v>189</v>
      </c>
      <c r="D17" s="224"/>
      <c r="E17" s="224"/>
      <c r="F17" s="30" t="s">
        <v>163</v>
      </c>
      <c r="G17" s="29" t="s">
        <v>76</v>
      </c>
      <c r="H17" s="27"/>
    </row>
    <row r="18" spans="1:8" ht="13.5" customHeight="1" x14ac:dyDescent="0.2">
      <c r="A18" s="43" t="s">
        <v>25</v>
      </c>
      <c r="B18" s="41" t="s">
        <v>6</v>
      </c>
      <c r="C18" s="226" t="s">
        <v>190</v>
      </c>
      <c r="D18" s="226"/>
      <c r="E18" s="226"/>
      <c r="F18" s="29" t="s">
        <v>164</v>
      </c>
      <c r="G18" s="30" t="s">
        <v>76</v>
      </c>
      <c r="H18" s="27"/>
    </row>
    <row r="19" spans="1:8" ht="33" customHeight="1" x14ac:dyDescent="0.2">
      <c r="A19" s="43" t="s">
        <v>26</v>
      </c>
      <c r="B19" s="25" t="s">
        <v>11</v>
      </c>
      <c r="C19" s="224" t="s">
        <v>191</v>
      </c>
      <c r="D19" s="224"/>
      <c r="E19" s="224"/>
      <c r="F19" s="30" t="s">
        <v>68</v>
      </c>
      <c r="G19" s="29" t="s">
        <v>76</v>
      </c>
      <c r="H19" s="27"/>
    </row>
    <row r="20" spans="1:8" ht="13.5" customHeight="1" x14ac:dyDescent="0.2">
      <c r="A20" s="43" t="s">
        <v>27</v>
      </c>
      <c r="B20" s="41" t="s">
        <v>6</v>
      </c>
      <c r="C20" s="226" t="s">
        <v>192</v>
      </c>
      <c r="D20" s="226"/>
      <c r="E20" s="226"/>
      <c r="F20" s="29" t="s">
        <v>69</v>
      </c>
      <c r="G20" s="30" t="s">
        <v>76</v>
      </c>
      <c r="H20" s="27"/>
    </row>
    <row r="21" spans="1:8" ht="45" x14ac:dyDescent="0.2">
      <c r="A21" s="43" t="s">
        <v>28</v>
      </c>
      <c r="B21" s="25" t="s">
        <v>242</v>
      </c>
      <c r="C21" s="224" t="s">
        <v>280</v>
      </c>
      <c r="D21" s="224"/>
      <c r="E21" s="224"/>
      <c r="F21" s="29" t="s">
        <v>70</v>
      </c>
      <c r="G21" s="30" t="s">
        <v>76</v>
      </c>
      <c r="H21" s="27"/>
    </row>
    <row r="22" spans="1:8" x14ac:dyDescent="0.2">
      <c r="A22" s="43" t="s">
        <v>29</v>
      </c>
      <c r="B22" s="41" t="s">
        <v>6</v>
      </c>
      <c r="C22" s="226" t="s">
        <v>237</v>
      </c>
      <c r="D22" s="226"/>
      <c r="E22" s="226"/>
      <c r="F22" s="29" t="s">
        <v>71</v>
      </c>
      <c r="G22" s="30" t="s">
        <v>76</v>
      </c>
      <c r="H22" s="27"/>
    </row>
    <row r="23" spans="1:8" ht="22.5" customHeight="1" x14ac:dyDescent="0.2">
      <c r="A23" s="43" t="s">
        <v>30</v>
      </c>
      <c r="B23" s="25" t="s">
        <v>8</v>
      </c>
      <c r="C23" s="224" t="s">
        <v>193</v>
      </c>
      <c r="D23" s="224"/>
      <c r="E23" s="224"/>
      <c r="F23" s="30" t="s">
        <v>72</v>
      </c>
      <c r="G23" s="29" t="s">
        <v>76</v>
      </c>
      <c r="H23" s="27"/>
    </row>
    <row r="24" spans="1:8" ht="13.5" customHeight="1" x14ac:dyDescent="0.2">
      <c r="A24" s="43" t="s">
        <v>31</v>
      </c>
      <c r="B24" s="41" t="s">
        <v>6</v>
      </c>
      <c r="C24" s="226" t="s">
        <v>194</v>
      </c>
      <c r="D24" s="226"/>
      <c r="E24" s="226"/>
      <c r="F24" s="30" t="s">
        <v>73</v>
      </c>
      <c r="G24" s="30" t="s">
        <v>76</v>
      </c>
      <c r="H24" s="27"/>
    </row>
    <row r="25" spans="1:8" ht="78.75" x14ac:dyDescent="0.2">
      <c r="A25" s="43" t="s">
        <v>32</v>
      </c>
      <c r="B25" s="25" t="s">
        <v>290</v>
      </c>
      <c r="C25" s="216" t="s">
        <v>292</v>
      </c>
      <c r="D25" s="217"/>
      <c r="E25" s="218"/>
      <c r="F25" s="30" t="s">
        <v>74</v>
      </c>
      <c r="G25" s="30" t="s">
        <v>76</v>
      </c>
      <c r="H25" s="27"/>
    </row>
    <row r="26" spans="1:8" ht="13.5" customHeight="1" x14ac:dyDescent="0.2">
      <c r="A26" s="43" t="s">
        <v>33</v>
      </c>
      <c r="B26" s="41" t="s">
        <v>291</v>
      </c>
      <c r="C26" s="216" t="s">
        <v>293</v>
      </c>
      <c r="D26" s="217"/>
      <c r="E26" s="218"/>
      <c r="F26" s="30" t="s">
        <v>75</v>
      </c>
      <c r="G26" s="30" t="s">
        <v>76</v>
      </c>
      <c r="H26" s="27"/>
    </row>
    <row r="27" spans="1:8" ht="56.25" x14ac:dyDescent="0.2">
      <c r="A27" s="43" t="s">
        <v>205</v>
      </c>
      <c r="B27" s="25" t="s">
        <v>285</v>
      </c>
      <c r="C27" s="226" t="s">
        <v>336</v>
      </c>
      <c r="D27" s="226"/>
      <c r="E27" s="226"/>
      <c r="F27" s="30" t="s">
        <v>207</v>
      </c>
      <c r="G27" s="30" t="s">
        <v>76</v>
      </c>
      <c r="H27" s="27"/>
    </row>
    <row r="28" spans="1:8" ht="13.5" customHeight="1" x14ac:dyDescent="0.2">
      <c r="A28" s="43" t="s">
        <v>206</v>
      </c>
      <c r="B28" s="41" t="s">
        <v>6</v>
      </c>
      <c r="C28" s="226" t="s">
        <v>337</v>
      </c>
      <c r="D28" s="226"/>
      <c r="E28" s="226"/>
      <c r="F28" s="30" t="s">
        <v>208</v>
      </c>
      <c r="G28" s="30" t="s">
        <v>76</v>
      </c>
      <c r="H28" s="27"/>
    </row>
    <row r="29" spans="1:8" ht="33.75" x14ac:dyDescent="0.2">
      <c r="A29" s="165" t="s">
        <v>325</v>
      </c>
      <c r="B29" s="164" t="s">
        <v>321</v>
      </c>
      <c r="C29" s="229" t="s">
        <v>326</v>
      </c>
      <c r="D29" s="229"/>
      <c r="E29" s="229"/>
      <c r="F29" s="30" t="s">
        <v>329</v>
      </c>
      <c r="G29" s="30" t="s">
        <v>76</v>
      </c>
      <c r="H29" s="27"/>
    </row>
    <row r="30" spans="1:8" ht="13.5" customHeight="1" x14ac:dyDescent="0.2">
      <c r="A30" s="165" t="s">
        <v>327</v>
      </c>
      <c r="B30" s="41" t="s">
        <v>6</v>
      </c>
      <c r="C30" s="226" t="s">
        <v>328</v>
      </c>
      <c r="D30" s="226"/>
      <c r="E30" s="226"/>
      <c r="F30" s="30" t="s">
        <v>330</v>
      </c>
      <c r="G30" s="30" t="s">
        <v>76</v>
      </c>
      <c r="H30" s="27"/>
    </row>
    <row r="31" spans="1:8" ht="13.5" customHeight="1" x14ac:dyDescent="0.2">
      <c r="A31" s="43" t="s">
        <v>210</v>
      </c>
      <c r="B31" s="22" t="s">
        <v>213</v>
      </c>
      <c r="C31" s="224" t="s">
        <v>203</v>
      </c>
      <c r="D31" s="224"/>
      <c r="E31" s="224"/>
      <c r="F31" s="30" t="s">
        <v>211</v>
      </c>
      <c r="G31" s="30" t="s">
        <v>76</v>
      </c>
      <c r="H31" s="27"/>
    </row>
    <row r="32" spans="1:8" ht="13.5" customHeight="1" x14ac:dyDescent="0.2">
      <c r="A32" s="43" t="s">
        <v>238</v>
      </c>
      <c r="B32" s="41" t="s">
        <v>214</v>
      </c>
      <c r="C32" s="226" t="s">
        <v>204</v>
      </c>
      <c r="D32" s="226"/>
      <c r="E32" s="226"/>
      <c r="F32" s="30" t="s">
        <v>240</v>
      </c>
      <c r="G32" s="30" t="s">
        <v>76</v>
      </c>
      <c r="H32" s="27"/>
    </row>
    <row r="33" spans="1:27" ht="13.5" customHeight="1" x14ac:dyDescent="0.2">
      <c r="A33" s="43" t="s">
        <v>239</v>
      </c>
      <c r="B33" s="22" t="s">
        <v>261</v>
      </c>
      <c r="C33" s="224" t="s">
        <v>263</v>
      </c>
      <c r="D33" s="224"/>
      <c r="E33" s="224"/>
      <c r="F33" s="30" t="s">
        <v>241</v>
      </c>
      <c r="G33" s="30" t="s">
        <v>76</v>
      </c>
      <c r="H33" s="27"/>
    </row>
    <row r="34" spans="1:27" ht="13.5" customHeight="1" x14ac:dyDescent="0.2">
      <c r="A34" s="43" t="s">
        <v>265</v>
      </c>
      <c r="B34" s="41" t="s">
        <v>262</v>
      </c>
      <c r="C34" s="226" t="s">
        <v>264</v>
      </c>
      <c r="D34" s="226"/>
      <c r="E34" s="226"/>
      <c r="F34" s="29" t="s">
        <v>267</v>
      </c>
      <c r="G34" s="30" t="s">
        <v>76</v>
      </c>
      <c r="H34" s="27"/>
    </row>
    <row r="35" spans="1:27" s="6" customFormat="1" ht="25.5" customHeight="1" x14ac:dyDescent="0.2">
      <c r="A35" s="43" t="s">
        <v>266</v>
      </c>
      <c r="B35" s="23" t="s">
        <v>167</v>
      </c>
      <c r="C35" s="231" t="s">
        <v>299</v>
      </c>
      <c r="D35" s="231"/>
      <c r="E35" s="231"/>
      <c r="F35" s="40" t="s">
        <v>268</v>
      </c>
      <c r="G35" s="40" t="s">
        <v>76</v>
      </c>
      <c r="H35" s="28"/>
    </row>
    <row r="36" spans="1:27" ht="21.75" customHeight="1" x14ac:dyDescent="0.2">
      <c r="A36" s="43" t="s">
        <v>286</v>
      </c>
      <c r="B36" s="42" t="s">
        <v>131</v>
      </c>
      <c r="C36" s="219" t="s">
        <v>195</v>
      </c>
      <c r="D36" s="220"/>
      <c r="E36" s="221"/>
      <c r="F36" s="29" t="s">
        <v>288</v>
      </c>
      <c r="G36" s="30" t="s">
        <v>76</v>
      </c>
      <c r="H36" s="27"/>
    </row>
    <row r="37" spans="1:27" ht="23.25" customHeight="1" x14ac:dyDescent="0.2">
      <c r="A37" s="43" t="s">
        <v>287</v>
      </c>
      <c r="B37" s="25" t="s">
        <v>130</v>
      </c>
      <c r="C37" s="219" t="s">
        <v>196</v>
      </c>
      <c r="D37" s="220"/>
      <c r="E37" s="221"/>
      <c r="F37" s="29" t="s">
        <v>289</v>
      </c>
      <c r="G37" s="29" t="s">
        <v>76</v>
      </c>
      <c r="H37" s="27"/>
    </row>
    <row r="38" spans="1:27" ht="26.25" customHeight="1" x14ac:dyDescent="0.2">
      <c r="A38" s="43" t="s">
        <v>294</v>
      </c>
      <c r="B38" s="24" t="s">
        <v>132</v>
      </c>
      <c r="C38" s="219" t="s">
        <v>197</v>
      </c>
      <c r="D38" s="220"/>
      <c r="E38" s="221"/>
      <c r="F38" s="29" t="s">
        <v>297</v>
      </c>
      <c r="G38" s="30" t="s">
        <v>76</v>
      </c>
      <c r="H38" s="27"/>
    </row>
    <row r="39" spans="1:27" s="6" customFormat="1" ht="25.5" customHeight="1" x14ac:dyDescent="0.2">
      <c r="A39" s="43" t="s">
        <v>295</v>
      </c>
      <c r="B39" s="25" t="s">
        <v>129</v>
      </c>
      <c r="C39" s="219" t="s">
        <v>338</v>
      </c>
      <c r="D39" s="220"/>
      <c r="E39" s="221"/>
      <c r="F39" s="29" t="s">
        <v>296</v>
      </c>
      <c r="G39" s="29" t="s">
        <v>76</v>
      </c>
      <c r="H39" s="28"/>
    </row>
    <row r="40" spans="1:27" s="6" customFormat="1" ht="13.5" customHeight="1" x14ac:dyDescent="0.2">
      <c r="A40" s="44"/>
      <c r="B40" s="26"/>
      <c r="C40" s="8"/>
      <c r="D40" s="9"/>
      <c r="E40" s="9"/>
      <c r="F40" s="18"/>
      <c r="G40" s="18"/>
      <c r="H40" s="18"/>
      <c r="I40" s="18"/>
      <c r="J40" s="18"/>
      <c r="K40" s="10"/>
      <c r="L40" s="10"/>
      <c r="M40" s="4"/>
    </row>
    <row r="41" spans="1:27" s="6" customFormat="1" ht="13.5" customHeight="1" x14ac:dyDescent="0.2">
      <c r="A41" s="44" t="s">
        <v>12</v>
      </c>
      <c r="B41" s="49" t="s">
        <v>225</v>
      </c>
      <c r="C41" s="222" t="s">
        <v>226</v>
      </c>
      <c r="D41" s="223"/>
      <c r="E41" s="223"/>
      <c r="F41" s="39">
        <v>100</v>
      </c>
      <c r="G41" s="29" t="s">
        <v>76</v>
      </c>
      <c r="H41" s="18"/>
      <c r="I41" s="18"/>
      <c r="J41" s="18"/>
      <c r="K41" s="10"/>
      <c r="L41" s="10"/>
      <c r="M41" s="4"/>
    </row>
    <row r="42" spans="1:27" s="6" customFormat="1" ht="53.25" customHeight="1" x14ac:dyDescent="0.2">
      <c r="A42" s="44" t="s">
        <v>223</v>
      </c>
      <c r="B42" s="49" t="s">
        <v>218</v>
      </c>
      <c r="C42" s="227" t="s">
        <v>339</v>
      </c>
      <c r="D42" s="228"/>
      <c r="E42" s="228"/>
      <c r="F42" s="29" t="s">
        <v>228</v>
      </c>
      <c r="G42" s="29" t="s">
        <v>76</v>
      </c>
      <c r="H42" s="18"/>
      <c r="I42" s="18"/>
      <c r="J42" s="18"/>
      <c r="K42" s="10"/>
      <c r="L42" s="10"/>
      <c r="M42" s="4"/>
    </row>
    <row r="43" spans="1:27" s="6" customFormat="1" ht="13.5" customHeight="1" x14ac:dyDescent="0.2">
      <c r="A43" s="44" t="s">
        <v>224</v>
      </c>
      <c r="B43" s="49" t="s">
        <v>219</v>
      </c>
      <c r="C43" s="222" t="s">
        <v>227</v>
      </c>
      <c r="D43" s="223"/>
      <c r="E43" s="223"/>
      <c r="F43" s="29" t="s">
        <v>229</v>
      </c>
      <c r="G43" s="29" t="s">
        <v>76</v>
      </c>
      <c r="H43" s="18"/>
      <c r="I43" s="18"/>
      <c r="J43" s="18"/>
      <c r="K43" s="10"/>
      <c r="L43" s="10"/>
      <c r="M43" s="4"/>
    </row>
    <row r="44" spans="1:27" s="6" customFormat="1" ht="13.5" customHeight="1" x14ac:dyDescent="0.2">
      <c r="A44" s="44"/>
      <c r="B44" s="163" t="s">
        <v>323</v>
      </c>
      <c r="C44" s="8"/>
      <c r="D44" s="9"/>
      <c r="E44" s="9"/>
      <c r="F44" s="18"/>
      <c r="G44" s="18"/>
      <c r="H44" s="18"/>
      <c r="I44" s="18"/>
      <c r="J44" s="18"/>
      <c r="K44" s="10"/>
      <c r="L44" s="10"/>
      <c r="M44" s="4"/>
    </row>
    <row r="45" spans="1:27" s="6" customFormat="1" ht="13.5" customHeight="1" x14ac:dyDescent="0.2">
      <c r="A45" s="45"/>
      <c r="B45" s="7"/>
      <c r="C45" s="8"/>
      <c r="D45" s="9"/>
      <c r="E45" s="9"/>
      <c r="F45" s="5"/>
      <c r="G45" s="5"/>
      <c r="H45" s="5"/>
      <c r="I45" s="5"/>
      <c r="J45" s="5"/>
      <c r="K45" s="10"/>
      <c r="L45" s="10"/>
      <c r="M45" s="4"/>
    </row>
    <row r="46" spans="1:27" ht="32.25" customHeight="1" x14ac:dyDescent="0.2">
      <c r="B46" s="233" t="str">
        <f>CONCATENATE("Informacja z wykonania budżetów powiatów za ",definicja!$D$106," ",definicja!$C$107," rok")</f>
        <v>Informacja z wykonania budżetów powiatów za - 2023 rok</v>
      </c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27" s="6" customFormat="1" ht="13.5" customHeight="1" x14ac:dyDescent="0.2">
      <c r="A47" s="45"/>
      <c r="B47" s="7"/>
      <c r="C47" s="8"/>
      <c r="D47" s="9"/>
      <c r="E47" s="9"/>
      <c r="F47" s="5"/>
      <c r="G47" s="5"/>
      <c r="H47" s="5"/>
      <c r="I47" s="5"/>
      <c r="J47" s="5"/>
      <c r="K47" s="10"/>
      <c r="L47" s="10"/>
      <c r="M47" s="4"/>
    </row>
    <row r="48" spans="1:27" ht="29.25" customHeight="1" x14ac:dyDescent="0.2">
      <c r="B48" s="187" t="s">
        <v>0</v>
      </c>
      <c r="C48" s="169" t="s">
        <v>149</v>
      </c>
      <c r="D48" s="169" t="s">
        <v>151</v>
      </c>
      <c r="E48" s="169" t="s">
        <v>150</v>
      </c>
      <c r="F48" s="169" t="s">
        <v>34</v>
      </c>
      <c r="G48" s="169"/>
      <c r="H48" s="169"/>
      <c r="I48" s="169" t="s">
        <v>269</v>
      </c>
      <c r="J48" s="169"/>
      <c r="K48" s="169" t="s">
        <v>2</v>
      </c>
      <c r="L48" s="173" t="s">
        <v>61</v>
      </c>
      <c r="N48" s="11"/>
      <c r="O48" s="107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8" customHeight="1" x14ac:dyDescent="0.2">
      <c r="B49" s="187"/>
      <c r="C49" s="169"/>
      <c r="D49" s="169"/>
      <c r="E49" s="170"/>
      <c r="F49" s="171" t="s">
        <v>152</v>
      </c>
      <c r="G49" s="185" t="s">
        <v>125</v>
      </c>
      <c r="H49" s="170"/>
      <c r="I49" s="169"/>
      <c r="J49" s="169"/>
      <c r="K49" s="169"/>
      <c r="L49" s="173"/>
      <c r="M49" s="12"/>
      <c r="N49" s="13"/>
      <c r="O49" s="108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36" customHeight="1" x14ac:dyDescent="0.2">
      <c r="B50" s="187"/>
      <c r="C50" s="169"/>
      <c r="D50" s="169"/>
      <c r="E50" s="170"/>
      <c r="F50" s="170"/>
      <c r="G50" s="20" t="s">
        <v>136</v>
      </c>
      <c r="H50" s="20" t="s">
        <v>137</v>
      </c>
      <c r="I50" s="169"/>
      <c r="J50" s="169"/>
      <c r="K50" s="169"/>
      <c r="L50" s="173"/>
      <c r="M50" s="12"/>
      <c r="N50" s="11"/>
      <c r="O50" s="108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3.5" customHeight="1" x14ac:dyDescent="0.2">
      <c r="B51" s="187"/>
      <c r="C51" s="19" t="s">
        <v>139</v>
      </c>
      <c r="D51" s="19" t="s">
        <v>142</v>
      </c>
      <c r="E51" s="19" t="s">
        <v>141</v>
      </c>
      <c r="F51" s="19" t="s">
        <v>143</v>
      </c>
      <c r="G51" s="19" t="s">
        <v>144</v>
      </c>
      <c r="H51" s="19" t="s">
        <v>145</v>
      </c>
      <c r="I51" s="191" t="s">
        <v>146</v>
      </c>
      <c r="J51" s="193"/>
      <c r="K51" s="194" t="s">
        <v>4</v>
      </c>
      <c r="L51" s="194"/>
      <c r="O51" s="106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1.25" customHeight="1" x14ac:dyDescent="0.2">
      <c r="B52" s="19">
        <v>1</v>
      </c>
      <c r="C52" s="21">
        <v>2</v>
      </c>
      <c r="D52" s="21">
        <v>3</v>
      </c>
      <c r="E52" s="21">
        <v>4</v>
      </c>
      <c r="F52" s="19">
        <v>5</v>
      </c>
      <c r="G52" s="19">
        <v>6</v>
      </c>
      <c r="H52" s="21">
        <v>7</v>
      </c>
      <c r="I52" s="170">
        <v>8</v>
      </c>
      <c r="J52" s="170"/>
      <c r="K52" s="19">
        <v>9</v>
      </c>
      <c r="L52" s="21">
        <v>10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25.5" customHeight="1" x14ac:dyDescent="0.2">
      <c r="A53" s="43" t="s">
        <v>37</v>
      </c>
      <c r="B53" s="22" t="s">
        <v>168</v>
      </c>
      <c r="C53" s="237" t="s">
        <v>138</v>
      </c>
      <c r="D53" s="237"/>
      <c r="E53" s="237"/>
      <c r="F53" s="237"/>
      <c r="G53" s="237"/>
      <c r="H53" s="237"/>
      <c r="I53" s="237"/>
      <c r="J53" s="237"/>
      <c r="K53" s="32">
        <v>100</v>
      </c>
      <c r="L53" s="32" t="s">
        <v>76</v>
      </c>
    </row>
    <row r="54" spans="1:27" ht="42" customHeight="1" x14ac:dyDescent="0.2">
      <c r="A54" s="43" t="s">
        <v>38</v>
      </c>
      <c r="B54" s="23" t="s">
        <v>36</v>
      </c>
      <c r="C54" s="210" t="s">
        <v>340</v>
      </c>
      <c r="D54" s="210"/>
      <c r="E54" s="210"/>
      <c r="F54" s="210"/>
      <c r="G54" s="210"/>
      <c r="H54" s="210"/>
      <c r="I54" s="210"/>
      <c r="J54" s="210"/>
      <c r="K54" s="33" t="s">
        <v>79</v>
      </c>
      <c r="L54" s="33" t="s">
        <v>76</v>
      </c>
    </row>
    <row r="55" spans="1:27" ht="22.5" customHeight="1" x14ac:dyDescent="0.2">
      <c r="A55" s="43" t="s">
        <v>39</v>
      </c>
      <c r="B55" s="24" t="s">
        <v>35</v>
      </c>
      <c r="C55" s="226" t="s">
        <v>341</v>
      </c>
      <c r="D55" s="226"/>
      <c r="E55" s="226"/>
      <c r="F55" s="226"/>
      <c r="G55" s="226"/>
      <c r="H55" s="226"/>
      <c r="I55" s="226"/>
      <c r="J55" s="226"/>
      <c r="K55" s="34" t="s">
        <v>80</v>
      </c>
      <c r="L55" s="34" t="s">
        <v>76</v>
      </c>
    </row>
    <row r="56" spans="1:27" ht="25.5" customHeight="1" x14ac:dyDescent="0.2">
      <c r="A56" s="43" t="s">
        <v>40</v>
      </c>
      <c r="B56" s="23" t="s">
        <v>169</v>
      </c>
      <c r="C56" s="210" t="s">
        <v>90</v>
      </c>
      <c r="D56" s="210"/>
      <c r="E56" s="210"/>
      <c r="F56" s="210"/>
      <c r="G56" s="210"/>
      <c r="H56" s="210"/>
      <c r="I56" s="210"/>
      <c r="J56" s="210"/>
      <c r="K56" s="33" t="s">
        <v>81</v>
      </c>
      <c r="L56" s="33" t="s">
        <v>76</v>
      </c>
    </row>
    <row r="57" spans="1:27" ht="24" customHeight="1" x14ac:dyDescent="0.2">
      <c r="A57" s="43" t="s">
        <v>41</v>
      </c>
      <c r="B57" s="24" t="s">
        <v>311</v>
      </c>
      <c r="C57" s="226" t="s">
        <v>342</v>
      </c>
      <c r="D57" s="226"/>
      <c r="E57" s="226"/>
      <c r="F57" s="226"/>
      <c r="G57" s="226"/>
      <c r="H57" s="226"/>
      <c r="I57" s="226"/>
      <c r="J57" s="226"/>
      <c r="K57" s="34" t="s">
        <v>82</v>
      </c>
      <c r="L57" s="34" t="s">
        <v>76</v>
      </c>
    </row>
    <row r="58" spans="1:27" ht="38.25" customHeight="1" x14ac:dyDescent="0.2">
      <c r="A58" s="43" t="s">
        <v>42</v>
      </c>
      <c r="B58" s="25" t="s">
        <v>135</v>
      </c>
      <c r="C58" s="225" t="s">
        <v>343</v>
      </c>
      <c r="D58" s="225"/>
      <c r="E58" s="225"/>
      <c r="F58" s="225"/>
      <c r="G58" s="225"/>
      <c r="H58" s="225"/>
      <c r="I58" s="225"/>
      <c r="J58" s="225"/>
      <c r="K58" s="35" t="s">
        <v>83</v>
      </c>
      <c r="L58" s="35" t="s">
        <v>76</v>
      </c>
      <c r="N58" s="101"/>
    </row>
    <row r="59" spans="1:27" ht="13.5" customHeight="1" x14ac:dyDescent="0.2">
      <c r="A59" s="43" t="s">
        <v>43</v>
      </c>
      <c r="B59" s="24" t="s">
        <v>134</v>
      </c>
      <c r="C59" s="226" t="s">
        <v>284</v>
      </c>
      <c r="D59" s="226"/>
      <c r="E59" s="226"/>
      <c r="F59" s="226"/>
      <c r="G59" s="226"/>
      <c r="H59" s="226"/>
      <c r="I59" s="226"/>
      <c r="J59" s="226"/>
      <c r="K59" s="34" t="s">
        <v>84</v>
      </c>
      <c r="L59" s="34" t="s">
        <v>76</v>
      </c>
    </row>
    <row r="60" spans="1:27" ht="22.5" customHeight="1" x14ac:dyDescent="0.2">
      <c r="A60" s="43" t="s">
        <v>44</v>
      </c>
      <c r="B60" s="25" t="s">
        <v>198</v>
      </c>
      <c r="C60" s="225" t="s">
        <v>281</v>
      </c>
      <c r="D60" s="225"/>
      <c r="E60" s="225"/>
      <c r="F60" s="225"/>
      <c r="G60" s="225"/>
      <c r="H60" s="225"/>
      <c r="I60" s="225"/>
      <c r="J60" s="225"/>
      <c r="K60" s="35" t="s">
        <v>85</v>
      </c>
      <c r="L60" s="35" t="s">
        <v>76</v>
      </c>
    </row>
    <row r="61" spans="1:27" ht="22.5" customHeight="1" x14ac:dyDescent="0.2">
      <c r="A61" s="43" t="s">
        <v>45</v>
      </c>
      <c r="B61" s="25" t="s">
        <v>212</v>
      </c>
      <c r="C61" s="211" t="s">
        <v>344</v>
      </c>
      <c r="D61" s="212"/>
      <c r="E61" s="212"/>
      <c r="F61" s="212"/>
      <c r="G61" s="212"/>
      <c r="H61" s="212"/>
      <c r="I61" s="212"/>
      <c r="J61" s="213"/>
      <c r="K61" s="35" t="s">
        <v>86</v>
      </c>
      <c r="L61" s="35" t="s">
        <v>76</v>
      </c>
    </row>
    <row r="62" spans="1:27" ht="13.5" customHeight="1" x14ac:dyDescent="0.2">
      <c r="A62" s="43" t="s">
        <v>46</v>
      </c>
      <c r="B62" s="24" t="s">
        <v>133</v>
      </c>
      <c r="C62" s="226" t="s">
        <v>283</v>
      </c>
      <c r="D62" s="226"/>
      <c r="E62" s="226"/>
      <c r="F62" s="226"/>
      <c r="G62" s="226"/>
      <c r="H62" s="226"/>
      <c r="I62" s="226"/>
      <c r="J62" s="226"/>
      <c r="K62" s="34" t="s">
        <v>87</v>
      </c>
      <c r="L62" s="34" t="s">
        <v>76</v>
      </c>
    </row>
    <row r="63" spans="1:27" ht="24" customHeight="1" x14ac:dyDescent="0.2">
      <c r="A63" s="43" t="s">
        <v>47</v>
      </c>
      <c r="B63" s="23" t="s">
        <v>48</v>
      </c>
      <c r="C63" s="210" t="s">
        <v>88</v>
      </c>
      <c r="D63" s="210"/>
      <c r="E63" s="210"/>
      <c r="F63" s="210"/>
      <c r="G63" s="210"/>
      <c r="H63" s="210"/>
      <c r="I63" s="210"/>
      <c r="J63" s="210"/>
      <c r="K63" s="36"/>
      <c r="L63" s="36"/>
      <c r="M63" s="14"/>
    </row>
    <row r="64" spans="1:27" ht="12" customHeight="1" x14ac:dyDescent="0.2">
      <c r="B64" s="15"/>
      <c r="C64" s="16"/>
      <c r="D64" s="16"/>
      <c r="E64" s="16"/>
      <c r="F64" s="2"/>
      <c r="G64" s="2"/>
      <c r="H64" s="2"/>
      <c r="I64" s="2"/>
      <c r="L64" s="11"/>
      <c r="M64" s="11"/>
    </row>
    <row r="65" spans="1:13" ht="12" customHeight="1" x14ac:dyDescent="0.2">
      <c r="B65" s="160" t="s">
        <v>322</v>
      </c>
      <c r="C65" s="16"/>
      <c r="D65" s="16"/>
      <c r="E65" s="16"/>
      <c r="F65" s="2"/>
      <c r="G65" s="2"/>
      <c r="H65" s="2"/>
      <c r="I65" s="2"/>
      <c r="L65" s="11"/>
      <c r="M65" s="11"/>
    </row>
    <row r="66" spans="1:13" ht="15.75" customHeight="1" x14ac:dyDescent="0.2">
      <c r="A66" s="43" t="s">
        <v>220</v>
      </c>
      <c r="B66" s="161" t="s">
        <v>230</v>
      </c>
      <c r="C66" s="234" t="s">
        <v>282</v>
      </c>
      <c r="D66" s="235"/>
      <c r="E66" s="235"/>
      <c r="F66" s="235"/>
      <c r="G66" s="235"/>
      <c r="H66" s="235"/>
      <c r="I66" s="235"/>
      <c r="J66" s="236"/>
      <c r="K66" s="31">
        <v>100</v>
      </c>
      <c r="L66" s="34" t="s">
        <v>76</v>
      </c>
      <c r="M66" s="11"/>
    </row>
    <row r="67" spans="1:13" ht="45.75" customHeight="1" x14ac:dyDescent="0.2">
      <c r="A67" s="43" t="s">
        <v>231</v>
      </c>
      <c r="B67" s="161" t="s">
        <v>221</v>
      </c>
      <c r="C67" s="234" t="s">
        <v>345</v>
      </c>
      <c r="D67" s="235"/>
      <c r="E67" s="235"/>
      <c r="F67" s="235"/>
      <c r="G67" s="235"/>
      <c r="H67" s="235"/>
      <c r="I67" s="235"/>
      <c r="J67" s="236"/>
      <c r="K67" s="34" t="s">
        <v>234</v>
      </c>
      <c r="L67" s="34" t="s">
        <v>76</v>
      </c>
      <c r="M67" s="11"/>
    </row>
    <row r="68" spans="1:13" ht="17.25" customHeight="1" x14ac:dyDescent="0.2">
      <c r="A68" s="43" t="s">
        <v>232</v>
      </c>
      <c r="B68" s="161" t="s">
        <v>222</v>
      </c>
      <c r="C68" s="234" t="s">
        <v>233</v>
      </c>
      <c r="D68" s="235"/>
      <c r="E68" s="235"/>
      <c r="F68" s="235"/>
      <c r="G68" s="235"/>
      <c r="H68" s="235"/>
      <c r="I68" s="235"/>
      <c r="J68" s="236"/>
      <c r="K68" s="34" t="s">
        <v>235</v>
      </c>
      <c r="L68" s="34" t="s">
        <v>76</v>
      </c>
    </row>
    <row r="70" spans="1:13" ht="51" customHeight="1" x14ac:dyDescent="0.2">
      <c r="B70" s="233" t="str">
        <f>CONCATENATE("Informacja z wykonania budżetów powiatów za ",definicja!$D$106," ",definicja!$C$107," rok")</f>
        <v>Informacja z wykonania budżetów powiatów za - 2023 rok</v>
      </c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</row>
    <row r="72" spans="1:13" x14ac:dyDescent="0.2">
      <c r="A72"/>
      <c r="B72" s="207" t="s">
        <v>49</v>
      </c>
      <c r="C72" s="207"/>
      <c r="D72" s="170" t="s">
        <v>50</v>
      </c>
      <c r="E72" s="170"/>
      <c r="F72" s="170" t="s">
        <v>1</v>
      </c>
      <c r="G72" s="170"/>
      <c r="H72" s="21" t="s">
        <v>91</v>
      </c>
      <c r="I72" s="21" t="s">
        <v>92</v>
      </c>
    </row>
    <row r="73" spans="1:13" x14ac:dyDescent="0.2">
      <c r="A73"/>
      <c r="B73" s="207"/>
      <c r="C73" s="207"/>
      <c r="D73" s="169" t="s">
        <v>147</v>
      </c>
      <c r="E73" s="169"/>
      <c r="F73" s="169" t="s">
        <v>148</v>
      </c>
      <c r="G73" s="169"/>
      <c r="H73" s="253" t="s">
        <v>4</v>
      </c>
      <c r="I73" s="253"/>
    </row>
    <row r="74" spans="1:13" x14ac:dyDescent="0.2">
      <c r="A74"/>
      <c r="B74" s="206">
        <v>1</v>
      </c>
      <c r="C74" s="169"/>
      <c r="D74" s="254">
        <v>2</v>
      </c>
      <c r="E74" s="254"/>
      <c r="F74" s="254">
        <v>3</v>
      </c>
      <c r="G74" s="254"/>
      <c r="H74" s="53">
        <v>4</v>
      </c>
      <c r="I74" s="53">
        <v>5</v>
      </c>
    </row>
    <row r="75" spans="1:13" ht="29.25" customHeight="1" x14ac:dyDescent="0.2">
      <c r="A75" s="43" t="s">
        <v>51</v>
      </c>
      <c r="B75" s="243" t="s">
        <v>170</v>
      </c>
      <c r="C75" s="244"/>
      <c r="D75" s="248" t="s">
        <v>175</v>
      </c>
      <c r="E75" s="249"/>
      <c r="F75" s="249"/>
      <c r="G75" s="250"/>
      <c r="H75" s="55">
        <v>100</v>
      </c>
      <c r="I75" s="58" t="s">
        <v>93</v>
      </c>
    </row>
    <row r="76" spans="1:13" ht="26.25" customHeight="1" x14ac:dyDescent="0.2">
      <c r="A76" s="43" t="s">
        <v>52</v>
      </c>
      <c r="B76" s="241" t="s">
        <v>273</v>
      </c>
      <c r="C76" s="242"/>
      <c r="D76" s="238" t="s">
        <v>176</v>
      </c>
      <c r="E76" s="239"/>
      <c r="F76" s="239"/>
      <c r="G76" s="240"/>
      <c r="H76" s="56" t="s">
        <v>94</v>
      </c>
      <c r="I76" s="56" t="s">
        <v>95</v>
      </c>
    </row>
    <row r="77" spans="1:13" ht="12.75" customHeight="1" x14ac:dyDescent="0.2">
      <c r="A77" s="43" t="s">
        <v>111</v>
      </c>
      <c r="B77" s="260" t="s">
        <v>274</v>
      </c>
      <c r="C77" s="261"/>
      <c r="D77" s="245" t="s">
        <v>177</v>
      </c>
      <c r="E77" s="246"/>
      <c r="F77" s="246"/>
      <c r="G77" s="247"/>
      <c r="H77" s="57" t="s">
        <v>112</v>
      </c>
      <c r="I77" s="57" t="s">
        <v>113</v>
      </c>
    </row>
    <row r="78" spans="1:13" ht="12.75" customHeight="1" x14ac:dyDescent="0.2">
      <c r="A78" s="43" t="s">
        <v>53</v>
      </c>
      <c r="B78" s="204" t="s">
        <v>275</v>
      </c>
      <c r="C78" s="205" t="s">
        <v>114</v>
      </c>
      <c r="D78" s="245" t="s">
        <v>178</v>
      </c>
      <c r="E78" s="246"/>
      <c r="F78" s="246"/>
      <c r="G78" s="247"/>
      <c r="H78" s="57" t="s">
        <v>96</v>
      </c>
      <c r="I78" s="57" t="s">
        <v>97</v>
      </c>
    </row>
    <row r="79" spans="1:13" ht="48" customHeight="1" x14ac:dyDescent="0.2">
      <c r="A79" s="43" t="s">
        <v>54</v>
      </c>
      <c r="B79" s="241" t="s">
        <v>300</v>
      </c>
      <c r="C79" s="242" t="s">
        <v>115</v>
      </c>
      <c r="D79" s="238" t="s">
        <v>179</v>
      </c>
      <c r="E79" s="239"/>
      <c r="F79" s="239"/>
      <c r="G79" s="240"/>
      <c r="H79" s="56" t="s">
        <v>98</v>
      </c>
      <c r="I79" s="56" t="s">
        <v>99</v>
      </c>
    </row>
    <row r="80" spans="1:13" ht="33.75" customHeight="1" x14ac:dyDescent="0.2">
      <c r="A80" s="43" t="s">
        <v>55</v>
      </c>
      <c r="B80" s="241" t="s">
        <v>301</v>
      </c>
      <c r="C80" s="242"/>
      <c r="D80" s="238" t="s">
        <v>180</v>
      </c>
      <c r="E80" s="239"/>
      <c r="F80" s="239"/>
      <c r="G80" s="240"/>
      <c r="H80" s="56" t="s">
        <v>100</v>
      </c>
      <c r="I80" s="56" t="s">
        <v>101</v>
      </c>
    </row>
    <row r="81" spans="1:9" ht="12.75" customHeight="1" x14ac:dyDescent="0.2">
      <c r="A81" s="43" t="s">
        <v>56</v>
      </c>
      <c r="B81" s="241" t="s">
        <v>276</v>
      </c>
      <c r="C81" s="242" t="s">
        <v>116</v>
      </c>
      <c r="D81" s="238" t="s">
        <v>181</v>
      </c>
      <c r="E81" s="239"/>
      <c r="F81" s="239"/>
      <c r="G81" s="240"/>
      <c r="H81" s="56" t="s">
        <v>102</v>
      </c>
      <c r="I81" s="56" t="s">
        <v>103</v>
      </c>
    </row>
    <row r="82" spans="1:9" ht="26.25" customHeight="1" x14ac:dyDescent="0.2">
      <c r="A82" s="43" t="s">
        <v>57</v>
      </c>
      <c r="B82" s="241" t="s">
        <v>277</v>
      </c>
      <c r="C82" s="242" t="s">
        <v>117</v>
      </c>
      <c r="D82" s="238" t="s">
        <v>182</v>
      </c>
      <c r="E82" s="239"/>
      <c r="F82" s="239"/>
      <c r="G82" s="240"/>
      <c r="H82" s="56" t="s">
        <v>104</v>
      </c>
      <c r="I82" s="56" t="s">
        <v>105</v>
      </c>
    </row>
    <row r="83" spans="1:9" ht="45.75" customHeight="1" x14ac:dyDescent="0.2">
      <c r="A83" s="43" t="s">
        <v>346</v>
      </c>
      <c r="B83" s="262" t="s">
        <v>358</v>
      </c>
      <c r="C83" s="262"/>
      <c r="D83" s="238" t="s">
        <v>347</v>
      </c>
      <c r="E83" s="239"/>
      <c r="F83" s="239"/>
      <c r="G83" s="240"/>
      <c r="H83" s="56" t="s">
        <v>364</v>
      </c>
      <c r="I83" s="56" t="s">
        <v>365</v>
      </c>
    </row>
    <row r="84" spans="1:9" x14ac:dyDescent="0.2">
      <c r="A84" s="43" t="s">
        <v>348</v>
      </c>
      <c r="B84" s="262" t="s">
        <v>359</v>
      </c>
      <c r="C84" s="262"/>
      <c r="D84" s="238" t="s">
        <v>349</v>
      </c>
      <c r="E84" s="239"/>
      <c r="F84" s="239"/>
      <c r="G84" s="240"/>
      <c r="H84" s="56" t="s">
        <v>366</v>
      </c>
      <c r="I84" s="56" t="s">
        <v>367</v>
      </c>
    </row>
    <row r="85" spans="1:9" x14ac:dyDescent="0.2">
      <c r="A85" s="43" t="s">
        <v>350</v>
      </c>
      <c r="B85" s="251" t="s">
        <v>360</v>
      </c>
      <c r="C85" s="252"/>
      <c r="D85" s="238" t="s">
        <v>351</v>
      </c>
      <c r="E85" s="239"/>
      <c r="F85" s="239"/>
      <c r="G85" s="240"/>
      <c r="H85" s="56" t="s">
        <v>352</v>
      </c>
      <c r="I85" s="56" t="s">
        <v>353</v>
      </c>
    </row>
    <row r="86" spans="1:9" ht="27" customHeight="1" x14ac:dyDescent="0.2">
      <c r="A86" s="43" t="s">
        <v>58</v>
      </c>
      <c r="B86" s="243" t="s">
        <v>171</v>
      </c>
      <c r="C86" s="244" t="s">
        <v>118</v>
      </c>
      <c r="D86" s="248" t="s">
        <v>183</v>
      </c>
      <c r="E86" s="249"/>
      <c r="F86" s="249"/>
      <c r="G86" s="250"/>
      <c r="H86" s="55">
        <v>100</v>
      </c>
      <c r="I86" s="58" t="s">
        <v>110</v>
      </c>
    </row>
    <row r="87" spans="1:9" ht="27" customHeight="1" x14ac:dyDescent="0.2">
      <c r="A87" s="43" t="s">
        <v>59</v>
      </c>
      <c r="B87" s="241" t="s">
        <v>278</v>
      </c>
      <c r="C87" s="242" t="s">
        <v>119</v>
      </c>
      <c r="D87" s="238" t="s">
        <v>184</v>
      </c>
      <c r="E87" s="239"/>
      <c r="F87" s="239"/>
      <c r="G87" s="240"/>
      <c r="H87" s="56" t="s">
        <v>106</v>
      </c>
      <c r="I87" s="56" t="s">
        <v>107</v>
      </c>
    </row>
    <row r="88" spans="1:9" x14ac:dyDescent="0.2">
      <c r="A88" s="43" t="s">
        <v>120</v>
      </c>
      <c r="B88" s="255" t="s">
        <v>279</v>
      </c>
      <c r="C88" s="256" t="s">
        <v>124</v>
      </c>
      <c r="D88" s="245" t="s">
        <v>185</v>
      </c>
      <c r="E88" s="246"/>
      <c r="F88" s="246"/>
      <c r="G88" s="247"/>
      <c r="H88" s="57" t="s">
        <v>121</v>
      </c>
      <c r="I88" s="57" t="s">
        <v>122</v>
      </c>
    </row>
    <row r="89" spans="1:9" x14ac:dyDescent="0.2">
      <c r="A89" s="43" t="s">
        <v>60</v>
      </c>
      <c r="B89" s="214" t="s">
        <v>305</v>
      </c>
      <c r="C89" s="215" t="s">
        <v>123</v>
      </c>
      <c r="D89" s="257" t="s">
        <v>186</v>
      </c>
      <c r="E89" s="258"/>
      <c r="F89" s="258"/>
      <c r="G89" s="259"/>
      <c r="H89" s="59" t="s">
        <v>108</v>
      </c>
      <c r="I89" s="59" t="s">
        <v>109</v>
      </c>
    </row>
    <row r="90" spans="1:9" ht="12.75" customHeight="1" x14ac:dyDescent="0.2">
      <c r="A90" s="43" t="s">
        <v>199</v>
      </c>
      <c r="B90" s="214" t="s">
        <v>361</v>
      </c>
      <c r="C90" s="215"/>
      <c r="D90" s="257" t="s">
        <v>200</v>
      </c>
      <c r="E90" s="258"/>
      <c r="F90" s="258"/>
      <c r="G90" s="259"/>
      <c r="H90" s="59" t="s">
        <v>202</v>
      </c>
      <c r="I90" s="59" t="s">
        <v>201</v>
      </c>
    </row>
    <row r="91" spans="1:9" x14ac:dyDescent="0.2">
      <c r="A91" s="43" t="s">
        <v>354</v>
      </c>
      <c r="B91" s="263" t="s">
        <v>362</v>
      </c>
      <c r="C91" s="263" t="s">
        <v>363</v>
      </c>
      <c r="D91" s="257" t="s">
        <v>355</v>
      </c>
      <c r="E91" s="258"/>
      <c r="F91" s="258"/>
      <c r="G91" s="259"/>
      <c r="H91" s="59" t="s">
        <v>356</v>
      </c>
      <c r="I91" s="59" t="s">
        <v>357</v>
      </c>
    </row>
    <row r="92" spans="1:9" x14ac:dyDescent="0.2">
      <c r="A92"/>
      <c r="B92"/>
      <c r="C92"/>
      <c r="D92"/>
      <c r="E92"/>
      <c r="F92"/>
      <c r="G92"/>
      <c r="H92"/>
      <c r="I92"/>
    </row>
    <row r="93" spans="1:9" x14ac:dyDescent="0.2">
      <c r="A93"/>
      <c r="B93" s="207" t="s">
        <v>49</v>
      </c>
      <c r="C93" s="207"/>
      <c r="D93" s="170" t="s">
        <v>50</v>
      </c>
      <c r="E93" s="170"/>
      <c r="F93" s="170" t="s">
        <v>1</v>
      </c>
      <c r="G93" s="170"/>
    </row>
    <row r="94" spans="1:9" x14ac:dyDescent="0.2">
      <c r="A94"/>
      <c r="B94" s="207"/>
      <c r="C94" s="207"/>
      <c r="D94" s="169" t="s">
        <v>147</v>
      </c>
      <c r="E94" s="169"/>
      <c r="F94" s="169" t="s">
        <v>148</v>
      </c>
      <c r="G94" s="169"/>
    </row>
    <row r="95" spans="1:9" x14ac:dyDescent="0.2">
      <c r="A95"/>
      <c r="B95" s="206">
        <v>1</v>
      </c>
      <c r="C95" s="169"/>
      <c r="D95" s="254">
        <v>2</v>
      </c>
      <c r="E95" s="254"/>
      <c r="F95" s="254">
        <v>3</v>
      </c>
      <c r="G95" s="254"/>
    </row>
    <row r="96" spans="1:9" x14ac:dyDescent="0.2">
      <c r="A96" s="60" t="s">
        <v>243</v>
      </c>
      <c r="B96" s="243" t="s">
        <v>244</v>
      </c>
      <c r="C96" s="244"/>
      <c r="D96" s="248" t="s">
        <v>245</v>
      </c>
      <c r="E96" s="249"/>
      <c r="F96" s="249"/>
      <c r="G96" s="250"/>
    </row>
    <row r="97" spans="1:7" ht="42" customHeight="1" x14ac:dyDescent="0.2">
      <c r="A97" s="60" t="s">
        <v>246</v>
      </c>
      <c r="B97" s="241" t="s">
        <v>247</v>
      </c>
      <c r="C97" s="242"/>
      <c r="D97" s="238" t="s">
        <v>248</v>
      </c>
      <c r="E97" s="239"/>
      <c r="F97" s="239"/>
      <c r="G97" s="240"/>
    </row>
    <row r="98" spans="1:7" x14ac:dyDescent="0.2">
      <c r="A98" s="60" t="s">
        <v>249</v>
      </c>
      <c r="B98" s="204" t="s">
        <v>250</v>
      </c>
      <c r="C98" s="205"/>
      <c r="D98" s="201" t="s">
        <v>251</v>
      </c>
      <c r="E98" s="202"/>
      <c r="F98" s="202"/>
      <c r="G98" s="203"/>
    </row>
    <row r="99" spans="1:7" ht="28.5" customHeight="1" x14ac:dyDescent="0.2">
      <c r="A99" s="60" t="s">
        <v>252</v>
      </c>
      <c r="B99" s="204" t="s">
        <v>253</v>
      </c>
      <c r="C99" s="205"/>
      <c r="D99" s="201" t="s">
        <v>254</v>
      </c>
      <c r="E99" s="202"/>
      <c r="F99" s="202"/>
      <c r="G99" s="203"/>
    </row>
    <row r="100" spans="1:7" ht="51.75" customHeight="1" x14ac:dyDescent="0.2">
      <c r="A100" s="60" t="s">
        <v>255</v>
      </c>
      <c r="B100" s="204" t="s">
        <v>302</v>
      </c>
      <c r="C100" s="205"/>
      <c r="D100" s="201" t="s">
        <v>256</v>
      </c>
      <c r="E100" s="202"/>
      <c r="F100" s="202"/>
      <c r="G100" s="203"/>
    </row>
    <row r="101" spans="1:7" ht="73.5" customHeight="1" x14ac:dyDescent="0.2">
      <c r="A101" s="60" t="s">
        <v>257</v>
      </c>
      <c r="B101" s="204" t="s">
        <v>258</v>
      </c>
      <c r="C101" s="205"/>
      <c r="D101" s="201" t="s">
        <v>259</v>
      </c>
      <c r="E101" s="202"/>
      <c r="F101" s="202"/>
      <c r="G101" s="203"/>
    </row>
    <row r="102" spans="1:7" ht="124.5" customHeight="1" x14ac:dyDescent="0.2">
      <c r="A102" s="60" t="s">
        <v>306</v>
      </c>
      <c r="B102" s="208" t="s">
        <v>303</v>
      </c>
      <c r="C102" s="208"/>
      <c r="D102" s="209" t="s">
        <v>308</v>
      </c>
      <c r="E102" s="209"/>
      <c r="F102" s="209"/>
      <c r="G102" s="209"/>
    </row>
    <row r="103" spans="1:7" ht="33.75" customHeight="1" x14ac:dyDescent="0.2">
      <c r="A103" s="60" t="s">
        <v>307</v>
      </c>
      <c r="B103" s="208" t="s">
        <v>304</v>
      </c>
      <c r="C103" s="208"/>
      <c r="D103" s="209" t="s">
        <v>309</v>
      </c>
      <c r="E103" s="209"/>
      <c r="F103" s="209"/>
      <c r="G103" s="209"/>
    </row>
    <row r="104" spans="1:7" ht="33.75" customHeight="1" x14ac:dyDescent="0.2">
      <c r="A104" s="60" t="s">
        <v>368</v>
      </c>
      <c r="B104" s="208" t="s">
        <v>360</v>
      </c>
      <c r="C104" s="208"/>
      <c r="D104" s="209" t="s">
        <v>369</v>
      </c>
      <c r="E104" s="209"/>
      <c r="F104" s="209"/>
      <c r="G104" s="209"/>
    </row>
    <row r="106" spans="1:7" x14ac:dyDescent="0.2">
      <c r="B106" s="46" t="s">
        <v>172</v>
      </c>
      <c r="C106" s="46">
        <f>2</f>
        <v>2</v>
      </c>
      <c r="D106" s="46" t="str">
        <f>IF(C106="1","I Kwartał",IF(C106="2","II Kwartały",IF(C106="3","III Kwartały",IF(C106="4","IV Kwartały","-"))))</f>
        <v>-</v>
      </c>
    </row>
    <row r="107" spans="1:7" x14ac:dyDescent="0.2">
      <c r="B107" s="46" t="s">
        <v>173</v>
      </c>
      <c r="C107" s="46">
        <f>2023</f>
        <v>2023</v>
      </c>
    </row>
    <row r="108" spans="1:7" x14ac:dyDescent="0.2">
      <c r="B108" s="46" t="s">
        <v>174</v>
      </c>
      <c r="C108" s="47" t="str">
        <f>"Aug 14 2023 12:00AM"</f>
        <v>Aug 14 2023 12:00AM</v>
      </c>
    </row>
  </sheetData>
  <mergeCells count="139">
    <mergeCell ref="B77:C77"/>
    <mergeCell ref="D79:G79"/>
    <mergeCell ref="B104:C104"/>
    <mergeCell ref="D104:G104"/>
    <mergeCell ref="B83:C83"/>
    <mergeCell ref="D83:G83"/>
    <mergeCell ref="B84:C84"/>
    <mergeCell ref="D84:G84"/>
    <mergeCell ref="B91:C91"/>
    <mergeCell ref="D91:G91"/>
    <mergeCell ref="D77:G77"/>
    <mergeCell ref="F93:G93"/>
    <mergeCell ref="F95:G95"/>
    <mergeCell ref="D94:E94"/>
    <mergeCell ref="D90:G90"/>
    <mergeCell ref="D86:G86"/>
    <mergeCell ref="D85:G85"/>
    <mergeCell ref="D93:E93"/>
    <mergeCell ref="D87:G87"/>
    <mergeCell ref="B86:C86"/>
    <mergeCell ref="B88:C88"/>
    <mergeCell ref="D89:G89"/>
    <mergeCell ref="B82:C82"/>
    <mergeCell ref="D95:E95"/>
    <mergeCell ref="B87:C87"/>
    <mergeCell ref="B85:C85"/>
    <mergeCell ref="D82:G82"/>
    <mergeCell ref="H73:I73"/>
    <mergeCell ref="F73:G73"/>
    <mergeCell ref="D75:G75"/>
    <mergeCell ref="D74:E74"/>
    <mergeCell ref="B79:C79"/>
    <mergeCell ref="D78:G78"/>
    <mergeCell ref="F74:G74"/>
    <mergeCell ref="B72:C73"/>
    <mergeCell ref="B101:C101"/>
    <mergeCell ref="D101:G101"/>
    <mergeCell ref="D98:G98"/>
    <mergeCell ref="D88:G88"/>
    <mergeCell ref="D96:G96"/>
    <mergeCell ref="B81:C81"/>
    <mergeCell ref="B89:C89"/>
    <mergeCell ref="D97:G97"/>
    <mergeCell ref="B96:C96"/>
    <mergeCell ref="B97:C97"/>
    <mergeCell ref="D76:G76"/>
    <mergeCell ref="B76:C76"/>
    <mergeCell ref="C67:J67"/>
    <mergeCell ref="D81:G81"/>
    <mergeCell ref="C68:J68"/>
    <mergeCell ref="B80:C80"/>
    <mergeCell ref="D80:G80"/>
    <mergeCell ref="B75:C75"/>
    <mergeCell ref="F72:G72"/>
    <mergeCell ref="B74:C74"/>
    <mergeCell ref="C66:J66"/>
    <mergeCell ref="C28:E28"/>
    <mergeCell ref="C35:E35"/>
    <mergeCell ref="C53:J53"/>
    <mergeCell ref="C56:J56"/>
    <mergeCell ref="F48:H48"/>
    <mergeCell ref="E48:E50"/>
    <mergeCell ref="C62:J62"/>
    <mergeCell ref="C48:C50"/>
    <mergeCell ref="C55:J55"/>
    <mergeCell ref="C27:E27"/>
    <mergeCell ref="C36:E36"/>
    <mergeCell ref="I52:J52"/>
    <mergeCell ref="C32:E32"/>
    <mergeCell ref="I51:J51"/>
    <mergeCell ref="C31:E31"/>
    <mergeCell ref="C38:E38"/>
    <mergeCell ref="C21:E21"/>
    <mergeCell ref="C11:E11"/>
    <mergeCell ref="C12:E12"/>
    <mergeCell ref="B1:M1"/>
    <mergeCell ref="B46:M46"/>
    <mergeCell ref="B70:M70"/>
    <mergeCell ref="L48:L50"/>
    <mergeCell ref="B2:B3"/>
    <mergeCell ref="K51:L51"/>
    <mergeCell ref="E3:G3"/>
    <mergeCell ref="C5:E5"/>
    <mergeCell ref="C6:E6"/>
    <mergeCell ref="C7:E7"/>
    <mergeCell ref="C8:E8"/>
    <mergeCell ref="C14:E14"/>
    <mergeCell ref="C19:E19"/>
    <mergeCell ref="C15:E15"/>
    <mergeCell ref="C17:E17"/>
    <mergeCell ref="C9:E9"/>
    <mergeCell ref="C13:E13"/>
    <mergeCell ref="K48:K50"/>
    <mergeCell ref="C16:E16"/>
    <mergeCell ref="B78:C78"/>
    <mergeCell ref="C37:E37"/>
    <mergeCell ref="C42:E42"/>
    <mergeCell ref="D72:E72"/>
    <mergeCell ref="D73:E73"/>
    <mergeCell ref="C22:E22"/>
    <mergeCell ref="C29:E29"/>
    <mergeCell ref="C30:E30"/>
    <mergeCell ref="C10:E10"/>
    <mergeCell ref="C60:J60"/>
    <mergeCell ref="C58:J58"/>
    <mergeCell ref="C20:E20"/>
    <mergeCell ref="G49:H49"/>
    <mergeCell ref="C57:J57"/>
    <mergeCell ref="C59:J59"/>
    <mergeCell ref="C18:E18"/>
    <mergeCell ref="C23:E23"/>
    <mergeCell ref="C24:E24"/>
    <mergeCell ref="C25:E25"/>
    <mergeCell ref="C63:J63"/>
    <mergeCell ref="C39:E39"/>
    <mergeCell ref="C41:E41"/>
    <mergeCell ref="D48:D50"/>
    <mergeCell ref="C43:E43"/>
    <mergeCell ref="C26:E26"/>
    <mergeCell ref="I48:J50"/>
    <mergeCell ref="C33:E33"/>
    <mergeCell ref="C34:E34"/>
    <mergeCell ref="B102:C102"/>
    <mergeCell ref="B103:C103"/>
    <mergeCell ref="D102:G102"/>
    <mergeCell ref="D103:G103"/>
    <mergeCell ref="F49:F50"/>
    <mergeCell ref="B48:B51"/>
    <mergeCell ref="C54:J54"/>
    <mergeCell ref="C61:J61"/>
    <mergeCell ref="B90:C90"/>
    <mergeCell ref="B99:C99"/>
    <mergeCell ref="D99:G99"/>
    <mergeCell ref="B100:C100"/>
    <mergeCell ref="D100:G100"/>
    <mergeCell ref="F94:G94"/>
    <mergeCell ref="B95:C95"/>
    <mergeCell ref="B93:C94"/>
    <mergeCell ref="B98:C98"/>
  </mergeCells>
  <phoneticPr fontId="0" type="noConversion"/>
  <pageMargins left="0.18" right="0.18" top="0.55118110236220474" bottom="0.39370078740157483" header="0.31496062992125984" footer="0.19685039370078741"/>
  <pageSetup paperSize="9" scale="62" orientation="landscape" r:id="rId1"/>
  <headerFooter alignWithMargins="0">
    <oddFooter>&amp;L&amp;"Arial CE,Kursywa"&amp;9&amp;D&amp;R&amp;9strona &amp;P z 5</oddFooter>
  </headerFooter>
  <rowBreaks count="2" manualBreakCount="2">
    <brk id="45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doch_wyd</vt:lpstr>
      <vt:lpstr>definicja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2023-08-14T13:28:38Z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