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<sst xmlns="http://schemas.openxmlformats.org/spreadsheetml/2006/main" count="95" uniqueCount="78">
  <si>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</si>
  <si>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</si>
  <si>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</si>
  <si>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</si>
  <si>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</si>
  <si>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</si>
  <si>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</si>
  <si>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</si>
  <si>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</si>
  <si>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</si>
  <si>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</si>
  <si>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</si>
  <si>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</si>
  <si>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</si>
  <si>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</si>
  <si>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</si>
  <si>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</si>
  <si>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</si>
  <si>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</si>
  <si>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</si>
  <si>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</si>
  <si>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</si>
  <si>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</si>
  <si>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</si>
  <si>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</si>
  <si>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</si>
  <si>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</si>
  <si>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</si>
  <si>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</si>
  <si>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</si>
  <si>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</si>
  <si>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</si>
  <si>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</si>
  <si>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</si>
  <si>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</si>
  <si>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</si>
  <si>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</si>
  <si>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</si>
  <si>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</si>
  <si>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</si>
  <si>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</si>
  <si>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</si>
  <si>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</si>
  <si>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</si>
  <si>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</si>
  <si>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</si>
  <si>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</si>
  <si>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</si>
  <si>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</si>
  <si>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</si>
  <si>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</si>
  <si>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</si>
  <si>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</si>
  <si>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</si>
  <si>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</si>
  <si>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</si>
  <si>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</si>
  <si>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</si>
  <si>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</si>
  <si>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</si>
  <si>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</si>
  <si>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</si>
  <si>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</si>
  <si>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</si>
  <si>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</si>
  <si>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</si>
  <si>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</si>
  <si>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</si>
  <si>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</si>
  <si>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</si>
  <si>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</si>
  <si>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</si>
  <si>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</si>
  <si>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</si>
  <si>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</si>
  <si>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</si>
  <si>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</si>
  <si>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 Kwartał 2020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</si>
</sst>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81064545176.4</f>
        <v>81064545176.4</v>
      </c>
      <c r="C13" s="20">
        <f>62935702053.14</f>
        <v>62935702053.14</v>
      </c>
      <c r="D13" s="20">
        <f>3707161184.64</f>
        <v>3707161184.64</v>
      </c>
      <c r="E13" s="20">
        <f>733035598.66</f>
        <v>733035598.66</v>
      </c>
      <c r="F13" s="20">
        <f>586187190.32</f>
        <v>586187190.32</v>
      </c>
      <c r="G13" s="20">
        <f>2384119542.86</f>
        <v>2384119542.86</v>
      </c>
      <c r="H13" s="20">
        <f>3818852.8</f>
        <v>3818852.8</v>
      </c>
      <c r="I13" s="20">
        <f>0</f>
        <v>0</v>
      </c>
      <c r="J13" s="20">
        <f>56292599628.51</f>
        <v>56292599628.51</v>
      </c>
      <c r="K13" s="20">
        <f>1221302493.62</f>
        <v>1221302493.62</v>
      </c>
      <c r="L13" s="20">
        <f>1656705386.75</f>
        <v>1656705386.75</v>
      </c>
      <c r="M13" s="20">
        <f>42188470.68</f>
        <v>42188470.68</v>
      </c>
      <c r="N13" s="20">
        <f>15744888.94</f>
        <v>15744888.94</v>
      </c>
      <c r="O13" s="20">
        <f>18128843123.26</f>
        <v>18128843123.26</v>
      </c>
      <c r="P13" s="20">
        <f>18128841698.5</f>
        <v>18128841698.5</v>
      </c>
      <c r="Q13" s="20">
        <f>1424.76</f>
        <v>1424.76</v>
      </c>
    </row>
    <row r="14" spans="1:17" ht="41.25" customHeight="1">
      <c r="A14" s="18" t="s">
        <v>73</v>
      </c>
      <c r="B14" s="20">
        <f>3252870263.3</f>
        <v>3252870263.3</v>
      </c>
      <c r="C14" s="20">
        <f>3252870263.3</f>
        <v>3252870263.3</v>
      </c>
      <c r="D14" s="20">
        <f>6553601.56</f>
        <v>6553601.56</v>
      </c>
      <c r="E14" s="20">
        <f>0</f>
        <v>0</v>
      </c>
      <c r="F14" s="20">
        <f>4220161</f>
        <v>4220161</v>
      </c>
      <c r="G14" s="20">
        <f>2333440.56</f>
        <v>2333440.56</v>
      </c>
      <c r="H14" s="20">
        <f>0</f>
        <v>0</v>
      </c>
      <c r="I14" s="20">
        <f>0</f>
        <v>0</v>
      </c>
      <c r="J14" s="20">
        <f>3186729609.46</f>
        <v>3186729609.46</v>
      </c>
      <c r="K14" s="20">
        <f>58264000</f>
        <v>58264000</v>
      </c>
      <c r="L14" s="20">
        <f>1323052.28</f>
        <v>1323052.28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3252870263.3</f>
        <v>3252870263.3</v>
      </c>
      <c r="C16" s="21">
        <f>3252870263.3</f>
        <v>3252870263.3</v>
      </c>
      <c r="D16" s="21">
        <f>6553601.56</f>
        <v>6553601.56</v>
      </c>
      <c r="E16" s="21">
        <f>0</f>
        <v>0</v>
      </c>
      <c r="F16" s="21">
        <f>4220161</f>
        <v>4220161</v>
      </c>
      <c r="G16" s="21">
        <f>2333440.56</f>
        <v>2333440.56</v>
      </c>
      <c r="H16" s="21">
        <f>0</f>
        <v>0</v>
      </c>
      <c r="I16" s="21">
        <f>0</f>
        <v>0</v>
      </c>
      <c r="J16" s="21">
        <f>3186729609.46</f>
        <v>3186729609.46</v>
      </c>
      <c r="K16" s="21">
        <f>58264000</f>
        <v>58264000</v>
      </c>
      <c r="L16" s="21">
        <f>1323052.28</f>
        <v>1323052.28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77737568407.31</f>
        <v>77737568407.31</v>
      </c>
      <c r="C17" s="20">
        <f>59608726708.81</f>
        <v>59608726708.81</v>
      </c>
      <c r="D17" s="20">
        <f>3681908333.05</f>
        <v>3681908333.05</v>
      </c>
      <c r="E17" s="20">
        <f>724762793.75</f>
        <v>724762793.75</v>
      </c>
      <c r="F17" s="20">
        <f>581950794.7</f>
        <v>581950794.7</v>
      </c>
      <c r="G17" s="20">
        <f>2373568165.67</f>
        <v>2373568165.67</v>
      </c>
      <c r="H17" s="20">
        <f>1626578.93</f>
        <v>1626578.93</v>
      </c>
      <c r="I17" s="20">
        <f>0</f>
        <v>0</v>
      </c>
      <c r="J17" s="20">
        <f>53105849249.94</f>
        <v>53105849249.94</v>
      </c>
      <c r="K17" s="20">
        <f>1163030931.07</f>
        <v>1163030931.07</v>
      </c>
      <c r="L17" s="20">
        <f>1633204433.29</f>
        <v>1633204433.29</v>
      </c>
      <c r="M17" s="20">
        <f>14955840.75</f>
        <v>14955840.75</v>
      </c>
      <c r="N17" s="20">
        <f>9777920.71</f>
        <v>9777920.71</v>
      </c>
      <c r="O17" s="20">
        <f>18128841698.5</f>
        <v>18128841698.5</v>
      </c>
      <c r="P17" s="20">
        <f>18128841698.5</f>
        <v>18128841698.5</v>
      </c>
      <c r="Q17" s="20">
        <f>0</f>
        <v>0</v>
      </c>
    </row>
    <row r="18" spans="1:17" ht="22.5">
      <c r="A18" s="15" t="s">
        <v>46</v>
      </c>
      <c r="B18" s="21">
        <f>547170222.1</f>
        <v>547170222.1</v>
      </c>
      <c r="C18" s="21">
        <f>547170222.1</f>
        <v>547170222.1</v>
      </c>
      <c r="D18" s="21">
        <f>40460549.51</f>
        <v>40460549.51</v>
      </c>
      <c r="E18" s="21">
        <f>18845461.75</f>
        <v>18845461.75</v>
      </c>
      <c r="F18" s="21">
        <f>3812037.58</f>
        <v>3812037.58</v>
      </c>
      <c r="G18" s="21">
        <f>17803050.18</f>
        <v>17803050.18</v>
      </c>
      <c r="H18" s="21">
        <f>0</f>
        <v>0</v>
      </c>
      <c r="I18" s="21">
        <f>0</f>
        <v>0</v>
      </c>
      <c r="J18" s="21">
        <f>493182617.43</f>
        <v>493182617.43</v>
      </c>
      <c r="K18" s="21">
        <f>10233230.83</f>
        <v>10233230.83</v>
      </c>
      <c r="L18" s="21">
        <f>831838.39</f>
        <v>831838.39</v>
      </c>
      <c r="M18" s="21">
        <f>2198512.41</f>
        <v>2198512.41</v>
      </c>
      <c r="N18" s="21">
        <f>263473.53</f>
        <v>263473.53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77190398185.21</f>
        <v>77190398185.21</v>
      </c>
      <c r="C19" s="21">
        <f>59061556486.71</f>
        <v>59061556486.71</v>
      </c>
      <c r="D19" s="21">
        <f>3641447783.54</f>
        <v>3641447783.54</v>
      </c>
      <c r="E19" s="21">
        <f>705917332</f>
        <v>705917332</v>
      </c>
      <c r="F19" s="21">
        <f>578138757.12</f>
        <v>578138757.12</v>
      </c>
      <c r="G19" s="21">
        <f>2355765115.49</f>
        <v>2355765115.49</v>
      </c>
      <c r="H19" s="21">
        <f>1626578.93</f>
        <v>1626578.93</v>
      </c>
      <c r="I19" s="21">
        <f>0</f>
        <v>0</v>
      </c>
      <c r="J19" s="21">
        <f>52612666632.51</f>
        <v>52612666632.51</v>
      </c>
      <c r="K19" s="21">
        <f>1152797700.24</f>
        <v>1152797700.24</v>
      </c>
      <c r="L19" s="21">
        <f>1632372594.9</f>
        <v>1632372594.9</v>
      </c>
      <c r="M19" s="21">
        <f>12757328.34</f>
        <v>12757328.34</v>
      </c>
      <c r="N19" s="21">
        <f>9514447.18</f>
        <v>9514447.18</v>
      </c>
      <c r="O19" s="21">
        <f>18128841698.5</f>
        <v>18128841698.5</v>
      </c>
      <c r="P19" s="21">
        <f>18128841698.5</f>
        <v>18128841698.5</v>
      </c>
      <c r="Q19" s="21">
        <f>0</f>
        <v>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74106505.79</f>
        <v>74106505.79</v>
      </c>
      <c r="C21" s="20">
        <f>74105081.03</f>
        <v>74105081.03</v>
      </c>
      <c r="D21" s="20">
        <f>18699250.03</f>
        <v>18699250.03</v>
      </c>
      <c r="E21" s="20">
        <f>8272804.91</f>
        <v>8272804.91</v>
      </c>
      <c r="F21" s="20">
        <f>16234.62</f>
        <v>16234.62</v>
      </c>
      <c r="G21" s="20">
        <f>8217936.63</f>
        <v>8217936.63</v>
      </c>
      <c r="H21" s="20">
        <f>2192273.87</f>
        <v>2192273.87</v>
      </c>
      <c r="I21" s="20">
        <f>0</f>
        <v>0</v>
      </c>
      <c r="J21" s="20">
        <f>20769.11</f>
        <v>20769.11</v>
      </c>
      <c r="K21" s="20">
        <f>7562.55</f>
        <v>7562.55</v>
      </c>
      <c r="L21" s="20">
        <f>22177901.18</f>
        <v>22177901.18</v>
      </c>
      <c r="M21" s="20">
        <f>27232629.93</f>
        <v>27232629.93</v>
      </c>
      <c r="N21" s="20">
        <f>5966968.23</f>
        <v>5966968.23</v>
      </c>
      <c r="O21" s="20">
        <f>1424.76</f>
        <v>1424.76</v>
      </c>
      <c r="P21" s="20">
        <f>0</f>
        <v>0</v>
      </c>
      <c r="Q21" s="20">
        <f>1424.76</f>
        <v>1424.76</v>
      </c>
    </row>
    <row r="22" spans="1:17" ht="33" customHeight="1">
      <c r="A22" s="16" t="s">
        <v>49</v>
      </c>
      <c r="B22" s="21">
        <f>45622721.23</f>
        <v>45622721.23</v>
      </c>
      <c r="C22" s="21">
        <f>45622721.23</f>
        <v>45622721.23</v>
      </c>
      <c r="D22" s="21">
        <f>1497204.69</f>
        <v>1497204.69</v>
      </c>
      <c r="E22" s="21">
        <f>222549.41</f>
        <v>222549.41</v>
      </c>
      <c r="F22" s="21">
        <f>880.99</f>
        <v>880.99</v>
      </c>
      <c r="G22" s="21">
        <f>1273774.29</f>
        <v>1273774.29</v>
      </c>
      <c r="H22" s="21">
        <f>0</f>
        <v>0</v>
      </c>
      <c r="I22" s="21">
        <f>0</f>
        <v>0</v>
      </c>
      <c r="J22" s="21">
        <f>10</f>
        <v>10</v>
      </c>
      <c r="K22" s="21">
        <f>7293.65</f>
        <v>7293.65</v>
      </c>
      <c r="L22" s="21">
        <f>17300055.68</f>
        <v>17300055.68</v>
      </c>
      <c r="M22" s="21">
        <f>21460691.61</f>
        <v>21460691.61</v>
      </c>
      <c r="N22" s="21">
        <f>5357465.6</f>
        <v>5357465.6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28483784.56</f>
        <v>28483784.56</v>
      </c>
      <c r="C23" s="21">
        <f>28482359.8</f>
        <v>28482359.8</v>
      </c>
      <c r="D23" s="21">
        <f>17202045.34</f>
        <v>17202045.34</v>
      </c>
      <c r="E23" s="21">
        <f>8050255.5</f>
        <v>8050255.5</v>
      </c>
      <c r="F23" s="21">
        <f>15353.63</f>
        <v>15353.63</v>
      </c>
      <c r="G23" s="21">
        <f>6944162.34</f>
        <v>6944162.34</v>
      </c>
      <c r="H23" s="21">
        <f>2192273.87</f>
        <v>2192273.87</v>
      </c>
      <c r="I23" s="21">
        <f>0</f>
        <v>0</v>
      </c>
      <c r="J23" s="21">
        <f>20759.11</f>
        <v>20759.11</v>
      </c>
      <c r="K23" s="21">
        <f>268.9</f>
        <v>268.9</v>
      </c>
      <c r="L23" s="21">
        <f>4877845.5</f>
        <v>4877845.5</v>
      </c>
      <c r="M23" s="21">
        <f>5771938.32</f>
        <v>5771938.32</v>
      </c>
      <c r="N23" s="21">
        <f>609502.63</f>
        <v>609502.63</v>
      </c>
      <c r="O23" s="21">
        <f>1424.76</f>
        <v>1424.76</v>
      </c>
      <c r="P23" s="21">
        <f>0</f>
        <v>0</v>
      </c>
      <c r="Q23" s="21">
        <f>1424.76</f>
        <v>1424.76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37594786.49</f>
        <v>37594786.49</v>
      </c>
      <c r="C41" s="22">
        <f>37594786.49</f>
        <v>37594786.49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30844761.46</f>
        <v>30844761.46</v>
      </c>
      <c r="K41" s="22">
        <f>23165</f>
        <v>23165</v>
      </c>
      <c r="L41" s="22">
        <f>5019599.13</f>
        <v>5019599.13</v>
      </c>
      <c r="M41" s="22">
        <f>1537260.9</f>
        <v>1537260.9</v>
      </c>
      <c r="N41" s="22">
        <f>120000</f>
        <v>120000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2886590.42</f>
        <v>2886590.42</v>
      </c>
      <c r="C42" s="23">
        <f>2886590.42</f>
        <v>2886590.42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2806000</f>
        <v>2806000</v>
      </c>
      <c r="K42" s="23">
        <f>0</f>
        <v>0</v>
      </c>
      <c r="L42" s="23">
        <f>25228.88</f>
        <v>25228.88</v>
      </c>
      <c r="M42" s="23">
        <f>55361.54</f>
        <v>55361.54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34708196.07</f>
        <v>34708196.07</v>
      </c>
      <c r="C43" s="23">
        <f>34708196.07</f>
        <v>34708196.07</v>
      </c>
      <c r="D43" s="23">
        <f>50000</f>
        <v>50000</v>
      </c>
      <c r="E43" s="23">
        <f>50000</f>
        <v>50000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28038761.46</f>
        <v>28038761.46</v>
      </c>
      <c r="K43" s="23">
        <f>23165</f>
        <v>23165</v>
      </c>
      <c r="L43" s="23">
        <f>4994370.25</f>
        <v>4994370.25</v>
      </c>
      <c r="M43" s="23">
        <f>1481899.36</f>
        <v>1481899.36</v>
      </c>
      <c r="N43" s="23">
        <f>120000</f>
        <v>120000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1368208460.77</f>
        <v>1368208460.77</v>
      </c>
      <c r="C44" s="22">
        <f>1368202148.96</f>
        <v>1368202148.96</v>
      </c>
      <c r="D44" s="22">
        <f>561589777.89</f>
        <v>561589777.89</v>
      </c>
      <c r="E44" s="22">
        <f>705768.22</f>
        <v>705768.22</v>
      </c>
      <c r="F44" s="22">
        <f>4298360.97</f>
        <v>4298360.97</v>
      </c>
      <c r="G44" s="22">
        <f>556585648.7</f>
        <v>556585648.7</v>
      </c>
      <c r="H44" s="22">
        <f>0</f>
        <v>0</v>
      </c>
      <c r="I44" s="22">
        <f>0</f>
        <v>0</v>
      </c>
      <c r="J44" s="22">
        <f>4776342.19</f>
        <v>4776342.19</v>
      </c>
      <c r="K44" s="22">
        <f>936480.08</f>
        <v>936480.08</v>
      </c>
      <c r="L44" s="22">
        <f>412985855.83</f>
        <v>412985855.83</v>
      </c>
      <c r="M44" s="22">
        <f>349117137.13</f>
        <v>349117137.13</v>
      </c>
      <c r="N44" s="22">
        <f>38796555.84</f>
        <v>38796555.84</v>
      </c>
      <c r="O44" s="22">
        <f>6311.81</f>
        <v>6311.81</v>
      </c>
      <c r="P44" s="22">
        <f>6311.81</f>
        <v>6311.81</v>
      </c>
      <c r="Q44" s="22">
        <f>0</f>
        <v>0</v>
      </c>
    </row>
    <row r="45" spans="1:17" ht="32.25" customHeight="1">
      <c r="A45" s="17" t="s">
        <v>29</v>
      </c>
      <c r="B45" s="23">
        <f>135062419.45</f>
        <v>135062419.45</v>
      </c>
      <c r="C45" s="23">
        <f>135062419.45</f>
        <v>135062419.45</v>
      </c>
      <c r="D45" s="23">
        <f>61250799.85</f>
        <v>61250799.85</v>
      </c>
      <c r="E45" s="23">
        <f>308877.9</f>
        <v>308877.9</v>
      </c>
      <c r="F45" s="23">
        <f>2200000</f>
        <v>2200000</v>
      </c>
      <c r="G45" s="23">
        <f>58741921.95</f>
        <v>58741921.95</v>
      </c>
      <c r="H45" s="23">
        <f>0</f>
        <v>0</v>
      </c>
      <c r="I45" s="23">
        <f>0</f>
        <v>0</v>
      </c>
      <c r="J45" s="23">
        <f>3582284.28</f>
        <v>3582284.28</v>
      </c>
      <c r="K45" s="23">
        <f>0</f>
        <v>0</v>
      </c>
      <c r="L45" s="23">
        <f>36369166.69</f>
        <v>36369166.69</v>
      </c>
      <c r="M45" s="23">
        <f>20964847.84</f>
        <v>20964847.84</v>
      </c>
      <c r="N45" s="23">
        <f>12895320.79</f>
        <v>12895320.79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1233146041.32</f>
        <v>1233146041.32</v>
      </c>
      <c r="C46" s="23">
        <f>1233139729.51</f>
        <v>1233139729.51</v>
      </c>
      <c r="D46" s="23">
        <f>500338978.04</f>
        <v>500338978.04</v>
      </c>
      <c r="E46" s="23">
        <f>396890.32</f>
        <v>396890.32</v>
      </c>
      <c r="F46" s="23">
        <f>2098360.97</f>
        <v>2098360.97</v>
      </c>
      <c r="G46" s="23">
        <f>497843726.75</f>
        <v>497843726.75</v>
      </c>
      <c r="H46" s="23">
        <f>0</f>
        <v>0</v>
      </c>
      <c r="I46" s="23">
        <f>0</f>
        <v>0</v>
      </c>
      <c r="J46" s="23">
        <f>1194057.91</f>
        <v>1194057.91</v>
      </c>
      <c r="K46" s="23">
        <f>936480.08</f>
        <v>936480.08</v>
      </c>
      <c r="L46" s="23">
        <f>376616689.14</f>
        <v>376616689.14</v>
      </c>
      <c r="M46" s="23">
        <f>328152289.29</f>
        <v>328152289.29</v>
      </c>
      <c r="N46" s="23">
        <f>25901235.05</f>
        <v>25901235.05</v>
      </c>
      <c r="O46" s="23">
        <f>6311.81</f>
        <v>6311.81</v>
      </c>
      <c r="P46" s="23">
        <f>6311.81</f>
        <v>6311.81</v>
      </c>
      <c r="Q46" s="23">
        <f>0</f>
        <v>0</v>
      </c>
    </row>
    <row r="47" spans="1:17" ht="35.25" customHeight="1">
      <c r="A47" s="27" t="s">
        <v>40</v>
      </c>
      <c r="B47" s="22">
        <f>30173707849.35</f>
        <v>30173707849.35</v>
      </c>
      <c r="C47" s="22">
        <f>30173546623.71</f>
        <v>30173546623.71</v>
      </c>
      <c r="D47" s="22">
        <f>37155659.31</f>
        <v>37155659.31</v>
      </c>
      <c r="E47" s="22">
        <f>13883944.2</f>
        <v>13883944.2</v>
      </c>
      <c r="F47" s="22">
        <f>44980.53</f>
        <v>44980.53</v>
      </c>
      <c r="G47" s="22">
        <f>23226734.58</f>
        <v>23226734.58</v>
      </c>
      <c r="H47" s="22">
        <f>0</f>
        <v>0</v>
      </c>
      <c r="I47" s="22">
        <f>5328046.14</f>
        <v>5328046.14</v>
      </c>
      <c r="J47" s="22">
        <f>30126638938.79</f>
        <v>30126638938.79</v>
      </c>
      <c r="K47" s="22">
        <f>11103.82</f>
        <v>11103.82</v>
      </c>
      <c r="L47" s="22">
        <f>4027262.98</f>
        <v>4027262.98</v>
      </c>
      <c r="M47" s="22">
        <f>132808.29</f>
        <v>132808.29</v>
      </c>
      <c r="N47" s="22">
        <f>252804.38</f>
        <v>252804.38</v>
      </c>
      <c r="O47" s="22">
        <f>161225.64</f>
        <v>161225.64</v>
      </c>
      <c r="P47" s="22">
        <f>161225.64</f>
        <v>161225.64</v>
      </c>
      <c r="Q47" s="22">
        <f>0</f>
        <v>0</v>
      </c>
    </row>
    <row r="48" spans="1:17" ht="28.5" customHeight="1">
      <c r="A48" s="17" t="s">
        <v>31</v>
      </c>
      <c r="B48" s="23">
        <f>18665631.67</f>
        <v>18665631.67</v>
      </c>
      <c r="C48" s="23">
        <f>18665631.67</f>
        <v>18665631.67</v>
      </c>
      <c r="D48" s="23">
        <f>18665631.67</f>
        <v>18665631.67</v>
      </c>
      <c r="E48" s="23">
        <f>0</f>
        <v>0</v>
      </c>
      <c r="F48" s="23">
        <f>0</f>
        <v>0</v>
      </c>
      <c r="G48" s="23">
        <f>18665631.67</f>
        <v>18665631.67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26094465683.83</f>
        <v>26094465683.83</v>
      </c>
      <c r="C49" s="23">
        <f>26094465683.83</f>
        <v>26094465683.83</v>
      </c>
      <c r="D49" s="23">
        <f>16116026.12</f>
        <v>16116026.12</v>
      </c>
      <c r="E49" s="23">
        <f>11776723.86</f>
        <v>11776723.86</v>
      </c>
      <c r="F49" s="23">
        <f>7290.03</f>
        <v>7290.03</v>
      </c>
      <c r="G49" s="23">
        <f>4332012.23</f>
        <v>4332012.23</v>
      </c>
      <c r="H49" s="23">
        <f>0</f>
        <v>0</v>
      </c>
      <c r="I49" s="23">
        <f>5275630.14</f>
        <v>5275630.14</v>
      </c>
      <c r="J49" s="23">
        <f>26070151300.32</f>
        <v>26070151300.32</v>
      </c>
      <c r="K49" s="23">
        <f>2007</f>
        <v>2007</v>
      </c>
      <c r="L49" s="23">
        <f>2814648.3</f>
        <v>2814648.3</v>
      </c>
      <c r="M49" s="23">
        <f>11788.83</f>
        <v>11788.83</v>
      </c>
      <c r="N49" s="23">
        <f>94283.12</f>
        <v>94283.12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4060576533.85</f>
        <v>4060576533.85</v>
      </c>
      <c r="C50" s="23">
        <f>4060415308.21</f>
        <v>4060415308.21</v>
      </c>
      <c r="D50" s="23">
        <f>2374001.52</f>
        <v>2374001.52</v>
      </c>
      <c r="E50" s="23">
        <f>2107220.34</f>
        <v>2107220.34</v>
      </c>
      <c r="F50" s="23">
        <f>37690.5</f>
        <v>37690.5</v>
      </c>
      <c r="G50" s="23">
        <f>229090.68</f>
        <v>229090.68</v>
      </c>
      <c r="H50" s="23">
        <f>0</f>
        <v>0</v>
      </c>
      <c r="I50" s="23">
        <f>52416</f>
        <v>52416</v>
      </c>
      <c r="J50" s="23">
        <f>4056487638.47</f>
        <v>4056487638.47</v>
      </c>
      <c r="K50" s="23">
        <f>9096.82</f>
        <v>9096.82</v>
      </c>
      <c r="L50" s="23">
        <f>1212614.68</f>
        <v>1212614.68</v>
      </c>
      <c r="M50" s="23">
        <f>121019.46</f>
        <v>121019.46</v>
      </c>
      <c r="N50" s="23">
        <f>158521.26</f>
        <v>158521.26</v>
      </c>
      <c r="O50" s="23">
        <f>161225.64</f>
        <v>161225.64</v>
      </c>
      <c r="P50" s="23">
        <f>161225.64</f>
        <v>161225.64</v>
      </c>
      <c r="Q50" s="23">
        <f>0</f>
        <v>0</v>
      </c>
    </row>
    <row r="51" spans="1:17" ht="35.25" customHeight="1">
      <c r="A51" s="27" t="s">
        <v>41</v>
      </c>
      <c r="B51" s="22">
        <f>23124228070.79</f>
        <v>23124228070.79</v>
      </c>
      <c r="C51" s="22">
        <f>23076261613.53</f>
        <v>23076261613.53</v>
      </c>
      <c r="D51" s="22">
        <f>526581735.93</f>
        <v>526581735.93</v>
      </c>
      <c r="E51" s="22">
        <f>193776944.5</f>
        <v>193776944.5</v>
      </c>
      <c r="F51" s="22">
        <f>23802629.24</f>
        <v>23802629.24</v>
      </c>
      <c r="G51" s="22">
        <f>305881683.45</f>
        <v>305881683.45</v>
      </c>
      <c r="H51" s="22">
        <f>3120478.74</f>
        <v>3120478.74</v>
      </c>
      <c r="I51" s="22">
        <f>0</f>
        <v>0</v>
      </c>
      <c r="J51" s="22">
        <f>39817748.38</f>
        <v>39817748.38</v>
      </c>
      <c r="K51" s="22">
        <f>50482283.37</f>
        <v>50482283.37</v>
      </c>
      <c r="L51" s="22">
        <f>5949729619.72</f>
        <v>5949729619.72</v>
      </c>
      <c r="M51" s="22">
        <f>16310022590.38</f>
        <v>16310022590.38</v>
      </c>
      <c r="N51" s="22">
        <f>199627635.75</f>
        <v>199627635.75</v>
      </c>
      <c r="O51" s="22">
        <f>47966457.26</f>
        <v>47966457.26</v>
      </c>
      <c r="P51" s="22">
        <f>31555451.09</f>
        <v>31555451.09</v>
      </c>
      <c r="Q51" s="22">
        <f>16411006.17</f>
        <v>16411006.17</v>
      </c>
    </row>
    <row r="52" spans="1:17" ht="28.5" customHeight="1">
      <c r="A52" s="17" t="s">
        <v>34</v>
      </c>
      <c r="B52" s="23">
        <f>6741226044.5</f>
        <v>6741226044.5</v>
      </c>
      <c r="C52" s="23">
        <f>6740232994.79</f>
        <v>6740232994.79</v>
      </c>
      <c r="D52" s="23">
        <f>86910554.4</f>
        <v>86910554.4</v>
      </c>
      <c r="E52" s="23">
        <f>4303742.96</f>
        <v>4303742.96</v>
      </c>
      <c r="F52" s="23">
        <f>1552162.4</f>
        <v>1552162.4</v>
      </c>
      <c r="G52" s="23">
        <f>80181135.51</f>
        <v>80181135.51</v>
      </c>
      <c r="H52" s="23">
        <f>873513.53</f>
        <v>873513.53</v>
      </c>
      <c r="I52" s="23">
        <f>0</f>
        <v>0</v>
      </c>
      <c r="J52" s="23">
        <f>927301.84</f>
        <v>927301.84</v>
      </c>
      <c r="K52" s="23">
        <f>2295205.51</f>
        <v>2295205.51</v>
      </c>
      <c r="L52" s="23">
        <f>938825524.46</f>
        <v>938825524.46</v>
      </c>
      <c r="M52" s="23">
        <f>5654657941.35</f>
        <v>5654657941.35</v>
      </c>
      <c r="N52" s="23">
        <f>56616467.23</f>
        <v>56616467.23</v>
      </c>
      <c r="O52" s="23">
        <f>993049.71</f>
        <v>993049.71</v>
      </c>
      <c r="P52" s="23">
        <f>500399.43</f>
        <v>500399.43</v>
      </c>
      <c r="Q52" s="23">
        <f>492650.28</f>
        <v>492650.28</v>
      </c>
    </row>
    <row r="53" spans="1:17" ht="28.5" customHeight="1">
      <c r="A53" s="17" t="s">
        <v>35</v>
      </c>
      <c r="B53" s="23">
        <f>16383002026.29</f>
        <v>16383002026.29</v>
      </c>
      <c r="C53" s="23">
        <f>16336028618.74</f>
        <v>16336028618.74</v>
      </c>
      <c r="D53" s="23">
        <f>439671181.53</f>
        <v>439671181.53</v>
      </c>
      <c r="E53" s="23">
        <f>189473201.54</f>
        <v>189473201.54</v>
      </c>
      <c r="F53" s="23">
        <f>22250466.84</f>
        <v>22250466.84</v>
      </c>
      <c r="G53" s="23">
        <f>225700547.94</f>
        <v>225700547.94</v>
      </c>
      <c r="H53" s="23">
        <f>2246965.21</f>
        <v>2246965.21</v>
      </c>
      <c r="I53" s="23">
        <f>0</f>
        <v>0</v>
      </c>
      <c r="J53" s="23">
        <f>38890446.54</f>
        <v>38890446.54</v>
      </c>
      <c r="K53" s="23">
        <f>48187077.86</f>
        <v>48187077.86</v>
      </c>
      <c r="L53" s="23">
        <f>5010904095.26</f>
        <v>5010904095.26</v>
      </c>
      <c r="M53" s="23">
        <f>10655364649.03</f>
        <v>10655364649.03</v>
      </c>
      <c r="N53" s="23">
        <f>143011168.52</f>
        <v>143011168.52</v>
      </c>
      <c r="O53" s="23">
        <f>46973407.55</f>
        <v>46973407.55</v>
      </c>
      <c r="P53" s="23">
        <f>31055051.66</f>
        <v>31055051.66</v>
      </c>
      <c r="Q53" s="23">
        <f>15918355.89</f>
        <v>15918355.89</v>
      </c>
    </row>
    <row r="54" spans="1:17" ht="35.25" customHeight="1">
      <c r="A54" s="27" t="s">
        <v>42</v>
      </c>
      <c r="B54" s="22">
        <f>28645157912.39</f>
        <v>28645157912.39</v>
      </c>
      <c r="C54" s="22">
        <f>28577684806.07</f>
        <v>28577684806.07</v>
      </c>
      <c r="D54" s="22">
        <f>2801370404.08</f>
        <v>2801370404.08</v>
      </c>
      <c r="E54" s="22">
        <f>1558824213.42</f>
        <v>1558824213.42</v>
      </c>
      <c r="F54" s="22">
        <f>129426870.59</f>
        <v>129426870.59</v>
      </c>
      <c r="G54" s="22">
        <f>1085798881</f>
        <v>1085798881</v>
      </c>
      <c r="H54" s="22">
        <f>27320439.07</f>
        <v>27320439.07</v>
      </c>
      <c r="I54" s="22">
        <f>1540206.75</f>
        <v>1540206.75</v>
      </c>
      <c r="J54" s="22">
        <f>35455659.44</f>
        <v>35455659.44</v>
      </c>
      <c r="K54" s="22">
        <f>205807945.59</f>
        <v>205807945.59</v>
      </c>
      <c r="L54" s="22">
        <f>16400064896.67</f>
        <v>16400064896.67</v>
      </c>
      <c r="M54" s="22">
        <f>8774461774.5</f>
        <v>8774461774.5</v>
      </c>
      <c r="N54" s="22">
        <f>358983919.04</f>
        <v>358983919.04</v>
      </c>
      <c r="O54" s="22">
        <f>67473106.32</f>
        <v>67473106.32</v>
      </c>
      <c r="P54" s="22">
        <f>42752800.02</f>
        <v>42752800.02</v>
      </c>
      <c r="Q54" s="22">
        <f>24720306.3</f>
        <v>24720306.3</v>
      </c>
    </row>
    <row r="55" spans="1:17" ht="28.5" customHeight="1">
      <c r="A55" s="17" t="s">
        <v>36</v>
      </c>
      <c r="B55" s="23">
        <f>1617986822.98</f>
        <v>1617986822.98</v>
      </c>
      <c r="C55" s="23">
        <f>1598906270.19</f>
        <v>1598906270.19</v>
      </c>
      <c r="D55" s="23">
        <f>115369654.31</f>
        <v>115369654.31</v>
      </c>
      <c r="E55" s="23">
        <f>5184524.15</f>
        <v>5184524.15</v>
      </c>
      <c r="F55" s="23">
        <f>2726056.96</f>
        <v>2726056.96</v>
      </c>
      <c r="G55" s="23">
        <f>104262475.47</f>
        <v>104262475.47</v>
      </c>
      <c r="H55" s="23">
        <f>3196597.73</f>
        <v>3196597.73</v>
      </c>
      <c r="I55" s="23">
        <f>3501.06</f>
        <v>3501.06</v>
      </c>
      <c r="J55" s="23">
        <f>1105681.36</f>
        <v>1105681.36</v>
      </c>
      <c r="K55" s="23">
        <f>2085797.6</f>
        <v>2085797.6</v>
      </c>
      <c r="L55" s="23">
        <f>682579314.73</f>
        <v>682579314.73</v>
      </c>
      <c r="M55" s="23">
        <f>773685839.77</f>
        <v>773685839.77</v>
      </c>
      <c r="N55" s="23">
        <f>24076481.36</f>
        <v>24076481.36</v>
      </c>
      <c r="O55" s="23">
        <f>19080552.79</f>
        <v>19080552.79</v>
      </c>
      <c r="P55" s="23">
        <f>392435.46</f>
        <v>392435.46</v>
      </c>
      <c r="Q55" s="23">
        <f>18688117.33</f>
        <v>18688117.33</v>
      </c>
    </row>
    <row r="56" spans="1:17" ht="47.25" customHeight="1">
      <c r="A56" s="17" t="s">
        <v>76</v>
      </c>
      <c r="B56" s="23">
        <f>17894505676.8</f>
        <v>17894505676.8</v>
      </c>
      <c r="C56" s="23">
        <f>17860133198.06</f>
        <v>17860133198.06</v>
      </c>
      <c r="D56" s="23">
        <f>1409471583.19</f>
        <v>1409471583.19</v>
      </c>
      <c r="E56" s="23">
        <f>934971671.64</f>
        <v>934971671.64</v>
      </c>
      <c r="F56" s="23">
        <f>83311073.49</f>
        <v>83311073.49</v>
      </c>
      <c r="G56" s="23">
        <f>376688818.12</f>
        <v>376688818.12</v>
      </c>
      <c r="H56" s="23">
        <f>14500019.94</f>
        <v>14500019.94</v>
      </c>
      <c r="I56" s="23">
        <f>1389120.99</f>
        <v>1389120.99</v>
      </c>
      <c r="J56" s="23">
        <f>28965486.47</f>
        <v>28965486.47</v>
      </c>
      <c r="K56" s="23">
        <f>186728244.92</f>
        <v>186728244.92</v>
      </c>
      <c r="L56" s="23">
        <f>11648821060.59</f>
        <v>11648821060.59</v>
      </c>
      <c r="M56" s="23">
        <f>4492792387.99</f>
        <v>4492792387.99</v>
      </c>
      <c r="N56" s="23">
        <f>91965313.91</f>
        <v>91965313.91</v>
      </c>
      <c r="O56" s="23">
        <f>34372478.74</f>
        <v>34372478.74</v>
      </c>
      <c r="P56" s="23">
        <f>33971452.15</f>
        <v>33971452.15</v>
      </c>
      <c r="Q56" s="23">
        <f>401026.59</f>
        <v>401026.59</v>
      </c>
    </row>
    <row r="57" spans="1:17" ht="35.25" customHeight="1">
      <c r="A57" s="17" t="s">
        <v>37</v>
      </c>
      <c r="B57" s="23">
        <f>9132665412.61</f>
        <v>9132665412.61</v>
      </c>
      <c r="C57" s="23">
        <f>9118645337.82</f>
        <v>9118645337.82</v>
      </c>
      <c r="D57" s="23">
        <f>1276529166.58</f>
        <v>1276529166.58</v>
      </c>
      <c r="E57" s="23">
        <f>618668017.63</f>
        <v>618668017.63</v>
      </c>
      <c r="F57" s="23">
        <f>43389740.14</f>
        <v>43389740.14</v>
      </c>
      <c r="G57" s="23">
        <f>604847587.41</f>
        <v>604847587.41</v>
      </c>
      <c r="H57" s="23">
        <f>9623821.4</f>
        <v>9623821.4</v>
      </c>
      <c r="I57" s="23">
        <f>147584.7</f>
        <v>147584.7</v>
      </c>
      <c r="J57" s="23">
        <f>5384491.61</f>
        <v>5384491.61</v>
      </c>
      <c r="K57" s="23">
        <f>16993903.07</f>
        <v>16993903.07</v>
      </c>
      <c r="L57" s="23">
        <f>4068664521.35</f>
        <v>4068664521.35</v>
      </c>
      <c r="M57" s="23">
        <f>3507983546.74</f>
        <v>3507983546.74</v>
      </c>
      <c r="N57" s="23">
        <f>242942123.77</f>
        <v>242942123.77</v>
      </c>
      <c r="O57" s="23">
        <f>14020074.79</f>
        <v>14020074.79</v>
      </c>
      <c r="P57" s="23">
        <f>8388912.41</f>
        <v>8388912.41</v>
      </c>
      <c r="Q57" s="23">
        <f>5631162.38</f>
        <v>5631162.38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4557995192.14</f>
        <v>4557995192.14</v>
      </c>
      <c r="G78" s="21">
        <f>1483239650.04</f>
        <v>1483239650.04</v>
      </c>
      <c r="H78" s="21">
        <f>59703742.97</f>
        <v>59703742.97</v>
      </c>
      <c r="I78" s="21">
        <f>580476208.4</f>
        <v>580476208.4</v>
      </c>
      <c r="J78" s="21">
        <f>829594151.09</f>
        <v>829594151.09</v>
      </c>
      <c r="K78" s="21">
        <f>13465547.58</f>
        <v>13465547.58</v>
      </c>
      <c r="L78" s="21">
        <f>3074755542.1</f>
        <v>3074755542.1</v>
      </c>
    </row>
    <row r="79" spans="2:12" ht="33.75" customHeight="1">
      <c r="B79" s="47" t="s">
        <v>52</v>
      </c>
      <c r="C79" s="48"/>
      <c r="D79" s="48"/>
      <c r="E79" s="49"/>
      <c r="F79" s="24">
        <f>2682384.57</f>
        <v>2682384.57</v>
      </c>
      <c r="G79" s="24">
        <f>1708119.53</f>
        <v>1708119.53</v>
      </c>
      <c r="H79" s="24">
        <f>1708119.53</f>
        <v>1708119.53</v>
      </c>
      <c r="I79" s="24">
        <f>0</f>
        <v>0</v>
      </c>
      <c r="J79" s="24">
        <f>0</f>
        <v>0</v>
      </c>
      <c r="K79" s="24">
        <f>0</f>
        <v>0</v>
      </c>
      <c r="L79" s="24">
        <f>974265.04</f>
        <v>974265.04</v>
      </c>
    </row>
    <row r="80" spans="2:12" ht="33.75" customHeight="1">
      <c r="B80" s="47" t="s">
        <v>53</v>
      </c>
      <c r="C80" s="48"/>
      <c r="D80" s="48"/>
      <c r="E80" s="49"/>
      <c r="F80" s="24">
        <f>50378845.06</f>
        <v>50378845.06</v>
      </c>
      <c r="G80" s="24">
        <f>27127734</f>
        <v>27127734</v>
      </c>
      <c r="H80" s="24">
        <f>3468453.31</f>
        <v>3468453.31</v>
      </c>
      <c r="I80" s="24">
        <f>0</f>
        <v>0</v>
      </c>
      <c r="J80" s="24">
        <f>23635772.69</f>
        <v>23635772.69</v>
      </c>
      <c r="K80" s="24">
        <f>23508</f>
        <v>23508</v>
      </c>
      <c r="L80" s="24">
        <f>23251111.06</f>
        <v>23251111.06</v>
      </c>
    </row>
    <row r="81" spans="2:12" ht="22.5" customHeight="1">
      <c r="B81" s="47" t="s">
        <v>54</v>
      </c>
      <c r="C81" s="48"/>
      <c r="D81" s="48"/>
      <c r="E81" s="49"/>
      <c r="F81" s="24">
        <f>91475739.85</f>
        <v>91475739.85</v>
      </c>
      <c r="G81" s="24">
        <f>46405053.69</f>
        <v>46405053.69</v>
      </c>
      <c r="H81" s="24">
        <f>0</f>
        <v>0</v>
      </c>
      <c r="I81" s="24">
        <f>1927529.03</f>
        <v>1927529.03</v>
      </c>
      <c r="J81" s="24">
        <f>44477524.66</f>
        <v>44477524.66</v>
      </c>
      <c r="K81" s="24">
        <f>0</f>
        <v>0</v>
      </c>
      <c r="L81" s="24">
        <f>45070686.16</f>
        <v>45070686.16</v>
      </c>
    </row>
    <row r="82" spans="2:12" ht="33.75" customHeight="1">
      <c r="B82" s="47" t="s">
        <v>55</v>
      </c>
      <c r="C82" s="48"/>
      <c r="D82" s="48"/>
      <c r="E82" s="49"/>
      <c r="F82" s="24">
        <f>10435979.78</f>
        <v>10435979.78</v>
      </c>
      <c r="G82" s="24">
        <f>10166503.63</f>
        <v>10166503.63</v>
      </c>
      <c r="H82" s="24">
        <f>0</f>
        <v>0</v>
      </c>
      <c r="I82" s="24">
        <f>0</f>
        <v>0</v>
      </c>
      <c r="J82" s="24">
        <f>10166503.63</f>
        <v>10166503.63</v>
      </c>
      <c r="K82" s="24">
        <f>0</f>
        <v>0</v>
      </c>
      <c r="L82" s="24">
        <f>269476.15</f>
        <v>269476.15</v>
      </c>
    </row>
    <row r="83" spans="2:12" ht="33.75" customHeight="1">
      <c r="B83" s="47" t="s">
        <v>56</v>
      </c>
      <c r="C83" s="48"/>
      <c r="D83" s="48"/>
      <c r="E83" s="49"/>
      <c r="F83" s="24">
        <f>5728773.36</f>
        <v>5728773.36</v>
      </c>
      <c r="G83" s="24">
        <f>3468476.81</f>
        <v>3468476.81</v>
      </c>
      <c r="H83" s="24">
        <f>0</f>
        <v>0</v>
      </c>
      <c r="I83" s="24">
        <f>0</f>
        <v>0</v>
      </c>
      <c r="J83" s="24">
        <f>3468476.81</f>
        <v>3468476.81</v>
      </c>
      <c r="K83" s="24">
        <f>0</f>
        <v>0</v>
      </c>
      <c r="L83" s="24">
        <f>2260296.55</f>
        <v>2260296.55</v>
      </c>
    </row>
    <row r="84" spans="2:12" ht="33" customHeight="1">
      <c r="B84" s="50" t="s">
        <v>57</v>
      </c>
      <c r="C84" s="51"/>
      <c r="D84" s="51"/>
      <c r="E84" s="52"/>
      <c r="F84" s="21">
        <f>41736.4</f>
        <v>41736.4</v>
      </c>
      <c r="G84" s="21">
        <f>0</f>
        <v>0</v>
      </c>
      <c r="H84" s="21">
        <f>0</f>
        <v>0</v>
      </c>
      <c r="I84" s="21">
        <f>0</f>
        <v>0</v>
      </c>
      <c r="J84" s="21">
        <f>0</f>
        <v>0</v>
      </c>
      <c r="K84" s="21">
        <f>0</f>
        <v>0</v>
      </c>
      <c r="L84" s="21">
        <f>41736.4</f>
        <v>41736.4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2628</f>
        <v>2628</v>
      </c>
      <c r="H90" s="55"/>
      <c r="I90" s="56">
        <f>10060393565.28</f>
        <v>10060393565.28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179</f>
        <v>179</v>
      </c>
      <c r="H91" s="62"/>
      <c r="I91" s="63">
        <f>-253632264.8</f>
        <v>-253632264.8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2020-06-10T10:44:20Z</dcterms:modified>
  <cp:category/>
  <cp:version/>
  <cp:contentType/>
  <cp:contentStatus/>
</cp:coreProperties>
</file>