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91EF4D75-3D9C-4960-AE1A-F6EF7A146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7" i="4" l="1"/>
  <c r="C116" i="4"/>
  <c r="C115" i="4"/>
  <c r="C114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G53" i="4" s="1"/>
  <c r="G59" i="4" s="1"/>
  <c r="F51" i="4"/>
  <c r="E51" i="4"/>
  <c r="D51" i="4"/>
  <c r="C51" i="4"/>
  <c r="I50" i="4"/>
  <c r="H50" i="4"/>
  <c r="G50" i="4"/>
  <c r="F50" i="4"/>
  <c r="E50" i="4"/>
  <c r="D50" i="4"/>
  <c r="C50" i="4"/>
  <c r="D40" i="4"/>
  <c r="C40" i="4"/>
  <c r="D38" i="4"/>
  <c r="C38" i="4"/>
  <c r="K38" i="4" s="1"/>
  <c r="D37" i="4"/>
  <c r="C37" i="4"/>
  <c r="D36" i="4"/>
  <c r="C36" i="4"/>
  <c r="K36" i="4" s="1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J25" i="4" s="1"/>
  <c r="C25" i="4"/>
  <c r="D24" i="4"/>
  <c r="C24" i="4"/>
  <c r="D23" i="4"/>
  <c r="C23" i="4"/>
  <c r="D22" i="4"/>
  <c r="C22" i="4"/>
  <c r="K22" i="4" s="1"/>
  <c r="D21" i="4"/>
  <c r="C21" i="4"/>
  <c r="D20" i="4"/>
  <c r="C20" i="4"/>
  <c r="D19" i="4"/>
  <c r="K19" i="4" s="1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C39" i="4" s="1"/>
  <c r="K20" i="4"/>
  <c r="I78" i="4"/>
  <c r="K37" i="4"/>
  <c r="K77" i="4"/>
  <c r="K97" i="4"/>
  <c r="K13" i="4"/>
  <c r="C12" i="4"/>
  <c r="K40" i="4"/>
  <c r="K85" i="4"/>
  <c r="D12" i="4"/>
  <c r="J12" i="4" s="1"/>
  <c r="I53" i="4"/>
  <c r="I59" i="4"/>
  <c r="K27" i="4"/>
  <c r="K99" i="4"/>
  <c r="K31" i="4"/>
  <c r="K15" i="4"/>
  <c r="K57" i="4"/>
  <c r="K87" i="4"/>
  <c r="K33" i="4"/>
  <c r="K92" i="4"/>
  <c r="K21" i="4"/>
  <c r="K54" i="4"/>
  <c r="K93" i="4"/>
  <c r="K25" i="4"/>
  <c r="C60" i="4"/>
  <c r="K26" i="4"/>
  <c r="K98" i="4"/>
  <c r="K14" i="4"/>
  <c r="K51" i="4"/>
  <c r="K86" i="4"/>
  <c r="K32" i="4"/>
  <c r="K91" i="4"/>
  <c r="J37" i="4"/>
  <c r="J38" i="4"/>
  <c r="J31" i="4"/>
  <c r="J13" i="4"/>
  <c r="J22" i="4"/>
  <c r="J35" i="4"/>
  <c r="J17" i="4"/>
  <c r="J28" i="4"/>
  <c r="J32" i="4"/>
  <c r="J20" i="4"/>
  <c r="J5" i="4"/>
  <c r="J30" i="4"/>
  <c r="J23" i="4"/>
  <c r="D39" i="4"/>
  <c r="D41" i="4" s="1"/>
  <c r="J29" i="4"/>
  <c r="J26" i="4"/>
  <c r="J9" i="4"/>
  <c r="D60" i="4"/>
  <c r="J18" i="4"/>
  <c r="J34" i="4"/>
  <c r="J27" i="4"/>
  <c r="J33" i="4"/>
  <c r="J15" i="4"/>
  <c r="J8" i="4"/>
  <c r="J24" i="4"/>
  <c r="J16" i="4"/>
  <c r="J19" i="4"/>
  <c r="J14" i="4"/>
  <c r="J21" i="4"/>
  <c r="J36" i="4"/>
  <c r="J7" i="4"/>
  <c r="K16" i="4"/>
  <c r="K28" i="4"/>
  <c r="K76" i="4"/>
  <c r="C78" i="4"/>
  <c r="K78" i="4"/>
  <c r="K88" i="4"/>
  <c r="K23" i="4"/>
  <c r="K35" i="4"/>
  <c r="K52" i="4"/>
  <c r="E78" i="4"/>
  <c r="K83" i="4"/>
  <c r="K89" i="4"/>
  <c r="K95" i="4"/>
  <c r="F53" i="4"/>
  <c r="F59" i="4" s="1"/>
  <c r="F78" i="4"/>
  <c r="J93" i="4"/>
  <c r="J89" i="4"/>
  <c r="J86" i="4"/>
  <c r="J85" i="4"/>
  <c r="J84" i="4"/>
  <c r="J91" i="4"/>
  <c r="J92" i="4"/>
  <c r="J83" i="4"/>
  <c r="J87" i="4"/>
  <c r="J88" i="4"/>
  <c r="J90" i="4"/>
  <c r="K56" i="4"/>
  <c r="K50" i="4"/>
  <c r="C53" i="4"/>
  <c r="K94" i="4"/>
  <c r="J52" i="4"/>
  <c r="J54" i="4"/>
  <c r="J56" i="4"/>
  <c r="D53" i="4"/>
  <c r="J53" i="4" s="1"/>
  <c r="D59" i="4"/>
  <c r="J59" i="4" s="1"/>
  <c r="J51" i="4"/>
  <c r="J55" i="4"/>
  <c r="J57" i="4"/>
  <c r="J50" i="4"/>
  <c r="J58" i="4"/>
  <c r="J99" i="4"/>
  <c r="J98" i="4"/>
  <c r="J97" i="4"/>
  <c r="J94" i="4"/>
  <c r="J95" i="4"/>
  <c r="J96" i="4"/>
  <c r="K17" i="4"/>
  <c r="D114" i="4"/>
  <c r="B43" i="4" s="1"/>
  <c r="K9" i="4"/>
  <c r="K18" i="4"/>
  <c r="K24" i="4"/>
  <c r="K30" i="4"/>
  <c r="K55" i="4"/>
  <c r="G78" i="4"/>
  <c r="K84" i="4"/>
  <c r="K90" i="4"/>
  <c r="K96" i="4"/>
  <c r="K7" i="4"/>
  <c r="K34" i="4"/>
  <c r="K58" i="4"/>
  <c r="J77" i="4"/>
  <c r="J76" i="4"/>
  <c r="D78" i="4"/>
  <c r="J78" i="4"/>
  <c r="K8" i="4"/>
  <c r="K29" i="4"/>
  <c r="E53" i="4"/>
  <c r="E59" i="4"/>
  <c r="H53" i="4"/>
  <c r="H59" i="4" s="1"/>
  <c r="H78" i="4"/>
  <c r="C59" i="4"/>
  <c r="B79" i="4" l="1"/>
  <c r="B1" i="4"/>
  <c r="K53" i="4"/>
  <c r="K59" i="4"/>
  <c r="D11" i="4"/>
  <c r="K12" i="4"/>
  <c r="C11" i="4"/>
  <c r="D61" i="4"/>
  <c r="J41" i="4"/>
  <c r="J39" i="4"/>
  <c r="J40" i="4"/>
  <c r="K39" i="4"/>
  <c r="C41" i="4"/>
  <c r="K5" i="4"/>
  <c r="K11" i="4" l="1"/>
  <c r="J11" i="4"/>
  <c r="D6" i="4"/>
  <c r="C6" i="4"/>
  <c r="C10" i="4"/>
  <c r="K41" i="4"/>
  <c r="C61" i="4"/>
  <c r="K6" i="4" l="1"/>
  <c r="L7" i="4"/>
  <c r="J6" i="4"/>
  <c r="D10" i="4"/>
  <c r="J10" i="4" s="1"/>
  <c r="L6" i="4"/>
  <c r="L9" i="4"/>
  <c r="L8" i="4"/>
  <c r="L10" i="4"/>
  <c r="K10" i="4" l="1"/>
</calcChain>
</file>

<file path=xl/sharedStrings.xml><?xml version="1.0" encoding="utf-8"?>
<sst xmlns="http://schemas.openxmlformats.org/spreadsheetml/2006/main" count="416" uniqueCount="111">
  <si>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</si>
  <si>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</si>
  <si>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</si>
  <si>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</si>
  <si>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</si>
  <si>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</si>
  <si>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</si>
  <si>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</si>
  <si>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</si>
  <si>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</si>
  <si>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</si>
  <si>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</si>
  <si>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</si>
  <si>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</si>
  <si>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</si>
  <si>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</si>
  <si>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</si>
  <si>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</si>
  <si>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</si>
  <si>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</si>
  <si>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</si>
  <si>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</si>
  <si>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</si>
  <si>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</si>
  <si>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</si>
  <si>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</si>
  <si>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</si>
  <si>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</si>
  <si>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</si>
  <si>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</si>
  <si>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</si>
  <si>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</si>
  <si>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</si>
  <si>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</si>
  <si>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</si>
  <si>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</si>
  <si>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</si>
  <si>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</si>
  <si>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</si>
  <si>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</si>
  <si>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</si>
  <si>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</si>
  <si>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</si>
  <si>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</si>
  <si>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</si>
  <si>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</si>
  <si>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</si>
  <si>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</si>
  <si>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</si>
  <si>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</si>
  <si>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</si>
  <si>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</si>
  <si>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</si>
  <si>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</si>
  <si>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</si>
  <si>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</si>
  <si>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</si>
  <si>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</si>
  <si>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</si>
  <si>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</si>
  <si>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</si>
  <si>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</si>
  <si>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</si>
  <si>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</si>
  <si>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</si>
  <si>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</si>
  <si>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</si>
  <si>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</si>
  <si>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</si>
  <si>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</si>
  <si>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</si>
  <si>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</si>
  <si>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</si>
  <si>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</si>
  <si>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</si>
  <si>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</si>
  <si>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</si>
  <si>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</si>
  <si>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</si>
  <si>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</si>
  <si>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</si>
  <si>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</si>
  <si>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</si>
  <si>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</si>
  <si>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</si>
  <si>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</si>
  <si>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</si>
  <si>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</si>
  <si>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</si>
  <si>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</si>
  <si>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</si>
  <si>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</si>
  <si>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</si>
  <si>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</si>
  <si>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</si>
  <si>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</si>
  <si>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</si>
  <si>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</si>
  <si>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</si>
  <si>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</si>
  <si>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</si>
  <si>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</si>
  <si>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</si>
  <si>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</si>
  <si>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</si>
  <si>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</si>
  <si>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</si>
  <si>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</si>
  <si>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</si>
  <si>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</si>
  <si>
    <t>otrzymane ze środków z Funduszu Przeciwdziałania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</si>
</sst>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3" fillId="2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4" fillId="0" borderId="10" xfId="0" applyNumberFormat="1" applyFont="1" applyFill="1" applyBorder="1" applyAlignment="1">
      <alignment horizontal="right" vertical="center"/>
    </xf>
    <xf numFmtId="165" fontId="34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3" fillId="20" borderId="10" xfId="0" applyNumberFormat="1" applyFont="1" applyFill="1" applyBorder="1" applyAlignment="1">
      <alignment horizontal="right" vertical="center" wrapText="1"/>
    </xf>
    <xf numFmtId="165" fontId="36" fillId="20" borderId="10" xfId="0" applyNumberFormat="1" applyFont="1" applyFill="1" applyBorder="1" applyAlignment="1">
      <alignment horizontal="right" vertical="center"/>
    </xf>
    <xf numFmtId="0" fontId="35" fillId="0" borderId="0" xfId="0" applyFont="1"/>
    <xf numFmtId="0" fontId="35" fillId="0" borderId="0" xfId="0" applyFont="1" applyBorder="1"/>
    <xf numFmtId="3" fontId="33" fillId="0" borderId="0" xfId="0" applyNumberFormat="1" applyFont="1" applyBorder="1" applyAlignment="1">
      <alignment horizontal="right" vertical="center"/>
    </xf>
    <xf numFmtId="165" fontId="35" fillId="0" borderId="0" xfId="0" applyNumberFormat="1" applyFont="1"/>
    <xf numFmtId="4" fontId="36" fillId="20" borderId="12" xfId="0" applyNumberFormat="1" applyFont="1" applyFill="1" applyBorder="1" applyAlignment="1">
      <alignment horizontal="right" vertical="center"/>
    </xf>
    <xf numFmtId="165" fontId="36" fillId="20" borderId="10" xfId="28" applyNumberFormat="1" applyFont="1" applyFill="1" applyBorder="1" applyAlignment="1">
      <alignment horizontal="right" vertical="center"/>
    </xf>
    <xf numFmtId="4" fontId="35" fillId="0" borderId="12" xfId="0" applyNumberFormat="1" applyFont="1" applyBorder="1" applyAlignment="1">
      <alignment horizontal="right" vertical="center"/>
    </xf>
    <xf numFmtId="165" fontId="36" fillId="21" borderId="10" xfId="28" applyNumberFormat="1" applyFont="1" applyFill="1" applyBorder="1" applyAlignment="1">
      <alignment horizontal="right" vertical="center"/>
    </xf>
    <xf numFmtId="165" fontId="36" fillId="21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165" fontId="36" fillId="22" borderId="10" xfId="0" applyNumberFormat="1" applyFont="1" applyFill="1" applyBorder="1" applyAlignment="1">
      <alignment horizontal="right" vertical="center"/>
    </xf>
    <xf numFmtId="4" fontId="36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9" fillId="22" borderId="10" xfId="44" applyFont="1" applyFill="1" applyBorder="1" applyAlignment="1">
      <alignment horizontal="left" vertical="top" wrapText="1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0" borderId="10" xfId="0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165" fontId="34" fillId="22" borderId="10" xfId="0" applyNumberFormat="1" applyFont="1" applyFill="1" applyBorder="1" applyAlignment="1">
      <alignment horizontal="right" vertical="center"/>
    </xf>
    <xf numFmtId="4" fontId="36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 wrapText="1"/>
    </xf>
    <xf numFmtId="4" fontId="34" fillId="22" borderId="10" xfId="0" applyNumberFormat="1" applyFont="1" applyFill="1" applyBorder="1" applyAlignment="1">
      <alignment horizontal="right" vertical="center" wrapText="1"/>
    </xf>
    <xf numFmtId="165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 wrapText="1"/>
    </xf>
    <xf numFmtId="4" fontId="33" fillId="20" borderId="11" xfId="0" applyNumberFormat="1" applyFont="1" applyFill="1" applyBorder="1" applyAlignment="1">
      <alignment horizontal="right" vertical="center" wrapText="1"/>
    </xf>
    <xf numFmtId="4" fontId="35" fillId="0" borderId="12" xfId="0" applyNumberFormat="1" applyFont="1" applyFill="1" applyBorder="1" applyAlignment="1">
      <alignment horizontal="right" vertical="center"/>
    </xf>
    <xf numFmtId="165" fontId="36" fillId="0" borderId="10" xfId="28" applyNumberFormat="1" applyFont="1" applyFill="1" applyBorder="1" applyAlignment="1">
      <alignment horizontal="right" vertical="center"/>
    </xf>
    <xf numFmtId="165" fontId="36" fillId="0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165" fontId="34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6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right"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4" fontId="36" fillId="0" borderId="0" xfId="0" applyNumberFormat="1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6" fillId="22" borderId="10" xfId="0" applyNumberFormat="1" applyFont="1" applyFill="1" applyBorder="1" applyAlignment="1">
      <alignment vertical="center"/>
    </xf>
    <xf numFmtId="4" fontId="33" fillId="22" borderId="10" xfId="0" applyNumberFormat="1" applyFont="1" applyFill="1" applyBorder="1" applyAlignment="1">
      <alignment vertical="center" wrapText="1"/>
    </xf>
    <xf numFmtId="4" fontId="34" fillId="0" borderId="10" xfId="0" applyNumberFormat="1" applyFont="1" applyBorder="1" applyAlignment="1">
      <alignment vertical="center"/>
    </xf>
    <xf numFmtId="4" fontId="34" fillId="0" borderId="10" xfId="0" applyNumberFormat="1" applyFont="1" applyFill="1" applyBorder="1" applyAlignment="1">
      <alignment vertical="center" wrapText="1"/>
    </xf>
    <xf numFmtId="4" fontId="34" fillId="0" borderId="10" xfId="0" applyNumberFormat="1" applyFont="1" applyFill="1" applyBorder="1" applyAlignment="1">
      <alignment vertical="center"/>
    </xf>
    <xf numFmtId="4" fontId="34" fillId="0" borderId="12" xfId="0" applyNumberFormat="1" applyFont="1" applyFill="1" applyBorder="1" applyAlignment="1">
      <alignment vertical="center" wrapText="1"/>
    </xf>
    <xf numFmtId="4" fontId="34" fillId="0" borderId="13" xfId="0" applyNumberFormat="1" applyFont="1" applyBorder="1" applyAlignment="1">
      <alignment horizontal="right" vertical="center"/>
    </xf>
    <xf numFmtId="4" fontId="34" fillId="0" borderId="14" xfId="0" applyNumberFormat="1" applyFont="1" applyBorder="1" applyAlignment="1">
      <alignment vertical="center" wrapText="1"/>
    </xf>
    <xf numFmtId="4" fontId="35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5" fillId="0" borderId="0" xfId="0" applyFont="1" applyFill="1" applyBorder="1"/>
    <xf numFmtId="4" fontId="33" fillId="0" borderId="15" xfId="0" applyNumberFormat="1" applyFont="1" applyFill="1" applyBorder="1" applyAlignment="1">
      <alignment horizontal="right" vertical="center" wrapText="1"/>
    </xf>
    <xf numFmtId="4" fontId="33" fillId="0" borderId="14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center" vertical="center"/>
    </xf>
    <xf numFmtId="4" fontId="35" fillId="0" borderId="10" xfId="0" applyNumberFormat="1" applyFont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6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4" fillId="22" borderId="17" xfId="0" applyNumberFormat="1" applyFont="1" applyFill="1" applyBorder="1" applyAlignment="1">
      <alignment horizontal="right" vertical="center" wrapText="1"/>
    </xf>
    <xf numFmtId="4" fontId="34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3" fillId="22" borderId="0" xfId="0" applyNumberFormat="1" applyFont="1" applyFill="1" applyBorder="1" applyAlignment="1">
      <alignment horizontal="center" vertical="center"/>
    </xf>
    <xf numFmtId="0" fontId="40" fillId="0" borderId="0" xfId="0" applyFont="1"/>
    <xf numFmtId="0" fontId="39" fillId="0" borderId="10" xfId="45" applyFont="1" applyBorder="1" applyAlignment="1">
      <alignment horizontal="left" vertical="center" wrapText="1" inden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vertical="center" wrapText="1"/>
    </xf>
    <xf numFmtId="0" fontId="30" fillId="0" borderId="10" xfId="0" applyFont="1" applyBorder="1" applyAlignment="1">
      <alignment horizontal="right" vertical="center" wrapText="1"/>
    </xf>
    <xf numFmtId="167" fontId="30" fillId="0" borderId="10" xfId="0" applyNumberFormat="1" applyFont="1" applyBorder="1" applyAlignment="1">
      <alignment vertical="center" wrapText="1"/>
    </xf>
    <xf numFmtId="0" fontId="7" fillId="22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" fontId="33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7109375" style="1" customWidth="1"/>
    <col min="4" max="4" width="15.7109375" style="1" customWidth="1"/>
    <col min="5" max="5" width="14.7109375" style="1" customWidth="1" outlineLevel="1"/>
    <col min="6" max="6" width="15.7109375" style="1" customWidth="1" outlineLevel="1"/>
    <col min="7" max="9" width="14.7109375" style="1" customWidth="1" outlineLevel="1"/>
    <col min="10" max="10" width="7.7109375" style="1" bestFit="1" customWidth="1"/>
    <col min="11" max="11" width="7.5703125" style="1" bestFit="1" customWidth="1"/>
    <col min="12" max="12" width="8.42578125" style="1" bestFit="1" customWidth="1"/>
    <col min="13" max="13" width="9.85546875" style="1" customWidth="1"/>
    <col min="14" max="16384" width="9.140625" style="1"/>
  </cols>
  <sheetData>
    <row r="1" spans="2:13" ht="20.100000000000001" customHeight="1" x14ac:dyDescent="0.2">
      <c r="B1" s="116" t="str">
        <f>CONCATENATE("Informacja z wykonania budżetów powiatów za ",$D$114," ",$C$115," rok     ",$C$117,"")</f>
        <v xml:space="preserve">Informacja z wykonania budżetów powiatów za I Kwartał 2026 rok     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ht="57.75" customHeight="1" x14ac:dyDescent="0.2">
      <c r="B2" s="146" t="s">
        <v>0</v>
      </c>
      <c r="C2" s="14" t="s">
        <v>24</v>
      </c>
      <c r="D2" s="14" t="s">
        <v>25</v>
      </c>
      <c r="E2" s="14" t="s">
        <v>78</v>
      </c>
      <c r="F2" s="14" t="s">
        <v>79</v>
      </c>
      <c r="G2" s="14" t="s">
        <v>80</v>
      </c>
      <c r="H2" s="14" t="s">
        <v>81</v>
      </c>
      <c r="I2" s="14" t="s">
        <v>82</v>
      </c>
      <c r="J2" s="16" t="s">
        <v>2</v>
      </c>
      <c r="K2" s="14" t="s">
        <v>18</v>
      </c>
      <c r="L2" s="14" t="s">
        <v>3</v>
      </c>
    </row>
    <row r="3" spans="2:13" x14ac:dyDescent="0.2">
      <c r="B3" s="146"/>
      <c r="C3" s="137" t="s">
        <v>52</v>
      </c>
      <c r="D3" s="139"/>
      <c r="E3" s="140" t="s">
        <v>77</v>
      </c>
      <c r="F3" s="141"/>
      <c r="G3" s="141"/>
      <c r="H3" s="141"/>
      <c r="I3" s="142"/>
      <c r="J3" s="137" t="s">
        <v>4</v>
      </c>
      <c r="K3" s="138"/>
      <c r="L3" s="139"/>
    </row>
    <row r="4" spans="2:13" ht="9" customHeight="1" x14ac:dyDescent="0.2">
      <c r="B4" s="16">
        <v>1</v>
      </c>
      <c r="C4" s="18">
        <v>2</v>
      </c>
      <c r="D4" s="18">
        <v>3</v>
      </c>
      <c r="E4" s="143"/>
      <c r="F4" s="144"/>
      <c r="G4" s="144"/>
      <c r="H4" s="144"/>
      <c r="I4" s="145"/>
      <c r="J4" s="18">
        <v>4</v>
      </c>
      <c r="K4" s="18">
        <v>5</v>
      </c>
      <c r="L4" s="18">
        <v>6</v>
      </c>
    </row>
    <row r="5" spans="2:13" ht="12.95" customHeight="1" x14ac:dyDescent="0.2">
      <c r="B5" s="105" t="s">
        <v>5</v>
      </c>
      <c r="C5" s="54">
        <f>60011626171.76</f>
        <v>60011626171.760002</v>
      </c>
      <c r="D5" s="54">
        <f>19475230173.22</f>
        <v>19475230173.220001</v>
      </c>
      <c r="E5" s="97" t="s">
        <v>77</v>
      </c>
      <c r="F5" s="97" t="s">
        <v>77</v>
      </c>
      <c r="G5" s="97" t="s">
        <v>77</v>
      </c>
      <c r="H5" s="97" t="s">
        <v>77</v>
      </c>
      <c r="I5" s="97" t="s">
        <v>77</v>
      </c>
      <c r="J5" s="55">
        <f t="shared" ref="J5:J38" si="0">IF($D$5=0,"",100*$D5/$D$5)</f>
        <v>100</v>
      </c>
      <c r="K5" s="55">
        <f t="shared" ref="K5:K41" si="1">IF(C5=0,"",100*D5/C5)</f>
        <v>32.452428663538811</v>
      </c>
      <c r="L5" s="55"/>
    </row>
    <row r="6" spans="2:13" ht="26.85" customHeight="1" x14ac:dyDescent="0.2">
      <c r="B6" s="106" t="s">
        <v>35</v>
      </c>
      <c r="C6" s="30">
        <f>C5-C11-C35</f>
        <v>37598652715.639999</v>
      </c>
      <c r="D6" s="30">
        <f>D5-D11-D35</f>
        <v>12671817361.870001</v>
      </c>
      <c r="E6" s="97" t="s">
        <v>77</v>
      </c>
      <c r="F6" s="97" t="s">
        <v>77</v>
      </c>
      <c r="G6" s="97" t="s">
        <v>77</v>
      </c>
      <c r="H6" s="97" t="s">
        <v>77</v>
      </c>
      <c r="I6" s="97" t="s">
        <v>77</v>
      </c>
      <c r="J6" s="31">
        <f t="shared" si="0"/>
        <v>65.066329122490998</v>
      </c>
      <c r="K6" s="31">
        <f t="shared" si="1"/>
        <v>33.702849561412272</v>
      </c>
      <c r="L6" s="31">
        <f>IF($D$6=0,"",100*$D6/$D$6)</f>
        <v>100</v>
      </c>
    </row>
    <row r="7" spans="2:13" ht="22.5" outlineLevel="1" x14ac:dyDescent="0.2">
      <c r="B7" s="108" t="s">
        <v>95</v>
      </c>
      <c r="C7" s="32">
        <f>24801309192</f>
        <v>24801309192</v>
      </c>
      <c r="D7" s="32">
        <f>9538329200</f>
        <v>9538329200</v>
      </c>
      <c r="E7" s="97" t="s">
        <v>77</v>
      </c>
      <c r="F7" s="97" t="s">
        <v>77</v>
      </c>
      <c r="G7" s="97" t="s">
        <v>77</v>
      </c>
      <c r="H7" s="97" t="s">
        <v>77</v>
      </c>
      <c r="I7" s="97" t="s">
        <v>77</v>
      </c>
      <c r="J7" s="33">
        <f t="shared" si="0"/>
        <v>48.976721277040234</v>
      </c>
      <c r="K7" s="33">
        <f t="shared" si="1"/>
        <v>38.458974589441098</v>
      </c>
      <c r="L7" s="33">
        <f>IF($D$6=0,"",100*$D7/$D$6)</f>
        <v>75.271990809315241</v>
      </c>
    </row>
    <row r="8" spans="2:13" ht="22.5" outlineLevel="1" x14ac:dyDescent="0.2">
      <c r="B8" s="108" t="s">
        <v>96</v>
      </c>
      <c r="C8" s="32">
        <f>3378498576</f>
        <v>3378498576</v>
      </c>
      <c r="D8" s="32">
        <f>844623510</f>
        <v>844623510</v>
      </c>
      <c r="E8" s="97" t="s">
        <v>77</v>
      </c>
      <c r="F8" s="97" t="s">
        <v>77</v>
      </c>
      <c r="G8" s="97" t="s">
        <v>77</v>
      </c>
      <c r="H8" s="97" t="s">
        <v>77</v>
      </c>
      <c r="I8" s="97" t="s">
        <v>77</v>
      </c>
      <c r="J8" s="33">
        <f t="shared" si="0"/>
        <v>4.3369115665776565</v>
      </c>
      <c r="K8" s="33">
        <f t="shared" si="1"/>
        <v>24.999966434794199</v>
      </c>
      <c r="L8" s="33">
        <f>IF($D$6=0,"",100*$D8/$D$6)</f>
        <v>6.6653699771708004</v>
      </c>
    </row>
    <row r="9" spans="2:13" ht="12.95" customHeight="1" outlineLevel="1" x14ac:dyDescent="0.2">
      <c r="B9" s="108" t="s">
        <v>19</v>
      </c>
      <c r="C9" s="32">
        <f>451107980.04</f>
        <v>451107980.04000002</v>
      </c>
      <c r="D9" s="56">
        <f>100152805.8</f>
        <v>100152805.8</v>
      </c>
      <c r="E9" s="97" t="s">
        <v>77</v>
      </c>
      <c r="F9" s="97" t="s">
        <v>77</v>
      </c>
      <c r="G9" s="97" t="s">
        <v>77</v>
      </c>
      <c r="H9" s="97" t="s">
        <v>77</v>
      </c>
      <c r="I9" s="97" t="s">
        <v>77</v>
      </c>
      <c r="J9" s="33">
        <f t="shared" si="0"/>
        <v>0.51425736645576658</v>
      </c>
      <c r="K9" s="33">
        <f t="shared" si="1"/>
        <v>22.201514987857095</v>
      </c>
      <c r="L9" s="33">
        <f>IF($D$6=0,"",100*$D9/$D$6)</f>
        <v>0.79035865921934567</v>
      </c>
    </row>
    <row r="10" spans="2:13" ht="12.95" customHeight="1" outlineLevel="1" x14ac:dyDescent="0.2">
      <c r="B10" s="108" t="s">
        <v>20</v>
      </c>
      <c r="C10" s="32">
        <f>C6-C8-C7-C9</f>
        <v>8967736967.5999985</v>
      </c>
      <c r="D10" s="32">
        <f>D6-D8-D7-D9</f>
        <v>2188711846.0700006</v>
      </c>
      <c r="E10" s="97" t="s">
        <v>77</v>
      </c>
      <c r="F10" s="97" t="s">
        <v>77</v>
      </c>
      <c r="G10" s="97" t="s">
        <v>77</v>
      </c>
      <c r="H10" s="97" t="s">
        <v>77</v>
      </c>
      <c r="I10" s="97" t="s">
        <v>77</v>
      </c>
      <c r="J10" s="33">
        <f t="shared" si="0"/>
        <v>11.238438912417346</v>
      </c>
      <c r="K10" s="33">
        <f t="shared" si="1"/>
        <v>24.40651252347957</v>
      </c>
      <c r="L10" s="33">
        <f>IF($D$6=0,"",100*$D10/$D$6)</f>
        <v>17.272280554294611</v>
      </c>
    </row>
    <row r="11" spans="2:13" ht="26.85" customHeight="1" x14ac:dyDescent="0.2">
      <c r="B11" s="107" t="s">
        <v>83</v>
      </c>
      <c r="C11" s="54">
        <f>C12+C31+C33</f>
        <v>11932688039.869999</v>
      </c>
      <c r="D11" s="54">
        <f>D12+D31+D33</f>
        <v>2790691641.6300001</v>
      </c>
      <c r="E11" s="97" t="s">
        <v>77</v>
      </c>
      <c r="F11" s="97" t="s">
        <v>77</v>
      </c>
      <c r="G11" s="97" t="s">
        <v>77</v>
      </c>
      <c r="H11" s="97" t="s">
        <v>77</v>
      </c>
      <c r="I11" s="97" t="s">
        <v>77</v>
      </c>
      <c r="J11" s="55">
        <f t="shared" si="0"/>
        <v>14.329441125001049</v>
      </c>
      <c r="K11" s="55">
        <f t="shared" si="1"/>
        <v>23.386948793981908</v>
      </c>
      <c r="L11" s="57"/>
    </row>
    <row r="12" spans="2:13" ht="26.85" customHeight="1" outlineLevel="1" x14ac:dyDescent="0.2">
      <c r="B12" s="109" t="s">
        <v>36</v>
      </c>
      <c r="C12" s="54">
        <f>C13+C15+C17+C19+C21+C23+C25+C27+C29</f>
        <v>9078835549.3799992</v>
      </c>
      <c r="D12" s="54">
        <f>D13+D15+D17+D19+D21+D23+D25+D27+D29</f>
        <v>2388956048.79</v>
      </c>
      <c r="E12" s="97" t="s">
        <v>77</v>
      </c>
      <c r="F12" s="97" t="s">
        <v>77</v>
      </c>
      <c r="G12" s="97" t="s">
        <v>77</v>
      </c>
      <c r="H12" s="97" t="s">
        <v>77</v>
      </c>
      <c r="I12" s="97" t="s">
        <v>77</v>
      </c>
      <c r="J12" s="55">
        <f t="shared" si="0"/>
        <v>12.266638327463804</v>
      </c>
      <c r="K12" s="55">
        <f t="shared" si="1"/>
        <v>26.31346317263279</v>
      </c>
      <c r="L12" s="36"/>
    </row>
    <row r="13" spans="2:13" ht="22.5" outlineLevel="1" x14ac:dyDescent="0.2">
      <c r="B13" s="110" t="s">
        <v>9</v>
      </c>
      <c r="C13" s="32">
        <f>4165691583.43</f>
        <v>4165691583.4299998</v>
      </c>
      <c r="D13" s="32">
        <f>1448582476.16</f>
        <v>1448582476.1600001</v>
      </c>
      <c r="E13" s="97" t="s">
        <v>77</v>
      </c>
      <c r="F13" s="97" t="s">
        <v>77</v>
      </c>
      <c r="G13" s="97" t="s">
        <v>77</v>
      </c>
      <c r="H13" s="97" t="s">
        <v>77</v>
      </c>
      <c r="I13" s="97" t="s">
        <v>77</v>
      </c>
      <c r="J13" s="33">
        <f t="shared" si="0"/>
        <v>7.4380762808745473</v>
      </c>
      <c r="K13" s="33">
        <f t="shared" si="1"/>
        <v>34.774117265955823</v>
      </c>
      <c r="L13" s="36"/>
    </row>
    <row r="14" spans="2:13" ht="12.95" customHeight="1" outlineLevel="1" x14ac:dyDescent="0.2">
      <c r="B14" s="113" t="s">
        <v>6</v>
      </c>
      <c r="C14" s="32">
        <f>84312294</f>
        <v>84312294</v>
      </c>
      <c r="D14" s="32">
        <f>10733686.64</f>
        <v>10733686.640000001</v>
      </c>
      <c r="E14" s="97" t="s">
        <v>77</v>
      </c>
      <c r="F14" s="97" t="s">
        <v>77</v>
      </c>
      <c r="G14" s="97" t="s">
        <v>77</v>
      </c>
      <c r="H14" s="97" t="s">
        <v>77</v>
      </c>
      <c r="I14" s="97" t="s">
        <v>77</v>
      </c>
      <c r="J14" s="33">
        <f t="shared" si="0"/>
        <v>5.5114556000265803E-2</v>
      </c>
      <c r="K14" s="33">
        <f t="shared" si="1"/>
        <v>12.730867742728005</v>
      </c>
      <c r="L14" s="36"/>
    </row>
    <row r="15" spans="2:13" ht="12.95" customHeight="1" outlineLevel="1" x14ac:dyDescent="0.2">
      <c r="B15" s="110" t="s">
        <v>7</v>
      </c>
      <c r="C15" s="32">
        <f>1652303015.27</f>
        <v>1652303015.27</v>
      </c>
      <c r="D15" s="32">
        <f>386353585.34</f>
        <v>386353585.33999997</v>
      </c>
      <c r="E15" s="97" t="s">
        <v>77</v>
      </c>
      <c r="F15" s="97" t="s">
        <v>77</v>
      </c>
      <c r="G15" s="97" t="s">
        <v>77</v>
      </c>
      <c r="H15" s="97" t="s">
        <v>77</v>
      </c>
      <c r="I15" s="97" t="s">
        <v>77</v>
      </c>
      <c r="J15" s="33">
        <f t="shared" si="0"/>
        <v>1.9838203805738177</v>
      </c>
      <c r="K15" s="33">
        <f t="shared" si="1"/>
        <v>23.382731966803718</v>
      </c>
      <c r="L15" s="36"/>
    </row>
    <row r="16" spans="2:13" ht="12.95" customHeight="1" outlineLevel="1" x14ac:dyDescent="0.2">
      <c r="B16" s="113" t="s">
        <v>6</v>
      </c>
      <c r="C16" s="32">
        <f>403664143.99</f>
        <v>403664143.99000001</v>
      </c>
      <c r="D16" s="32">
        <f>43684341.56</f>
        <v>43684341.560000002</v>
      </c>
      <c r="E16" s="97" t="s">
        <v>77</v>
      </c>
      <c r="F16" s="97" t="s">
        <v>77</v>
      </c>
      <c r="G16" s="97" t="s">
        <v>77</v>
      </c>
      <c r="H16" s="97" t="s">
        <v>77</v>
      </c>
      <c r="I16" s="97" t="s">
        <v>77</v>
      </c>
      <c r="J16" s="33">
        <f t="shared" si="0"/>
        <v>0.22430719006376348</v>
      </c>
      <c r="K16" s="33">
        <f t="shared" si="1"/>
        <v>10.82195241028943</v>
      </c>
      <c r="L16" s="36"/>
    </row>
    <row r="17" spans="2:12" ht="33.75" outlineLevel="1" x14ac:dyDescent="0.2">
      <c r="B17" s="110" t="s">
        <v>10</v>
      </c>
      <c r="C17" s="32">
        <f>102292000.6</f>
        <v>102292000.59999999</v>
      </c>
      <c r="D17" s="32">
        <f>19256152.33</f>
        <v>19256152.329999998</v>
      </c>
      <c r="E17" s="97" t="s">
        <v>77</v>
      </c>
      <c r="F17" s="97" t="s">
        <v>77</v>
      </c>
      <c r="G17" s="97" t="s">
        <v>77</v>
      </c>
      <c r="H17" s="97" t="s">
        <v>77</v>
      </c>
      <c r="I17" s="97" t="s">
        <v>77</v>
      </c>
      <c r="J17" s="33">
        <f t="shared" si="0"/>
        <v>9.8875094973094324E-2</v>
      </c>
      <c r="K17" s="33">
        <f t="shared" si="1"/>
        <v>18.82469031503134</v>
      </c>
      <c r="L17" s="36"/>
    </row>
    <row r="18" spans="2:12" ht="12.95" customHeight="1" outlineLevel="1" x14ac:dyDescent="0.2">
      <c r="B18" s="113" t="s">
        <v>6</v>
      </c>
      <c r="C18" s="32">
        <f>2129082</f>
        <v>2129082</v>
      </c>
      <c r="D18" s="32">
        <f>252752</f>
        <v>252752</v>
      </c>
      <c r="E18" s="97" t="s">
        <v>77</v>
      </c>
      <c r="F18" s="97" t="s">
        <v>77</v>
      </c>
      <c r="G18" s="97" t="s">
        <v>77</v>
      </c>
      <c r="H18" s="97" t="s">
        <v>77</v>
      </c>
      <c r="I18" s="97" t="s">
        <v>77</v>
      </c>
      <c r="J18" s="33">
        <f t="shared" si="0"/>
        <v>1.2978126458682588E-3</v>
      </c>
      <c r="K18" s="33">
        <f t="shared" si="1"/>
        <v>11.871407489237145</v>
      </c>
      <c r="L18" s="36"/>
    </row>
    <row r="19" spans="2:12" ht="25.5" customHeight="1" outlineLevel="1" x14ac:dyDescent="0.2">
      <c r="B19" s="110" t="s">
        <v>11</v>
      </c>
      <c r="C19" s="32">
        <f>503874708.86</f>
        <v>503874708.86000001</v>
      </c>
      <c r="D19" s="32">
        <f>103033988.91</f>
        <v>103033988.91</v>
      </c>
      <c r="E19" s="97" t="s">
        <v>77</v>
      </c>
      <c r="F19" s="97" t="s">
        <v>77</v>
      </c>
      <c r="G19" s="97" t="s">
        <v>77</v>
      </c>
      <c r="H19" s="97" t="s">
        <v>77</v>
      </c>
      <c r="I19" s="97" t="s">
        <v>77</v>
      </c>
      <c r="J19" s="33">
        <f t="shared" si="0"/>
        <v>0.52905145661220465</v>
      </c>
      <c r="K19" s="33">
        <f t="shared" si="1"/>
        <v>20.448335091695913</v>
      </c>
      <c r="L19" s="36"/>
    </row>
    <row r="20" spans="2:12" ht="12.95" customHeight="1" outlineLevel="1" x14ac:dyDescent="0.2">
      <c r="B20" s="113" t="s">
        <v>6</v>
      </c>
      <c r="C20" s="32">
        <f>106813330.82</f>
        <v>106813330.81999999</v>
      </c>
      <c r="D20" s="32">
        <f>1805156.9</f>
        <v>1805156.9</v>
      </c>
      <c r="E20" s="97" t="s">
        <v>77</v>
      </c>
      <c r="F20" s="97" t="s">
        <v>77</v>
      </c>
      <c r="G20" s="97" t="s">
        <v>77</v>
      </c>
      <c r="H20" s="97" t="s">
        <v>77</v>
      </c>
      <c r="I20" s="97" t="s">
        <v>77</v>
      </c>
      <c r="J20" s="33">
        <f t="shared" si="0"/>
        <v>9.2689887818745015E-3</v>
      </c>
      <c r="K20" s="33">
        <f t="shared" si="1"/>
        <v>1.6900108686265198</v>
      </c>
      <c r="L20" s="36"/>
    </row>
    <row r="21" spans="2:12" ht="35.25" customHeight="1" outlineLevel="1" x14ac:dyDescent="0.2">
      <c r="B21" s="110" t="s">
        <v>53</v>
      </c>
      <c r="C21" s="32">
        <f>1037968276.62</f>
        <v>1037968276.62</v>
      </c>
      <c r="D21" s="32">
        <f>104563197.58</f>
        <v>104563197.58</v>
      </c>
      <c r="E21" s="97" t="s">
        <v>77</v>
      </c>
      <c r="F21" s="97" t="s">
        <v>77</v>
      </c>
      <c r="G21" s="97" t="s">
        <v>77</v>
      </c>
      <c r="H21" s="97" t="s">
        <v>77</v>
      </c>
      <c r="I21" s="97" t="s">
        <v>77</v>
      </c>
      <c r="J21" s="33">
        <f t="shared" si="0"/>
        <v>0.53690352642806116</v>
      </c>
      <c r="K21" s="33">
        <f t="shared" si="1"/>
        <v>10.073833655157129</v>
      </c>
      <c r="L21" s="36"/>
    </row>
    <row r="22" spans="2:12" ht="12.95" customHeight="1" outlineLevel="1" x14ac:dyDescent="0.2">
      <c r="B22" s="113" t="s">
        <v>6</v>
      </c>
      <c r="C22" s="32">
        <f>829739271.1</f>
        <v>829739271.10000002</v>
      </c>
      <c r="D22" s="32">
        <f>48151053.82</f>
        <v>48151053.82</v>
      </c>
      <c r="E22" s="97" t="s">
        <v>77</v>
      </c>
      <c r="F22" s="97" t="s">
        <v>77</v>
      </c>
      <c r="G22" s="97" t="s">
        <v>77</v>
      </c>
      <c r="H22" s="97" t="s">
        <v>77</v>
      </c>
      <c r="I22" s="97" t="s">
        <v>77</v>
      </c>
      <c r="J22" s="33">
        <f t="shared" si="0"/>
        <v>0.24724254035370297</v>
      </c>
      <c r="K22" s="33">
        <f t="shared" si="1"/>
        <v>5.8031547375316217</v>
      </c>
      <c r="L22" s="36"/>
    </row>
    <row r="23" spans="2:12" ht="12.95" customHeight="1" outlineLevel="1" x14ac:dyDescent="0.2">
      <c r="B23" s="110" t="s">
        <v>8</v>
      </c>
      <c r="C23" s="32">
        <f>96473137.31</f>
        <v>96473137.310000002</v>
      </c>
      <c r="D23" s="32">
        <f>10217451.77</f>
        <v>10217451.77</v>
      </c>
      <c r="E23" s="97" t="s">
        <v>77</v>
      </c>
      <c r="F23" s="97" t="s">
        <v>77</v>
      </c>
      <c r="G23" s="97" t="s">
        <v>77</v>
      </c>
      <c r="H23" s="97" t="s">
        <v>77</v>
      </c>
      <c r="I23" s="97" t="s">
        <v>77</v>
      </c>
      <c r="J23" s="33">
        <f t="shared" si="0"/>
        <v>5.2463830615207895E-2</v>
      </c>
      <c r="K23" s="33">
        <f t="shared" si="1"/>
        <v>10.590981132051255</v>
      </c>
      <c r="L23" s="36"/>
    </row>
    <row r="24" spans="2:12" ht="12.95" customHeight="1" outlineLevel="1" x14ac:dyDescent="0.2">
      <c r="B24" s="113" t="s">
        <v>6</v>
      </c>
      <c r="C24" s="32">
        <f>80601586.3</f>
        <v>80601586.299999997</v>
      </c>
      <c r="D24" s="32">
        <f>5403159.36</f>
        <v>5403159.3600000003</v>
      </c>
      <c r="E24" s="97" t="s">
        <v>77</v>
      </c>
      <c r="F24" s="97" t="s">
        <v>77</v>
      </c>
      <c r="G24" s="97" t="s">
        <v>77</v>
      </c>
      <c r="H24" s="97" t="s">
        <v>77</v>
      </c>
      <c r="I24" s="97" t="s">
        <v>77</v>
      </c>
      <c r="J24" s="33">
        <f t="shared" si="0"/>
        <v>2.774375096952526E-2</v>
      </c>
      <c r="K24" s="33">
        <f t="shared" si="1"/>
        <v>6.7035397292174634</v>
      </c>
      <c r="L24" s="36"/>
    </row>
    <row r="25" spans="2:12" ht="67.5" outlineLevel="1" x14ac:dyDescent="0.2">
      <c r="B25" s="110" t="s">
        <v>68</v>
      </c>
      <c r="C25" s="32">
        <f>3222808.93</f>
        <v>3222808.93</v>
      </c>
      <c r="D25" s="32">
        <f>0</f>
        <v>0</v>
      </c>
      <c r="E25" s="97" t="s">
        <v>77</v>
      </c>
      <c r="F25" s="97" t="s">
        <v>77</v>
      </c>
      <c r="G25" s="97" t="s">
        <v>77</v>
      </c>
      <c r="H25" s="97" t="s">
        <v>77</v>
      </c>
      <c r="I25" s="97" t="s">
        <v>77</v>
      </c>
      <c r="J25" s="33">
        <f t="shared" si="0"/>
        <v>0</v>
      </c>
      <c r="K25" s="33">
        <f t="shared" si="1"/>
        <v>0</v>
      </c>
      <c r="L25" s="36"/>
    </row>
    <row r="26" spans="2:12" ht="12.95" customHeight="1" outlineLevel="1" x14ac:dyDescent="0.2">
      <c r="B26" s="113" t="s">
        <v>69</v>
      </c>
      <c r="C26" s="32">
        <f>3222808.93</f>
        <v>3222808.93</v>
      </c>
      <c r="D26" s="32">
        <f>0</f>
        <v>0</v>
      </c>
      <c r="E26" s="97" t="s">
        <v>77</v>
      </c>
      <c r="F26" s="97" t="s">
        <v>77</v>
      </c>
      <c r="G26" s="97" t="s">
        <v>77</v>
      </c>
      <c r="H26" s="97" t="s">
        <v>77</v>
      </c>
      <c r="I26" s="97" t="s">
        <v>77</v>
      </c>
      <c r="J26" s="33">
        <f t="shared" si="0"/>
        <v>0</v>
      </c>
      <c r="K26" s="33">
        <f t="shared" si="1"/>
        <v>0</v>
      </c>
      <c r="L26" s="36"/>
    </row>
    <row r="27" spans="2:12" ht="33.75" outlineLevel="1" x14ac:dyDescent="0.2">
      <c r="B27" s="111" t="s">
        <v>110</v>
      </c>
      <c r="C27" s="69">
        <f>1454263123.97</f>
        <v>1454263123.97</v>
      </c>
      <c r="D27" s="69">
        <f>271680673.51</f>
        <v>271680673.50999999</v>
      </c>
      <c r="E27" s="97" t="s">
        <v>77</v>
      </c>
      <c r="F27" s="97" t="s">
        <v>77</v>
      </c>
      <c r="G27" s="97" t="s">
        <v>77</v>
      </c>
      <c r="H27" s="97" t="s">
        <v>77</v>
      </c>
      <c r="I27" s="97" t="s">
        <v>77</v>
      </c>
      <c r="J27" s="70">
        <f t="shared" si="0"/>
        <v>1.3950062263376104</v>
      </c>
      <c r="K27" s="70">
        <f t="shared" si="1"/>
        <v>18.681672458855836</v>
      </c>
      <c r="L27" s="36"/>
    </row>
    <row r="28" spans="2:12" ht="12.95" customHeight="1" outlineLevel="1" x14ac:dyDescent="0.2">
      <c r="B28" s="113" t="s">
        <v>6</v>
      </c>
      <c r="C28" s="32">
        <f>1454263123.97</f>
        <v>1454263123.97</v>
      </c>
      <c r="D28" s="32">
        <f>271680673.51</f>
        <v>271680673.50999999</v>
      </c>
      <c r="E28" s="97" t="s">
        <v>77</v>
      </c>
      <c r="F28" s="97" t="s">
        <v>77</v>
      </c>
      <c r="G28" s="97" t="s">
        <v>77</v>
      </c>
      <c r="H28" s="97" t="s">
        <v>77</v>
      </c>
      <c r="I28" s="97" t="s">
        <v>77</v>
      </c>
      <c r="J28" s="33">
        <f t="shared" si="0"/>
        <v>1.3950062263376104</v>
      </c>
      <c r="K28" s="33">
        <f t="shared" si="1"/>
        <v>18.681672458855836</v>
      </c>
      <c r="L28" s="36"/>
    </row>
    <row r="29" spans="2:12" ht="22.5" outlineLevel="1" x14ac:dyDescent="0.2">
      <c r="B29" s="111" t="s">
        <v>85</v>
      </c>
      <c r="C29" s="32">
        <f>62746894.39</f>
        <v>62746894.390000001</v>
      </c>
      <c r="D29" s="32">
        <f>45268523.19</f>
        <v>45268523.189999998</v>
      </c>
      <c r="E29" s="97" t="s">
        <v>77</v>
      </c>
      <c r="F29" s="97" t="s">
        <v>77</v>
      </c>
      <c r="G29" s="97" t="s">
        <v>77</v>
      </c>
      <c r="H29" s="97" t="s">
        <v>77</v>
      </c>
      <c r="I29" s="97" t="s">
        <v>77</v>
      </c>
      <c r="J29" s="33">
        <f t="shared" si="0"/>
        <v>0.23244153104925988</v>
      </c>
      <c r="K29" s="33">
        <f t="shared" si="1"/>
        <v>72.144643380492894</v>
      </c>
      <c r="L29" s="36"/>
    </row>
    <row r="30" spans="2:12" ht="12.95" customHeight="1" outlineLevel="1" x14ac:dyDescent="0.2">
      <c r="B30" s="113" t="s">
        <v>6</v>
      </c>
      <c r="C30" s="32">
        <f>0</f>
        <v>0</v>
      </c>
      <c r="D30" s="32">
        <f>0</f>
        <v>0</v>
      </c>
      <c r="E30" s="97" t="s">
        <v>77</v>
      </c>
      <c r="F30" s="97" t="s">
        <v>77</v>
      </c>
      <c r="G30" s="97" t="s">
        <v>77</v>
      </c>
      <c r="H30" s="97" t="s">
        <v>77</v>
      </c>
      <c r="I30" s="97" t="s">
        <v>77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2" t="s">
        <v>60</v>
      </c>
      <c r="C31" s="30">
        <f>158159697.7</f>
        <v>158159697.69999999</v>
      </c>
      <c r="D31" s="30">
        <f>26605626.06</f>
        <v>26605626.059999999</v>
      </c>
      <c r="E31" s="97" t="s">
        <v>77</v>
      </c>
      <c r="F31" s="97" t="s">
        <v>77</v>
      </c>
      <c r="G31" s="97" t="s">
        <v>77</v>
      </c>
      <c r="H31" s="97" t="s">
        <v>77</v>
      </c>
      <c r="I31" s="97" t="s">
        <v>77</v>
      </c>
      <c r="J31" s="34">
        <f t="shared" si="0"/>
        <v>0.13661263986797376</v>
      </c>
      <c r="K31" s="34">
        <f t="shared" si="1"/>
        <v>16.822001083023064</v>
      </c>
      <c r="L31" s="21"/>
    </row>
    <row r="32" spans="2:12" ht="12.95" customHeight="1" outlineLevel="1" x14ac:dyDescent="0.2">
      <c r="B32" s="114" t="s">
        <v>46</v>
      </c>
      <c r="C32" s="35">
        <f>87847322.52</f>
        <v>87847322.519999996</v>
      </c>
      <c r="D32" s="35">
        <f>5257919.38</f>
        <v>5257919.38</v>
      </c>
      <c r="E32" s="97" t="s">
        <v>77</v>
      </c>
      <c r="F32" s="97" t="s">
        <v>77</v>
      </c>
      <c r="G32" s="97" t="s">
        <v>77</v>
      </c>
      <c r="H32" s="97" t="s">
        <v>77</v>
      </c>
      <c r="I32" s="97" t="s">
        <v>77</v>
      </c>
      <c r="J32" s="33">
        <f t="shared" si="0"/>
        <v>2.6997983249666849E-2</v>
      </c>
      <c r="K32" s="33">
        <f t="shared" si="1"/>
        <v>5.9852926977972967</v>
      </c>
      <c r="L32" s="21"/>
    </row>
    <row r="33" spans="1:26" ht="12.95" customHeight="1" outlineLevel="1" x14ac:dyDescent="0.2">
      <c r="B33" s="112" t="s">
        <v>61</v>
      </c>
      <c r="C33" s="58">
        <f>2695692792.79</f>
        <v>2695692792.79</v>
      </c>
      <c r="D33" s="58">
        <f>375129966.78</f>
        <v>375129966.77999997</v>
      </c>
      <c r="E33" s="97" t="s">
        <v>77</v>
      </c>
      <c r="F33" s="97" t="s">
        <v>77</v>
      </c>
      <c r="G33" s="97" t="s">
        <v>77</v>
      </c>
      <c r="H33" s="97" t="s">
        <v>77</v>
      </c>
      <c r="I33" s="97" t="s">
        <v>77</v>
      </c>
      <c r="J33" s="59">
        <f t="shared" si="0"/>
        <v>1.9261901576692722</v>
      </c>
      <c r="K33" s="59">
        <f t="shared" si="1"/>
        <v>13.915901981981646</v>
      </c>
      <c r="L33" s="21"/>
    </row>
    <row r="34" spans="1:26" ht="12.95" customHeight="1" outlineLevel="1" x14ac:dyDescent="0.2">
      <c r="B34" s="114" t="s">
        <v>58</v>
      </c>
      <c r="C34" s="35">
        <f>1924723809.29</f>
        <v>1924723809.29</v>
      </c>
      <c r="D34" s="35">
        <f>158617812.67</f>
        <v>158617812.66999999</v>
      </c>
      <c r="E34" s="97" t="s">
        <v>77</v>
      </c>
      <c r="F34" s="97" t="s">
        <v>77</v>
      </c>
      <c r="G34" s="97" t="s">
        <v>77</v>
      </c>
      <c r="H34" s="97" t="s">
        <v>77</v>
      </c>
      <c r="I34" s="97" t="s">
        <v>77</v>
      </c>
      <c r="J34" s="33">
        <f t="shared" si="0"/>
        <v>0.81445924520117952</v>
      </c>
      <c r="K34" s="33">
        <f t="shared" si="1"/>
        <v>8.2410687655239006</v>
      </c>
      <c r="L34" s="21"/>
    </row>
    <row r="35" spans="1:26" s="5" customFormat="1" ht="26.85" customHeight="1" x14ac:dyDescent="0.2">
      <c r="B35" s="106" t="s">
        <v>97</v>
      </c>
      <c r="C35" s="30">
        <f>10480285416.25</f>
        <v>10480285416.25</v>
      </c>
      <c r="D35" s="30">
        <f>4012721169.72</f>
        <v>4012721169.7199998</v>
      </c>
      <c r="E35" s="97" t="s">
        <v>77</v>
      </c>
      <c r="F35" s="97" t="s">
        <v>77</v>
      </c>
      <c r="G35" s="97" t="s">
        <v>77</v>
      </c>
      <c r="H35" s="97" t="s">
        <v>77</v>
      </c>
      <c r="I35" s="97" t="s">
        <v>77</v>
      </c>
      <c r="J35" s="31">
        <f t="shared" si="0"/>
        <v>20.604229752507944</v>
      </c>
      <c r="K35" s="31">
        <f t="shared" si="1"/>
        <v>38.288281381136379</v>
      </c>
      <c r="L35" s="22"/>
    </row>
    <row r="36" spans="1:26" ht="12.95" customHeight="1" outlineLevel="1" x14ac:dyDescent="0.2">
      <c r="B36" s="108" t="s">
        <v>98</v>
      </c>
      <c r="C36" s="32">
        <f>0</f>
        <v>0</v>
      </c>
      <c r="D36" s="32">
        <f>0</f>
        <v>0</v>
      </c>
      <c r="E36" s="97" t="s">
        <v>77</v>
      </c>
      <c r="F36" s="97" t="s">
        <v>77</v>
      </c>
      <c r="G36" s="97" t="s">
        <v>77</v>
      </c>
      <c r="H36" s="97" t="s">
        <v>77</v>
      </c>
      <c r="I36" s="97" t="s">
        <v>77</v>
      </c>
      <c r="J36" s="33">
        <f t="shared" si="0"/>
        <v>0</v>
      </c>
      <c r="K36" s="33" t="str">
        <f t="shared" si="1"/>
        <v/>
      </c>
      <c r="L36" s="21"/>
    </row>
    <row r="37" spans="1:26" ht="22.5" outlineLevel="1" x14ac:dyDescent="0.2">
      <c r="B37" s="108" t="s">
        <v>99</v>
      </c>
      <c r="C37" s="32">
        <f>40818602.25</f>
        <v>40818602.25</v>
      </c>
      <c r="D37" s="32">
        <f>0</f>
        <v>0</v>
      </c>
      <c r="E37" s="97" t="s">
        <v>77</v>
      </c>
      <c r="F37" s="97" t="s">
        <v>77</v>
      </c>
      <c r="G37" s="97" t="s">
        <v>77</v>
      </c>
      <c r="H37" s="97" t="s">
        <v>77</v>
      </c>
      <c r="I37" s="97" t="s">
        <v>77</v>
      </c>
      <c r="J37" s="33">
        <f t="shared" si="0"/>
        <v>0</v>
      </c>
      <c r="K37" s="33">
        <f t="shared" si="1"/>
        <v>0</v>
      </c>
      <c r="L37" s="21"/>
    </row>
    <row r="38" spans="1:26" ht="12.95" customHeight="1" outlineLevel="1" x14ac:dyDescent="0.2">
      <c r="B38" s="110" t="s">
        <v>6</v>
      </c>
      <c r="C38" s="32">
        <f>37214477.8</f>
        <v>37214477.799999997</v>
      </c>
      <c r="D38" s="32">
        <f>0</f>
        <v>0</v>
      </c>
      <c r="E38" s="97" t="s">
        <v>77</v>
      </c>
      <c r="F38" s="97" t="s">
        <v>77</v>
      </c>
      <c r="G38" s="97" t="s">
        <v>77</v>
      </c>
      <c r="H38" s="97" t="s">
        <v>77</v>
      </c>
      <c r="I38" s="97" t="s">
        <v>77</v>
      </c>
      <c r="J38" s="33">
        <f t="shared" si="0"/>
        <v>0</v>
      </c>
      <c r="K38" s="33">
        <f t="shared" si="1"/>
        <v>0</v>
      </c>
      <c r="L38" s="21"/>
    </row>
    <row r="39" spans="1:26" s="5" customFormat="1" ht="12.95" customHeight="1" x14ac:dyDescent="0.2">
      <c r="B39" s="105" t="s">
        <v>5</v>
      </c>
      <c r="C39" s="58">
        <f>+C5</f>
        <v>60011626171.760002</v>
      </c>
      <c r="D39" s="58">
        <f>+D5</f>
        <v>19475230173.220001</v>
      </c>
      <c r="E39" s="97" t="s">
        <v>77</v>
      </c>
      <c r="F39" s="97" t="s">
        <v>77</v>
      </c>
      <c r="G39" s="97" t="s">
        <v>77</v>
      </c>
      <c r="H39" s="97" t="s">
        <v>77</v>
      </c>
      <c r="I39" s="97" t="s">
        <v>77</v>
      </c>
      <c r="J39" s="59">
        <f>IF($D$5=0,"",100*$D39/$D$39)</f>
        <v>100</v>
      </c>
      <c r="K39" s="59">
        <f t="shared" si="1"/>
        <v>32.452428663538811</v>
      </c>
    </row>
    <row r="40" spans="1:26" s="5" customFormat="1" ht="12.95" customHeight="1" x14ac:dyDescent="0.2">
      <c r="B40" s="115" t="s">
        <v>48</v>
      </c>
      <c r="C40" s="32">
        <f>6825691054.31</f>
        <v>6825691054.3100004</v>
      </c>
      <c r="D40" s="32">
        <f>703485472.41</f>
        <v>703485472.40999997</v>
      </c>
      <c r="E40" s="97" t="s">
        <v>77</v>
      </c>
      <c r="F40" s="97" t="s">
        <v>77</v>
      </c>
      <c r="G40" s="97" t="s">
        <v>77</v>
      </c>
      <c r="H40" s="97" t="s">
        <v>77</v>
      </c>
      <c r="I40" s="97" t="s">
        <v>77</v>
      </c>
      <c r="J40" s="33">
        <f>IF($D$5=0,"",100*$D40/$D$39)</f>
        <v>3.6122062032280819</v>
      </c>
      <c r="K40" s="33">
        <f t="shared" si="1"/>
        <v>10.306435887774214</v>
      </c>
    </row>
    <row r="41" spans="1:26" s="5" customFormat="1" ht="12.95" customHeight="1" x14ac:dyDescent="0.2">
      <c r="A41" s="2"/>
      <c r="B41" s="115" t="s">
        <v>49</v>
      </c>
      <c r="C41" s="32">
        <f>C39-C40</f>
        <v>53185935117.450005</v>
      </c>
      <c r="D41" s="32">
        <f>D39-D40</f>
        <v>18771744700.810001</v>
      </c>
      <c r="E41" s="97" t="s">
        <v>77</v>
      </c>
      <c r="F41" s="97" t="s">
        <v>77</v>
      </c>
      <c r="G41" s="97" t="s">
        <v>77</v>
      </c>
      <c r="H41" s="97" t="s">
        <v>77</v>
      </c>
      <c r="I41" s="97" t="s">
        <v>77</v>
      </c>
      <c r="J41" s="33">
        <f>IF($D$5=0,"",100*$D41/$D$39)</f>
        <v>96.38779379677193</v>
      </c>
      <c r="K41" s="33">
        <f t="shared" si="1"/>
        <v>35.294565488707747</v>
      </c>
      <c r="M41" s="15"/>
      <c r="N41" s="15"/>
      <c r="O41" s="9"/>
      <c r="P41" s="9"/>
      <c r="Q41" s="3"/>
    </row>
    <row r="42" spans="1:26" s="5" customFormat="1" ht="12.95" customHeight="1" x14ac:dyDescent="0.2">
      <c r="A42" s="2"/>
      <c r="B42" s="127" t="s">
        <v>86</v>
      </c>
      <c r="C42" s="76"/>
      <c r="D42" s="76"/>
      <c r="E42" s="126"/>
      <c r="F42" s="126"/>
      <c r="G42" s="126"/>
      <c r="H42" s="126"/>
      <c r="I42" s="126"/>
      <c r="J42" s="57"/>
      <c r="K42" s="57"/>
      <c r="M42" s="15"/>
      <c r="N42" s="15"/>
      <c r="O42" s="9"/>
      <c r="P42" s="9"/>
      <c r="Q42" s="3"/>
    </row>
    <row r="43" spans="1:26" ht="20.100000000000001" customHeight="1" x14ac:dyDescent="0.2">
      <c r="B43" s="116" t="str">
        <f>CONCATENATE("Informacja z wykonania budżetów powiatów za ",$D$114," ",$C$115," rok     ",$C$117,"")</f>
        <v xml:space="preserve">Informacja z wykonania budżetów powiatów za I Kwartał 2026 rok     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26" s="5" customFormat="1" ht="9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46" t="s">
        <v>0</v>
      </c>
      <c r="C45" s="147" t="s">
        <v>31</v>
      </c>
      <c r="D45" s="147" t="s">
        <v>33</v>
      </c>
      <c r="E45" s="147" t="s">
        <v>32</v>
      </c>
      <c r="F45" s="147" t="s">
        <v>12</v>
      </c>
      <c r="G45" s="147"/>
      <c r="H45" s="147"/>
      <c r="I45" s="148" t="s">
        <v>59</v>
      </c>
      <c r="J45" s="147" t="s">
        <v>2</v>
      </c>
      <c r="K45" s="169" t="s">
        <v>18</v>
      </c>
      <c r="M45" s="10"/>
      <c r="N45" s="73"/>
      <c r="O45" s="7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46"/>
      <c r="C46" s="147"/>
      <c r="D46" s="147"/>
      <c r="E46" s="163"/>
      <c r="F46" s="164" t="s">
        <v>34</v>
      </c>
      <c r="G46" s="162" t="s">
        <v>23</v>
      </c>
      <c r="H46" s="163"/>
      <c r="I46" s="149"/>
      <c r="J46" s="147"/>
      <c r="K46" s="169"/>
      <c r="L46" s="11"/>
      <c r="M46" s="12"/>
      <c r="N46" s="74"/>
      <c r="O46" s="78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">
      <c r="B47" s="146"/>
      <c r="C47" s="147"/>
      <c r="D47" s="147"/>
      <c r="E47" s="163"/>
      <c r="F47" s="163"/>
      <c r="G47" s="17" t="s">
        <v>29</v>
      </c>
      <c r="H47" s="17" t="s">
        <v>30</v>
      </c>
      <c r="I47" s="150"/>
      <c r="J47" s="147"/>
      <c r="K47" s="169"/>
      <c r="L47" s="11"/>
      <c r="M47" s="10"/>
      <c r="N47" s="74"/>
      <c r="O47" s="76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46"/>
      <c r="C48" s="137" t="s">
        <v>52</v>
      </c>
      <c r="D48" s="138"/>
      <c r="E48" s="138"/>
      <c r="F48" s="138"/>
      <c r="G48" s="138"/>
      <c r="H48" s="138"/>
      <c r="I48" s="139"/>
      <c r="J48" s="170" t="s">
        <v>4</v>
      </c>
      <c r="K48" s="170"/>
      <c r="N48" s="10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6">
        <v>1</v>
      </c>
      <c r="C49" s="18">
        <v>2</v>
      </c>
      <c r="D49" s="18">
        <v>3</v>
      </c>
      <c r="E49" s="18">
        <v>4</v>
      </c>
      <c r="F49" s="16">
        <v>5</v>
      </c>
      <c r="G49" s="16">
        <v>6</v>
      </c>
      <c r="H49" s="18">
        <v>7</v>
      </c>
      <c r="I49" s="18">
        <v>8</v>
      </c>
      <c r="J49" s="16">
        <v>9</v>
      </c>
      <c r="K49" s="18">
        <v>10</v>
      </c>
      <c r="M49" s="10"/>
      <c r="N49" s="10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6.85" customHeight="1" x14ac:dyDescent="0.2">
      <c r="B50" s="103" t="s">
        <v>37</v>
      </c>
      <c r="C50" s="60">
        <f>63983890251.16</f>
        <v>63983890251.160004</v>
      </c>
      <c r="D50" s="72">
        <f>13080710917.18</f>
        <v>13080710917.18</v>
      </c>
      <c r="E50" s="72">
        <f>40341555045.94</f>
        <v>40341555045.940002</v>
      </c>
      <c r="F50" s="60">
        <f>1364977234.85</f>
        <v>1364977234.8499999</v>
      </c>
      <c r="G50" s="60">
        <f>44580.89</f>
        <v>44580.89</v>
      </c>
      <c r="H50" s="60">
        <f>350738.27</f>
        <v>350738.27</v>
      </c>
      <c r="I50" s="80">
        <f>0</f>
        <v>0</v>
      </c>
      <c r="J50" s="50">
        <f>IF($D$50=0,"",100*$D50/$D$50)</f>
        <v>100</v>
      </c>
      <c r="K50" s="50">
        <f>IF(C50=0,"",100*D50/C50)</f>
        <v>20.443756804772981</v>
      </c>
      <c r="O50" s="75"/>
    </row>
    <row r="51" spans="2:26" ht="12.95" customHeight="1" x14ac:dyDescent="0.2">
      <c r="B51" s="19" t="s">
        <v>14</v>
      </c>
      <c r="C51" s="38">
        <f>13085907333.95</f>
        <v>13085907333.950001</v>
      </c>
      <c r="D51" s="38">
        <f>810959493.39</f>
        <v>810959493.38999999</v>
      </c>
      <c r="E51" s="38">
        <f>4909188449.06</f>
        <v>4909188449.0600004</v>
      </c>
      <c r="F51" s="38">
        <f>161097550.08</f>
        <v>161097550.08000001</v>
      </c>
      <c r="G51" s="38">
        <f>5597.13</f>
        <v>5597.13</v>
      </c>
      <c r="H51" s="38">
        <f>52992.9</f>
        <v>52992.9</v>
      </c>
      <c r="I51" s="81">
        <f>0</f>
        <v>0</v>
      </c>
      <c r="J51" s="50">
        <f t="shared" ref="J51:J59" si="2">IF($D$50=0,"",100*$D51/$D$50)</f>
        <v>6.1996591662682379</v>
      </c>
      <c r="K51" s="50">
        <f t="shared" ref="K51:K59" si="3">IF(C51=0,"",100*D51/C51)</f>
        <v>6.1971972802073223</v>
      </c>
      <c r="O51" s="76"/>
    </row>
    <row r="52" spans="2:26" ht="12.95" customHeight="1" outlineLevel="1" x14ac:dyDescent="0.2">
      <c r="B52" s="20" t="s">
        <v>13</v>
      </c>
      <c r="C52" s="35">
        <f>12977313942.66</f>
        <v>12977313942.66</v>
      </c>
      <c r="D52" s="35">
        <f>762141229.14</f>
        <v>762141229.13999999</v>
      </c>
      <c r="E52" s="35">
        <f>4844470349.06</f>
        <v>4844470349.0600004</v>
      </c>
      <c r="F52" s="35">
        <f>161097550.08</f>
        <v>161097550.08000001</v>
      </c>
      <c r="G52" s="35">
        <f>5597.13</f>
        <v>5597.13</v>
      </c>
      <c r="H52" s="35">
        <f>52992.9</f>
        <v>52992.9</v>
      </c>
      <c r="I52" s="82">
        <f>0</f>
        <v>0</v>
      </c>
      <c r="J52" s="50">
        <f t="shared" si="2"/>
        <v>5.8264511307180991</v>
      </c>
      <c r="K52" s="50">
        <f t="shared" si="3"/>
        <v>5.8728734814269394</v>
      </c>
      <c r="O52" s="75"/>
    </row>
    <row r="53" spans="2:26" ht="26.85" customHeight="1" x14ac:dyDescent="0.2">
      <c r="B53" s="19" t="s">
        <v>38</v>
      </c>
      <c r="C53" s="38">
        <f t="shared" ref="C53:I53" si="4">C50-C51</f>
        <v>50897982917.210007</v>
      </c>
      <c r="D53" s="38">
        <f>D50-D51</f>
        <v>12269751423.790001</v>
      </c>
      <c r="E53" s="38">
        <f>E50-E51</f>
        <v>35432366596.880005</v>
      </c>
      <c r="F53" s="38">
        <f t="shared" si="4"/>
        <v>1203879684.77</v>
      </c>
      <c r="G53" s="38">
        <f t="shared" si="4"/>
        <v>38983.760000000002</v>
      </c>
      <c r="H53" s="38">
        <f t="shared" si="4"/>
        <v>297745.37</v>
      </c>
      <c r="I53" s="81">
        <f t="shared" si="4"/>
        <v>0</v>
      </c>
      <c r="J53" s="50">
        <f t="shared" si="2"/>
        <v>93.800340833731767</v>
      </c>
      <c r="K53" s="50">
        <f t="shared" si="3"/>
        <v>24.106557314359229</v>
      </c>
      <c r="O53" s="75"/>
    </row>
    <row r="54" spans="2:26" ht="22.5" outlineLevel="1" x14ac:dyDescent="0.2">
      <c r="B54" s="20" t="s">
        <v>76</v>
      </c>
      <c r="C54" s="35">
        <f>32611891909.52</f>
        <v>32611891909.52</v>
      </c>
      <c r="D54" s="35">
        <f>8795965413.09999</f>
        <v>8795965413.0999908</v>
      </c>
      <c r="E54" s="35">
        <f>27072342137.24</f>
        <v>27072342137.240002</v>
      </c>
      <c r="F54" s="35">
        <f>811199811.910001</f>
        <v>811199811.91000104</v>
      </c>
      <c r="G54" s="35">
        <f>1298.77</f>
        <v>1298.77</v>
      </c>
      <c r="H54" s="35">
        <f>4769</f>
        <v>4769</v>
      </c>
      <c r="I54" s="82">
        <f>0</f>
        <v>0</v>
      </c>
      <c r="J54" s="50">
        <f t="shared" si="2"/>
        <v>67.243787197739437</v>
      </c>
      <c r="K54" s="50">
        <f t="shared" si="3"/>
        <v>26.971650211229509</v>
      </c>
      <c r="O54" s="76"/>
    </row>
    <row r="55" spans="2:26" ht="12.95" customHeight="1" outlineLevel="1" x14ac:dyDescent="0.2">
      <c r="B55" s="23" t="s">
        <v>28</v>
      </c>
      <c r="C55" s="61">
        <f>4599591158.73</f>
        <v>4599591158.7299995</v>
      </c>
      <c r="D55" s="61">
        <f>1106115087.94</f>
        <v>1106115087.9400001</v>
      </c>
      <c r="E55" s="61">
        <f>2691307166.41</f>
        <v>2691307166.4099998</v>
      </c>
      <c r="F55" s="61">
        <f>8999778.48</f>
        <v>8999778.4800000004</v>
      </c>
      <c r="G55" s="61">
        <f>0</f>
        <v>0</v>
      </c>
      <c r="H55" s="61">
        <f>788.2</f>
        <v>788.2</v>
      </c>
      <c r="I55" s="83">
        <f>0</f>
        <v>0</v>
      </c>
      <c r="J55" s="50">
        <f t="shared" si="2"/>
        <v>8.4560777693454394</v>
      </c>
      <c r="K55" s="50">
        <f t="shared" si="3"/>
        <v>24.04811753411169</v>
      </c>
    </row>
    <row r="56" spans="2:26" ht="12.95" customHeight="1" outlineLevel="1" x14ac:dyDescent="0.2">
      <c r="B56" s="23" t="s">
        <v>27</v>
      </c>
      <c r="C56" s="32">
        <f>446168649.54</f>
        <v>446168649.54000002</v>
      </c>
      <c r="D56" s="32">
        <f>53217632.17</f>
        <v>53217632.170000002</v>
      </c>
      <c r="E56" s="32">
        <f>163375722.38</f>
        <v>163375722.38</v>
      </c>
      <c r="F56" s="32">
        <f>15708132.4</f>
        <v>15708132.4</v>
      </c>
      <c r="G56" s="32">
        <f>0</f>
        <v>0</v>
      </c>
      <c r="H56" s="32">
        <f>0</f>
        <v>0</v>
      </c>
      <c r="I56" s="84">
        <f>0</f>
        <v>0</v>
      </c>
      <c r="J56" s="50">
        <f t="shared" si="2"/>
        <v>0.40684051889033646</v>
      </c>
      <c r="K56" s="50">
        <f t="shared" si="3"/>
        <v>11.927694208202972</v>
      </c>
    </row>
    <row r="57" spans="2:26" ht="22.5" customHeight="1" outlineLevel="1" x14ac:dyDescent="0.2">
      <c r="B57" s="23" t="s">
        <v>44</v>
      </c>
      <c r="C57" s="61">
        <f>73103073.27</f>
        <v>73103073.269999996</v>
      </c>
      <c r="D57" s="61">
        <f>1270599.56</f>
        <v>1270599.56</v>
      </c>
      <c r="E57" s="61">
        <f>8229268.11</f>
        <v>8229268.1100000003</v>
      </c>
      <c r="F57" s="61">
        <f>44994.37</f>
        <v>44994.37</v>
      </c>
      <c r="G57" s="61">
        <f>0</f>
        <v>0</v>
      </c>
      <c r="H57" s="61">
        <f>0</f>
        <v>0</v>
      </c>
      <c r="I57" s="83">
        <f>0</f>
        <v>0</v>
      </c>
      <c r="J57" s="50">
        <f t="shared" si="2"/>
        <v>9.7135359694495993E-3</v>
      </c>
      <c r="K57" s="50">
        <f t="shared" si="3"/>
        <v>1.7380932198392649</v>
      </c>
    </row>
    <row r="58" spans="2:26" ht="12.95" customHeight="1" outlineLevel="1" x14ac:dyDescent="0.2">
      <c r="B58" s="23" t="s">
        <v>45</v>
      </c>
      <c r="C58" s="61">
        <f>1590916332.07</f>
        <v>1590916332.0699999</v>
      </c>
      <c r="D58" s="61">
        <f>342819536.27</f>
        <v>342819536.26999998</v>
      </c>
      <c r="E58" s="61">
        <f>871175527.52</f>
        <v>871175527.51999998</v>
      </c>
      <c r="F58" s="61">
        <f>14423042.26</f>
        <v>14423042.26</v>
      </c>
      <c r="G58" s="61">
        <f>0</f>
        <v>0</v>
      </c>
      <c r="H58" s="61">
        <f>0</f>
        <v>0</v>
      </c>
      <c r="I58" s="85">
        <f>0</f>
        <v>0</v>
      </c>
      <c r="J58" s="50">
        <f t="shared" si="2"/>
        <v>2.6208020224630619</v>
      </c>
      <c r="K58" s="50">
        <f t="shared" si="3"/>
        <v>21.548558485407266</v>
      </c>
    </row>
    <row r="59" spans="2:26" ht="12.95" customHeight="1" outlineLevel="1" x14ac:dyDescent="0.2">
      <c r="B59" s="20" t="s">
        <v>26</v>
      </c>
      <c r="C59" s="35">
        <f t="shared" ref="C59:I59" si="5">C53-C54-C55-C56-C57-C58</f>
        <v>11576311794.080006</v>
      </c>
      <c r="D59" s="35">
        <f>D53-D54-D55-D56-D57-D58</f>
        <v>1970363154.75001</v>
      </c>
      <c r="E59" s="86">
        <f>E53-E54-E55-E56-E57-E58</f>
        <v>4625936775.2200031</v>
      </c>
      <c r="F59" s="86">
        <f t="shared" si="5"/>
        <v>353503925.34999895</v>
      </c>
      <c r="G59" s="86">
        <f t="shared" si="5"/>
        <v>37684.990000000005</v>
      </c>
      <c r="H59" s="86">
        <f t="shared" si="5"/>
        <v>292188.17</v>
      </c>
      <c r="I59" s="87">
        <f t="shared" si="5"/>
        <v>0</v>
      </c>
      <c r="J59" s="50">
        <f t="shared" si="2"/>
        <v>15.063119789324034</v>
      </c>
      <c r="K59" s="50">
        <f t="shared" si="3"/>
        <v>17.020646902043804</v>
      </c>
    </row>
    <row r="60" spans="2:26" ht="12.95" customHeight="1" x14ac:dyDescent="0.2">
      <c r="B60" s="103" t="s">
        <v>15</v>
      </c>
      <c r="C60" s="64">
        <f>C5-C50</f>
        <v>-3972264079.4000015</v>
      </c>
      <c r="D60" s="64">
        <f>D5-D50</f>
        <v>6394519256.0400009</v>
      </c>
      <c r="E60" s="92"/>
      <c r="F60" s="93"/>
      <c r="G60" s="93"/>
      <c r="H60" s="93"/>
      <c r="I60" s="168"/>
      <c r="J60" s="168"/>
      <c r="K60" s="94"/>
      <c r="L60" s="88"/>
      <c r="M60" s="13"/>
    </row>
    <row r="61" spans="2:26" ht="39" customHeight="1" x14ac:dyDescent="0.2">
      <c r="B61" s="129" t="s">
        <v>108</v>
      </c>
      <c r="C61" s="65">
        <f>C41-C53</f>
        <v>2287952200.2399979</v>
      </c>
      <c r="D61" s="65">
        <f>D41-D53</f>
        <v>6501993277.0200005</v>
      </c>
      <c r="E61" s="91"/>
      <c r="F61" s="89"/>
      <c r="G61" s="89"/>
      <c r="H61" s="89"/>
      <c r="I61" s="89"/>
      <c r="J61" s="89"/>
      <c r="K61" s="90"/>
      <c r="L61" s="90"/>
      <c r="M61" s="10"/>
    </row>
    <row r="62" spans="2:26" ht="12" customHeight="1" outlineLevel="1" x14ac:dyDescent="0.2">
      <c r="B62" s="37"/>
      <c r="C62" s="42"/>
      <c r="D62" s="42"/>
      <c r="E62" s="42"/>
      <c r="F62" s="43"/>
      <c r="G62" s="43"/>
      <c r="H62" s="43"/>
      <c r="I62" s="43"/>
      <c r="J62" s="40"/>
      <c r="K62" s="40"/>
      <c r="L62" s="41"/>
      <c r="M62" s="10"/>
    </row>
    <row r="63" spans="2:26" ht="12" customHeight="1" outlineLevel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.75" customHeight="1" outlineLevel="1" x14ac:dyDescent="0.2">
      <c r="B64" s="135" t="s">
        <v>104</v>
      </c>
      <c r="C64" s="136" t="s">
        <v>100</v>
      </c>
      <c r="D64" s="136"/>
      <c r="E64" s="136" t="s">
        <v>101</v>
      </c>
      <c r="F64" s="136"/>
      <c r="G64" s="130" t="s">
        <v>109</v>
      </c>
      <c r="H64" s="43"/>
      <c r="I64" s="43"/>
      <c r="J64" s="40"/>
      <c r="K64" s="40"/>
      <c r="L64" s="41"/>
      <c r="M64" s="10"/>
    </row>
    <row r="65" spans="2:13" outlineLevel="1" x14ac:dyDescent="0.2">
      <c r="B65" s="135"/>
      <c r="C65" s="131" t="s">
        <v>102</v>
      </c>
      <c r="D65" s="131" t="s">
        <v>103</v>
      </c>
      <c r="E65" s="131" t="s">
        <v>102</v>
      </c>
      <c r="F65" s="131" t="s">
        <v>103</v>
      </c>
      <c r="G65" s="131" t="s">
        <v>102</v>
      </c>
      <c r="H65" s="43"/>
      <c r="I65" s="43"/>
      <c r="J65" s="40"/>
      <c r="K65" s="40"/>
      <c r="L65" s="41"/>
      <c r="M65" s="10"/>
    </row>
    <row r="66" spans="2:13" outlineLevel="1" x14ac:dyDescent="0.2">
      <c r="B66" s="133" t="s">
        <v>105</v>
      </c>
      <c r="C66" s="132">
        <f>20</f>
        <v>20</v>
      </c>
      <c r="D66" s="134">
        <f>91503464.49</f>
        <v>91503464.489999995</v>
      </c>
      <c r="E66" s="132">
        <f>293</f>
        <v>293</v>
      </c>
      <c r="F66" s="134">
        <f>+-4063767543.89</f>
        <v>-4063767543.8899999</v>
      </c>
      <c r="G66" s="132">
        <f>1</f>
        <v>1</v>
      </c>
      <c r="H66" s="43"/>
      <c r="I66" s="43"/>
      <c r="J66" s="40"/>
      <c r="K66" s="40"/>
      <c r="L66" s="41"/>
      <c r="M66" s="10"/>
    </row>
    <row r="67" spans="2:13" outlineLevel="1" x14ac:dyDescent="0.2">
      <c r="B67" s="133" t="s">
        <v>106</v>
      </c>
      <c r="C67" s="132">
        <f>314</f>
        <v>314</v>
      </c>
      <c r="D67" s="134">
        <f>6394519256.04</f>
        <v>6394519256.04</v>
      </c>
      <c r="E67" s="132">
        <f>0</f>
        <v>0</v>
      </c>
      <c r="F67" s="134">
        <f>0</f>
        <v>0</v>
      </c>
      <c r="G67" s="132">
        <f>0</f>
        <v>0</v>
      </c>
      <c r="H67" s="43"/>
      <c r="I67" s="43"/>
      <c r="J67" s="40"/>
      <c r="K67" s="40"/>
      <c r="L67" s="41"/>
      <c r="M67" s="10"/>
    </row>
    <row r="68" spans="2:13" outlineLevel="1" x14ac:dyDescent="0.2">
      <c r="B68" s="25"/>
      <c r="C68" s="25"/>
      <c r="D68" s="25"/>
      <c r="E68" s="25"/>
      <c r="F68" s="25"/>
      <c r="G68" s="25"/>
      <c r="H68" s="43"/>
      <c r="I68" s="43"/>
      <c r="J68" s="40"/>
      <c r="K68" s="40"/>
      <c r="L68" s="41"/>
      <c r="M68" s="10"/>
    </row>
    <row r="69" spans="2:13" ht="12.75" customHeight="1" outlineLevel="1" x14ac:dyDescent="0.2">
      <c r="B69" s="135" t="s">
        <v>107</v>
      </c>
      <c r="C69" s="136" t="s">
        <v>100</v>
      </c>
      <c r="D69" s="136"/>
      <c r="E69" s="136" t="s">
        <v>101</v>
      </c>
      <c r="F69" s="136"/>
      <c r="G69" s="130" t="s">
        <v>109</v>
      </c>
      <c r="H69" s="43"/>
      <c r="I69" s="43"/>
      <c r="J69" s="40"/>
      <c r="K69" s="40"/>
      <c r="L69" s="41"/>
      <c r="M69" s="10"/>
    </row>
    <row r="70" spans="2:13" outlineLevel="1" x14ac:dyDescent="0.2">
      <c r="B70" s="135"/>
      <c r="C70" s="131" t="s">
        <v>102</v>
      </c>
      <c r="D70" s="131" t="s">
        <v>103</v>
      </c>
      <c r="E70" s="131" t="s">
        <v>102</v>
      </c>
      <c r="F70" s="131" t="s">
        <v>103</v>
      </c>
      <c r="G70" s="131" t="s">
        <v>102</v>
      </c>
      <c r="H70" s="43"/>
      <c r="I70" s="43"/>
      <c r="J70" s="40"/>
      <c r="K70" s="40"/>
      <c r="L70" s="41"/>
      <c r="M70" s="10"/>
    </row>
    <row r="71" spans="2:13" outlineLevel="1" x14ac:dyDescent="0.2">
      <c r="B71" s="133" t="s">
        <v>105</v>
      </c>
      <c r="C71" s="132">
        <f>242</f>
        <v>242</v>
      </c>
      <c r="D71" s="134">
        <f>2552350997.12</f>
        <v>2552350997.1199999</v>
      </c>
      <c r="E71" s="132">
        <f>72</f>
        <v>72</v>
      </c>
      <c r="F71" s="134">
        <f>+-264398796.88</f>
        <v>-264398796.88</v>
      </c>
      <c r="G71" s="132">
        <f>0</f>
        <v>0</v>
      </c>
      <c r="H71" s="43"/>
      <c r="I71" s="43"/>
      <c r="J71" s="40"/>
      <c r="K71" s="40"/>
      <c r="L71" s="41"/>
      <c r="M71" s="10"/>
    </row>
    <row r="72" spans="2:13" outlineLevel="1" x14ac:dyDescent="0.2">
      <c r="B72" s="133" t="s">
        <v>106</v>
      </c>
      <c r="C72" s="132">
        <f>314</f>
        <v>314</v>
      </c>
      <c r="D72" s="134">
        <f>6501993277.02</f>
        <v>6501993277.0200005</v>
      </c>
      <c r="E72" s="132">
        <f>0</f>
        <v>0</v>
      </c>
      <c r="F72" s="134">
        <f>0</f>
        <v>0</v>
      </c>
      <c r="G72" s="132">
        <f>0</f>
        <v>0</v>
      </c>
      <c r="H72" s="43"/>
      <c r="I72" s="43"/>
      <c r="J72" s="40"/>
      <c r="K72" s="40"/>
      <c r="L72" s="41"/>
      <c r="M72" s="10"/>
    </row>
    <row r="73" spans="2:13" ht="12" customHeight="1" outlineLevel="1" x14ac:dyDescent="0.2">
      <c r="B73" s="37"/>
      <c r="C73" s="42"/>
      <c r="D73" s="42"/>
      <c r="E73" s="42"/>
      <c r="F73" s="43"/>
      <c r="G73" s="43"/>
      <c r="H73" s="43"/>
      <c r="I73" s="43"/>
      <c r="J73" s="40"/>
      <c r="K73" s="40"/>
      <c r="L73" s="41"/>
      <c r="M73" s="10"/>
    </row>
    <row r="74" spans="2:13" ht="12" customHeight="1" x14ac:dyDescent="0.2">
      <c r="B74" s="37"/>
      <c r="C74" s="42"/>
      <c r="D74" s="42"/>
      <c r="E74" s="42"/>
      <c r="F74" s="43"/>
      <c r="G74" s="43"/>
      <c r="H74" s="43"/>
      <c r="I74" s="43"/>
      <c r="J74" s="40"/>
      <c r="K74" s="40"/>
      <c r="L74" s="41"/>
      <c r="M74" s="10"/>
    </row>
    <row r="75" spans="2:13" ht="12" customHeight="1" x14ac:dyDescent="0.2">
      <c r="B75" s="125" t="s">
        <v>87</v>
      </c>
      <c r="C75" s="42"/>
      <c r="D75" s="42"/>
      <c r="E75" s="42"/>
      <c r="F75" s="43"/>
      <c r="G75" s="43"/>
      <c r="H75" s="43"/>
      <c r="I75" s="43"/>
      <c r="J75" s="40"/>
      <c r="K75" s="40"/>
      <c r="L75" s="41"/>
      <c r="M75" s="10"/>
    </row>
    <row r="76" spans="2:13" ht="26.85" customHeight="1" x14ac:dyDescent="0.2">
      <c r="B76" s="123" t="s">
        <v>84</v>
      </c>
      <c r="C76" s="121">
        <f>4238654104.35999</f>
        <v>4238654104.3599901</v>
      </c>
      <c r="D76" s="62">
        <f>374151048.33</f>
        <v>374151048.32999998</v>
      </c>
      <c r="E76" s="62">
        <f>1531436322.66</f>
        <v>1531436322.6600001</v>
      </c>
      <c r="F76" s="62">
        <f>42115500.17</f>
        <v>42115500.170000002</v>
      </c>
      <c r="G76" s="62">
        <f>0</f>
        <v>0</v>
      </c>
      <c r="H76" s="62">
        <f>0</f>
        <v>0</v>
      </c>
      <c r="I76" s="62">
        <f>0</f>
        <v>0</v>
      </c>
      <c r="J76" s="50">
        <f>IF($D$76=0,"",100*$D76/$D$76)</f>
        <v>100</v>
      </c>
      <c r="K76" s="63">
        <f>IF(C76=0,"",100*D76/C76)</f>
        <v>8.8271191542885852</v>
      </c>
      <c r="L76" s="10"/>
    </row>
    <row r="77" spans="2:13" ht="12.95" customHeight="1" x14ac:dyDescent="0.2">
      <c r="B77" s="124" t="s">
        <v>50</v>
      </c>
      <c r="C77" s="122">
        <f>2945090552.35</f>
        <v>2945090552.3499999</v>
      </c>
      <c r="D77" s="61">
        <f>174050989.33</f>
        <v>174050989.33000001</v>
      </c>
      <c r="E77" s="61">
        <f>1085288080.56</f>
        <v>1085288080.5599999</v>
      </c>
      <c r="F77" s="61">
        <f>27636130.32</f>
        <v>27636130.32</v>
      </c>
      <c r="G77" s="61">
        <f>0</f>
        <v>0</v>
      </c>
      <c r="H77" s="61">
        <f>0</f>
        <v>0</v>
      </c>
      <c r="I77" s="61">
        <f>0</f>
        <v>0</v>
      </c>
      <c r="J77" s="50">
        <f>IF($D$76=0,"",100*$D77/$D$76)</f>
        <v>46.518909971484995</v>
      </c>
      <c r="K77" s="63">
        <f>IF(C77=0,"",100*D77/C77)</f>
        <v>5.9098688558529409</v>
      </c>
    </row>
    <row r="78" spans="2:13" ht="12.95" customHeight="1" x14ac:dyDescent="0.2">
      <c r="B78" s="124" t="s">
        <v>51</v>
      </c>
      <c r="C78" s="122">
        <f>C76-C77</f>
        <v>1293563552.0099902</v>
      </c>
      <c r="D78" s="61">
        <f t="shared" ref="D78:I78" si="6">D76-D77</f>
        <v>200100058.99999997</v>
      </c>
      <c r="E78" s="61">
        <f t="shared" si="6"/>
        <v>446148242.10000014</v>
      </c>
      <c r="F78" s="61">
        <f t="shared" si="6"/>
        <v>14479369.850000001</v>
      </c>
      <c r="G78" s="61">
        <f t="shared" si="6"/>
        <v>0</v>
      </c>
      <c r="H78" s="61">
        <f t="shared" si="6"/>
        <v>0</v>
      </c>
      <c r="I78" s="61">
        <f t="shared" si="6"/>
        <v>0</v>
      </c>
      <c r="J78" s="50">
        <f>IF($D$76=0,"",100*$D78/$D$76)</f>
        <v>53.481090028514998</v>
      </c>
      <c r="K78" s="63">
        <f>IF(C78=0,"",100*D78/C78)</f>
        <v>15.468900518190743</v>
      </c>
    </row>
    <row r="79" spans="2:13" ht="20.100000000000001" customHeight="1" x14ac:dyDescent="0.2">
      <c r="B79" s="116" t="str">
        <f>CONCATENATE("Informacja z wykonania budżetów powiatów za ",$D$114," ",$C$115," rok     ",$C$117,"")</f>
        <v xml:space="preserve">Informacja z wykonania budżetów powiatów za I Kwartał 2026 rok     </v>
      </c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 x14ac:dyDescent="0.2">
      <c r="B80" s="28" t="s">
        <v>16</v>
      </c>
      <c r="C80" s="95" t="s">
        <v>17</v>
      </c>
      <c r="D80" s="71" t="s">
        <v>1</v>
      </c>
      <c r="E80" s="153" t="s">
        <v>77</v>
      </c>
      <c r="F80" s="154"/>
      <c r="G80" s="154"/>
      <c r="H80" s="154"/>
      <c r="I80" s="155"/>
      <c r="J80" s="18" t="s">
        <v>21</v>
      </c>
      <c r="K80" s="18" t="s">
        <v>22</v>
      </c>
    </row>
    <row r="81" spans="2:11" x14ac:dyDescent="0.2">
      <c r="B81" s="28"/>
      <c r="C81" s="164" t="s">
        <v>52</v>
      </c>
      <c r="D81" s="165"/>
      <c r="E81" s="156"/>
      <c r="F81" s="157"/>
      <c r="G81" s="157"/>
      <c r="H81" s="157"/>
      <c r="I81" s="158"/>
      <c r="J81" s="166" t="s">
        <v>4</v>
      </c>
      <c r="K81" s="167"/>
    </row>
    <row r="82" spans="2:11" x14ac:dyDescent="0.2">
      <c r="B82" s="26">
        <v>1</v>
      </c>
      <c r="C82" s="29">
        <v>2</v>
      </c>
      <c r="D82" s="27">
        <v>3</v>
      </c>
      <c r="E82" s="159"/>
      <c r="F82" s="160"/>
      <c r="G82" s="160"/>
      <c r="H82" s="160"/>
      <c r="I82" s="161"/>
      <c r="J82" s="27">
        <v>4</v>
      </c>
      <c r="K82" s="27">
        <v>5</v>
      </c>
    </row>
    <row r="83" spans="2:11" ht="26.85" customHeight="1" x14ac:dyDescent="0.2">
      <c r="B83" s="104" t="s">
        <v>39</v>
      </c>
      <c r="C83" s="44">
        <f>5017365040.53</f>
        <v>5017365040.5299997</v>
      </c>
      <c r="D83" s="72">
        <f>7390199775.8</f>
        <v>7390199775.8000002</v>
      </c>
      <c r="E83" s="102" t="s">
        <v>77</v>
      </c>
      <c r="F83" s="102" t="s">
        <v>77</v>
      </c>
      <c r="G83" s="102" t="s">
        <v>77</v>
      </c>
      <c r="H83" s="102" t="s">
        <v>77</v>
      </c>
      <c r="I83" s="102" t="s">
        <v>77</v>
      </c>
      <c r="J83" s="45">
        <f>IF($D$83=0,"",100*$D83/$D$83)</f>
        <v>100</v>
      </c>
      <c r="K83" s="39">
        <f t="shared" ref="K83:K97" si="7">IF(C83=0,"",100*D83/C83)</f>
        <v>147.29244765135428</v>
      </c>
    </row>
    <row r="84" spans="2:11" ht="25.5" customHeight="1" x14ac:dyDescent="0.2">
      <c r="B84" s="118" t="s">
        <v>62</v>
      </c>
      <c r="C84" s="46">
        <f>1451585219.68</f>
        <v>1451585219.6800001</v>
      </c>
      <c r="D84" s="98">
        <f>9916137.1</f>
        <v>9916137.0999999996</v>
      </c>
      <c r="E84" s="102" t="s">
        <v>77</v>
      </c>
      <c r="F84" s="102" t="s">
        <v>77</v>
      </c>
      <c r="G84" s="102" t="s">
        <v>77</v>
      </c>
      <c r="H84" s="102" t="s">
        <v>77</v>
      </c>
      <c r="I84" s="102" t="s">
        <v>77</v>
      </c>
      <c r="J84" s="47">
        <f t="shared" ref="J84:J93" si="8">IF($D$83=0,"",100*$D84/$D$83)</f>
        <v>0.13417955401518986</v>
      </c>
      <c r="K84" s="48">
        <f t="shared" si="7"/>
        <v>0.683124694682824</v>
      </c>
    </row>
    <row r="85" spans="2:11" ht="22.5" x14ac:dyDescent="0.2">
      <c r="B85" s="119" t="s">
        <v>63</v>
      </c>
      <c r="C85" s="66">
        <f>49300000</f>
        <v>49300000</v>
      </c>
      <c r="D85" s="56">
        <f>0</f>
        <v>0</v>
      </c>
      <c r="E85" s="102" t="s">
        <v>77</v>
      </c>
      <c r="F85" s="102" t="s">
        <v>77</v>
      </c>
      <c r="G85" s="102" t="s">
        <v>77</v>
      </c>
      <c r="H85" s="102" t="s">
        <v>77</v>
      </c>
      <c r="I85" s="102" t="s">
        <v>77</v>
      </c>
      <c r="J85" s="67">
        <f t="shared" si="8"/>
        <v>0</v>
      </c>
      <c r="K85" s="68">
        <f t="shared" si="7"/>
        <v>0</v>
      </c>
    </row>
    <row r="86" spans="2:11" ht="12.95" customHeight="1" x14ac:dyDescent="0.2">
      <c r="B86" s="117" t="s">
        <v>64</v>
      </c>
      <c r="C86" s="66">
        <f>93557503.99</f>
        <v>93557503.989999995</v>
      </c>
      <c r="D86" s="56">
        <f>2777592</f>
        <v>2777592</v>
      </c>
      <c r="E86" s="102" t="s">
        <v>77</v>
      </c>
      <c r="F86" s="102" t="s">
        <v>77</v>
      </c>
      <c r="G86" s="102" t="s">
        <v>77</v>
      </c>
      <c r="H86" s="102" t="s">
        <v>77</v>
      </c>
      <c r="I86" s="102" t="s">
        <v>77</v>
      </c>
      <c r="J86" s="67">
        <f t="shared" si="8"/>
        <v>3.7584802634098233E-2</v>
      </c>
      <c r="K86" s="68">
        <f t="shared" si="7"/>
        <v>2.968860734353159</v>
      </c>
    </row>
    <row r="87" spans="2:11" ht="48.75" customHeight="1" x14ac:dyDescent="0.2">
      <c r="B87" s="117" t="s">
        <v>70</v>
      </c>
      <c r="C87" s="66">
        <f>975178962.56</f>
        <v>975178962.55999994</v>
      </c>
      <c r="D87" s="56">
        <f>3161056115.24</f>
        <v>3161056115.2399998</v>
      </c>
      <c r="E87" s="102" t="s">
        <v>77</v>
      </c>
      <c r="F87" s="102" t="s">
        <v>77</v>
      </c>
      <c r="G87" s="102" t="s">
        <v>77</v>
      </c>
      <c r="H87" s="102" t="s">
        <v>77</v>
      </c>
      <c r="I87" s="102" t="s">
        <v>77</v>
      </c>
      <c r="J87" s="67">
        <f t="shared" si="8"/>
        <v>42.773621974215317</v>
      </c>
      <c r="K87" s="68">
        <f t="shared" si="7"/>
        <v>324.15138519208051</v>
      </c>
    </row>
    <row r="88" spans="2:11" ht="35.25" customHeight="1" x14ac:dyDescent="0.2">
      <c r="B88" s="117" t="s">
        <v>71</v>
      </c>
      <c r="C88" s="66">
        <f>725722245.41</f>
        <v>725722245.40999997</v>
      </c>
      <c r="D88" s="56">
        <f>861696701.46</f>
        <v>861696701.46000004</v>
      </c>
      <c r="E88" s="102" t="s">
        <v>77</v>
      </c>
      <c r="F88" s="102" t="s">
        <v>77</v>
      </c>
      <c r="G88" s="102" t="s">
        <v>77</v>
      </c>
      <c r="H88" s="102" t="s">
        <v>77</v>
      </c>
      <c r="I88" s="102" t="s">
        <v>77</v>
      </c>
      <c r="J88" s="67">
        <f t="shared" si="8"/>
        <v>11.659991984001813</v>
      </c>
      <c r="K88" s="68">
        <f t="shared" si="7"/>
        <v>118.73643214191135</v>
      </c>
    </row>
    <row r="89" spans="2:11" ht="12.95" customHeight="1" x14ac:dyDescent="0.2">
      <c r="B89" s="117" t="s">
        <v>65</v>
      </c>
      <c r="C89" s="66">
        <f>0</f>
        <v>0</v>
      </c>
      <c r="D89" s="56">
        <f>0</f>
        <v>0</v>
      </c>
      <c r="E89" s="102" t="s">
        <v>77</v>
      </c>
      <c r="F89" s="102" t="s">
        <v>77</v>
      </c>
      <c r="G89" s="102" t="s">
        <v>77</v>
      </c>
      <c r="H89" s="102" t="s">
        <v>77</v>
      </c>
      <c r="I89" s="102" t="s">
        <v>77</v>
      </c>
      <c r="J89" s="67">
        <f t="shared" si="8"/>
        <v>0</v>
      </c>
      <c r="K89" s="68" t="str">
        <f t="shared" si="7"/>
        <v/>
      </c>
    </row>
    <row r="90" spans="2:11" ht="33.75" x14ac:dyDescent="0.2">
      <c r="B90" s="117" t="s">
        <v>66</v>
      </c>
      <c r="C90" s="66">
        <f>1628928634.22</f>
        <v>1628928634.22</v>
      </c>
      <c r="D90" s="56">
        <f>3189240354.25</f>
        <v>3189240354.25</v>
      </c>
      <c r="E90" s="102" t="s">
        <v>77</v>
      </c>
      <c r="F90" s="102" t="s">
        <v>77</v>
      </c>
      <c r="G90" s="102" t="s">
        <v>77</v>
      </c>
      <c r="H90" s="102" t="s">
        <v>77</v>
      </c>
      <c r="I90" s="102" t="s">
        <v>77</v>
      </c>
      <c r="J90" s="67">
        <f t="shared" si="8"/>
        <v>43.154995142262713</v>
      </c>
      <c r="K90" s="68">
        <f t="shared" si="7"/>
        <v>195.78760464095734</v>
      </c>
    </row>
    <row r="91" spans="2:11" ht="56.25" x14ac:dyDescent="0.2">
      <c r="B91" s="117" t="s">
        <v>92</v>
      </c>
      <c r="C91" s="66">
        <f>0</f>
        <v>0</v>
      </c>
      <c r="D91" s="56">
        <f>301578.92</f>
        <v>301578.92</v>
      </c>
      <c r="E91" s="102" t="s">
        <v>77</v>
      </c>
      <c r="F91" s="102" t="s">
        <v>77</v>
      </c>
      <c r="G91" s="102" t="s">
        <v>77</v>
      </c>
      <c r="H91" s="102" t="s">
        <v>77</v>
      </c>
      <c r="I91" s="102" t="s">
        <v>77</v>
      </c>
      <c r="J91" s="67">
        <f t="shared" si="8"/>
        <v>4.0807952308346577E-3</v>
      </c>
      <c r="K91" s="68" t="str">
        <f>IF(C91=0,"",100*D91/C91)</f>
        <v/>
      </c>
    </row>
    <row r="92" spans="2:11" x14ac:dyDescent="0.2">
      <c r="B92" s="117" t="s">
        <v>88</v>
      </c>
      <c r="C92" s="66">
        <f>142392474.67</f>
        <v>142392474.66999999</v>
      </c>
      <c r="D92" s="56">
        <f>165211296.83</f>
        <v>165211296.83000001</v>
      </c>
      <c r="E92" s="102" t="s">
        <v>77</v>
      </c>
      <c r="F92" s="102" t="s">
        <v>77</v>
      </c>
      <c r="G92" s="102" t="s">
        <v>77</v>
      </c>
      <c r="H92" s="102" t="s">
        <v>77</v>
      </c>
      <c r="I92" s="102" t="s">
        <v>77</v>
      </c>
      <c r="J92" s="67">
        <f t="shared" si="8"/>
        <v>2.2355457476400313</v>
      </c>
      <c r="K92" s="68">
        <f>IF(C92=0,"",100*D92/C92)</f>
        <v>116.02530064379</v>
      </c>
    </row>
    <row r="93" spans="2:11" ht="23.25" customHeight="1" x14ac:dyDescent="0.2">
      <c r="B93" s="119" t="s">
        <v>89</v>
      </c>
      <c r="C93" s="66">
        <f>142392474.67</f>
        <v>142392474.66999999</v>
      </c>
      <c r="D93" s="56">
        <f>165211296.83</f>
        <v>165211296.83000001</v>
      </c>
      <c r="E93" s="102" t="s">
        <v>77</v>
      </c>
      <c r="F93" s="102" t="s">
        <v>77</v>
      </c>
      <c r="G93" s="102" t="s">
        <v>77</v>
      </c>
      <c r="H93" s="102" t="s">
        <v>77</v>
      </c>
      <c r="I93" s="102" t="s">
        <v>77</v>
      </c>
      <c r="J93" s="67">
        <f t="shared" si="8"/>
        <v>2.2355457476400313</v>
      </c>
      <c r="K93" s="68">
        <f>IF(C93=0,"",100*D93/C93)</f>
        <v>116.02530064379</v>
      </c>
    </row>
    <row r="94" spans="2:11" ht="26.85" customHeight="1" x14ac:dyDescent="0.2">
      <c r="B94" s="104" t="s">
        <v>40</v>
      </c>
      <c r="C94" s="51">
        <f>1044495816.59</f>
        <v>1044495816.59</v>
      </c>
      <c r="D94" s="72">
        <f>849486803.19</f>
        <v>849486803.19000006</v>
      </c>
      <c r="E94" s="102" t="s">
        <v>77</v>
      </c>
      <c r="F94" s="102" t="s">
        <v>77</v>
      </c>
      <c r="G94" s="102" t="s">
        <v>77</v>
      </c>
      <c r="H94" s="102" t="s">
        <v>77</v>
      </c>
      <c r="I94" s="102" t="s">
        <v>77</v>
      </c>
      <c r="J94" s="45">
        <f t="shared" ref="J94:J99" si="9">IF($D$94=0,"",100*$D94/$D$94)</f>
        <v>100</v>
      </c>
      <c r="K94" s="39">
        <f t="shared" si="7"/>
        <v>81.329842561107384</v>
      </c>
    </row>
    <row r="95" spans="2:11" ht="33.75" x14ac:dyDescent="0.2">
      <c r="B95" s="118" t="s">
        <v>93</v>
      </c>
      <c r="C95" s="46">
        <f>876373153.97</f>
        <v>876373153.97000003</v>
      </c>
      <c r="D95" s="99">
        <f>268910654.13</f>
        <v>268910654.13</v>
      </c>
      <c r="E95" s="102" t="s">
        <v>77</v>
      </c>
      <c r="F95" s="102" t="s">
        <v>77</v>
      </c>
      <c r="G95" s="102" t="s">
        <v>77</v>
      </c>
      <c r="H95" s="102" t="s">
        <v>77</v>
      </c>
      <c r="I95" s="102" t="s">
        <v>77</v>
      </c>
      <c r="J95" s="47">
        <f t="shared" si="9"/>
        <v>31.655659996151137</v>
      </c>
      <c r="K95" s="48">
        <f t="shared" si="7"/>
        <v>30.684492434738061</v>
      </c>
    </row>
    <row r="96" spans="2:11" ht="12.95" customHeight="1" x14ac:dyDescent="0.2">
      <c r="B96" s="119" t="s">
        <v>67</v>
      </c>
      <c r="C96" s="66">
        <f>34716000</f>
        <v>34716000</v>
      </c>
      <c r="D96" s="56">
        <f>9155000</f>
        <v>9155000</v>
      </c>
      <c r="E96" s="102" t="s">
        <v>77</v>
      </c>
      <c r="F96" s="102" t="s">
        <v>77</v>
      </c>
      <c r="G96" s="102" t="s">
        <v>77</v>
      </c>
      <c r="H96" s="102" t="s">
        <v>77</v>
      </c>
      <c r="I96" s="102" t="s">
        <v>77</v>
      </c>
      <c r="J96" s="67">
        <f t="shared" si="9"/>
        <v>1.077709502445602</v>
      </c>
      <c r="K96" s="68">
        <f t="shared" si="7"/>
        <v>26.371125705726467</v>
      </c>
    </row>
    <row r="97" spans="2:11" ht="12.95" customHeight="1" x14ac:dyDescent="0.2">
      <c r="B97" s="117" t="s">
        <v>75</v>
      </c>
      <c r="C97" s="66">
        <f>89965483.13</f>
        <v>89965483.129999995</v>
      </c>
      <c r="D97" s="56">
        <f>62119685.06</f>
        <v>62119685.060000002</v>
      </c>
      <c r="E97" s="102" t="s">
        <v>77</v>
      </c>
      <c r="F97" s="102" t="s">
        <v>77</v>
      </c>
      <c r="G97" s="102" t="s">
        <v>77</v>
      </c>
      <c r="H97" s="102" t="s">
        <v>77</v>
      </c>
      <c r="I97" s="102" t="s">
        <v>77</v>
      </c>
      <c r="J97" s="67">
        <f t="shared" si="9"/>
        <v>7.3126133127351283</v>
      </c>
      <c r="K97" s="68">
        <f t="shared" si="7"/>
        <v>69.048353767229969</v>
      </c>
    </row>
    <row r="98" spans="2:11" ht="12.95" customHeight="1" x14ac:dyDescent="0.2">
      <c r="B98" s="117" t="s">
        <v>90</v>
      </c>
      <c r="C98" s="66">
        <f>78157179.49</f>
        <v>78157179.489999995</v>
      </c>
      <c r="D98" s="56">
        <f>518456464</f>
        <v>518456464</v>
      </c>
      <c r="E98" s="102" t="s">
        <v>77</v>
      </c>
      <c r="F98" s="102" t="s">
        <v>77</v>
      </c>
      <c r="G98" s="102" t="s">
        <v>77</v>
      </c>
      <c r="H98" s="102" t="s">
        <v>77</v>
      </c>
      <c r="I98" s="102" t="s">
        <v>77</v>
      </c>
      <c r="J98" s="67">
        <f t="shared" si="9"/>
        <v>61.031726691113725</v>
      </c>
      <c r="K98" s="68">
        <f>IF(C98=0,"",100*D98/C98)</f>
        <v>663.35104130303876</v>
      </c>
    </row>
    <row r="99" spans="2:11" ht="22.5" x14ac:dyDescent="0.2">
      <c r="B99" s="119" t="s">
        <v>91</v>
      </c>
      <c r="C99" s="66">
        <f>24046073.54</f>
        <v>24046073.539999999</v>
      </c>
      <c r="D99" s="56">
        <f>10000000</f>
        <v>10000000</v>
      </c>
      <c r="E99" s="102" t="s">
        <v>77</v>
      </c>
      <c r="F99" s="102" t="s">
        <v>77</v>
      </c>
      <c r="G99" s="102" t="s">
        <v>77</v>
      </c>
      <c r="H99" s="102" t="s">
        <v>77</v>
      </c>
      <c r="I99" s="102" t="s">
        <v>77</v>
      </c>
      <c r="J99" s="67">
        <f t="shared" si="9"/>
        <v>1.1771813243534703</v>
      </c>
      <c r="K99" s="68">
        <f>IF(C99=0,"",100*D99/C99)</f>
        <v>41.586831144657644</v>
      </c>
    </row>
    <row r="100" spans="2:11" x14ac:dyDescent="0.2">
      <c r="B100" s="25"/>
    </row>
    <row r="101" spans="2:11" x14ac:dyDescent="0.2">
      <c r="B101" s="52" t="s">
        <v>16</v>
      </c>
      <c r="C101" s="79" t="s">
        <v>17</v>
      </c>
      <c r="D101" s="18" t="s">
        <v>1</v>
      </c>
    </row>
    <row r="102" spans="2:11" x14ac:dyDescent="0.2">
      <c r="B102" s="52"/>
      <c r="C102" s="147" t="s">
        <v>52</v>
      </c>
      <c r="D102" s="147"/>
    </row>
    <row r="103" spans="2:11" x14ac:dyDescent="0.2">
      <c r="B103" s="26">
        <v>1</v>
      </c>
      <c r="C103" s="27">
        <v>2</v>
      </c>
      <c r="D103" s="27">
        <v>3</v>
      </c>
    </row>
    <row r="104" spans="2:11" ht="36" customHeight="1" x14ac:dyDescent="0.2">
      <c r="B104" s="53" t="s">
        <v>94</v>
      </c>
      <c r="C104" s="49">
        <f>4064372688.43</f>
        <v>4064372688.4299998</v>
      </c>
      <c r="D104" s="96">
        <f>0</f>
        <v>0</v>
      </c>
    </row>
    <row r="105" spans="2:11" ht="35.25" customHeight="1" x14ac:dyDescent="0.2">
      <c r="B105" s="120" t="s">
        <v>54</v>
      </c>
      <c r="C105" s="66">
        <f>46800000</f>
        <v>46800000</v>
      </c>
      <c r="D105" s="56">
        <f>0</f>
        <v>0</v>
      </c>
    </row>
    <row r="106" spans="2:11" ht="12.95" customHeight="1" x14ac:dyDescent="0.2">
      <c r="B106" s="120" t="s">
        <v>55</v>
      </c>
      <c r="C106" s="66">
        <f>1093804776.94</f>
        <v>1093804776.9400001</v>
      </c>
      <c r="D106" s="56">
        <f>0</f>
        <v>0</v>
      </c>
    </row>
    <row r="107" spans="2:11" ht="24" customHeight="1" x14ac:dyDescent="0.2">
      <c r="B107" s="120" t="s">
        <v>56</v>
      </c>
      <c r="C107" s="66">
        <f>0</f>
        <v>0</v>
      </c>
      <c r="D107" s="56">
        <f>0</f>
        <v>0</v>
      </c>
    </row>
    <row r="108" spans="2:11" ht="57.75" customHeight="1" x14ac:dyDescent="0.2">
      <c r="B108" s="120" t="s">
        <v>72</v>
      </c>
      <c r="C108" s="66">
        <f>907912123.29</f>
        <v>907912123.28999996</v>
      </c>
      <c r="D108" s="56">
        <f>0</f>
        <v>0</v>
      </c>
    </row>
    <row r="109" spans="2:11" ht="81" customHeight="1" x14ac:dyDescent="0.2">
      <c r="B109" s="120" t="s">
        <v>57</v>
      </c>
      <c r="C109" s="66">
        <f>1183900892.32</f>
        <v>1183900892.3199999</v>
      </c>
      <c r="D109" s="56">
        <f>0</f>
        <v>0</v>
      </c>
    </row>
    <row r="110" spans="2:11" ht="149.25" customHeight="1" x14ac:dyDescent="0.2">
      <c r="B110" s="120" t="s">
        <v>73</v>
      </c>
      <c r="C110" s="66">
        <f>681098371.64</f>
        <v>681098371.63999999</v>
      </c>
      <c r="D110" s="56">
        <f>0</f>
        <v>0</v>
      </c>
    </row>
    <row r="111" spans="2:11" ht="25.5" customHeight="1" x14ac:dyDescent="0.2">
      <c r="B111" s="120" t="s">
        <v>74</v>
      </c>
      <c r="C111" s="66">
        <f>29201925.57</f>
        <v>29201925.57</v>
      </c>
      <c r="D111" s="56">
        <f>0</f>
        <v>0</v>
      </c>
    </row>
    <row r="112" spans="2:11" ht="25.5" customHeight="1" x14ac:dyDescent="0.2">
      <c r="B112" s="128" t="s">
        <v>89</v>
      </c>
      <c r="C112" s="66">
        <f>121654598.67</f>
        <v>121654598.67</v>
      </c>
      <c r="D112" s="56">
        <f>0</f>
        <v>0</v>
      </c>
    </row>
    <row r="114" spans="2:4" ht="10.5" customHeight="1" x14ac:dyDescent="0.2">
      <c r="B114" s="24" t="s">
        <v>41</v>
      </c>
      <c r="C114" s="24">
        <f>1</f>
        <v>1</v>
      </c>
      <c r="D114" s="24" t="str">
        <f>IF(C114=1,"I Kwartał",IF(C114=2,"II Kwartały",IF(C114=3,"III Kwartały",IF(C114=4,"IV Kwartały",IF(C114="M1","Styczeń",IF(C114="M11","Listopad",IF(C114="M12","Grudzień","-")))))))</f>
        <v>I Kwartał</v>
      </c>
    </row>
    <row r="115" spans="2:4" ht="10.5" customHeight="1" x14ac:dyDescent="0.2">
      <c r="B115" s="24" t="s">
        <v>42</v>
      </c>
      <c r="C115" s="100">
        <f>2026</f>
        <v>2026</v>
      </c>
      <c r="D115" s="25"/>
    </row>
    <row r="116" spans="2:4" ht="12" customHeight="1" x14ac:dyDescent="0.2">
      <c r="B116" s="24" t="s">
        <v>43</v>
      </c>
      <c r="C116" s="151" t="str">
        <f>"May 18 2026 12:00AM"</f>
        <v>May 18 2026 12:00AM</v>
      </c>
      <c r="D116" s="152"/>
    </row>
    <row r="117" spans="2:4" ht="9.75" hidden="1" customHeight="1" x14ac:dyDescent="0.2">
      <c r="B117" s="24" t="s">
        <v>47</v>
      </c>
      <c r="C117" s="101" t="str">
        <f>""</f>
        <v/>
      </c>
      <c r="D117" s="25"/>
    </row>
  </sheetData>
  <mergeCells count="28">
    <mergeCell ref="J81:K81"/>
    <mergeCell ref="D45:D47"/>
    <mergeCell ref="E45:E47"/>
    <mergeCell ref="F46:F47"/>
    <mergeCell ref="I60:J60"/>
    <mergeCell ref="K45:K47"/>
    <mergeCell ref="J45:J47"/>
    <mergeCell ref="J48:K48"/>
    <mergeCell ref="C116:D116"/>
    <mergeCell ref="E80:I82"/>
    <mergeCell ref="F45:H45"/>
    <mergeCell ref="G46:H46"/>
    <mergeCell ref="C81:D81"/>
    <mergeCell ref="C102:D102"/>
    <mergeCell ref="B69:B70"/>
    <mergeCell ref="C69:D69"/>
    <mergeCell ref="E69:F69"/>
    <mergeCell ref="J3:L3"/>
    <mergeCell ref="E3:I4"/>
    <mergeCell ref="B64:B65"/>
    <mergeCell ref="C64:D64"/>
    <mergeCell ref="E64:F64"/>
    <mergeCell ref="B2:B3"/>
    <mergeCell ref="C45:C47"/>
    <mergeCell ref="B45:B48"/>
    <mergeCell ref="I45:I47"/>
    <mergeCell ref="C48:I48"/>
    <mergeCell ref="C3:D3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2" max="16383" man="1"/>
    <brk id="78" max="16383" man="1"/>
    <brk id="10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2025-02-07T10:19:37Z</cp:lastPrinted>
  <dcterms:created xsi:type="dcterms:W3CDTF">2001-05-17T08:58:03Z</dcterms:created>
  <dcterms:modified xsi:type="dcterms:W3CDTF">2026-05-29T11:56:29Z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