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I KWARTAŁ\www\MF\Zestawienia zbiorcze\"/>
    </mc:Choice>
  </mc:AlternateContent>
  <bookViews>
    <workbookView xWindow="0" yWindow="0" windowWidth="19200" windowHeight="7300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85" i="7" s="1"/>
  <c r="A1" i="7" l="1"/>
  <c r="A29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<sst xmlns="http://schemas.openxmlformats.org/spreadsheetml/2006/main" count="97" uniqueCount="81">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</sst>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0"/>
    </sheetView>
  </sheetViews>
  <sheetFormatPr defaultColWidth="9.1796875" defaultRowHeight="13.5" customHeight="1" x14ac:dyDescent="0.25"/>
  <cols>
    <col min="1" max="1" width="22.54296875" style="2" customWidth="1"/>
    <col min="2" max="3" width="13.7265625" style="2" customWidth="1"/>
    <col min="4" max="6" width="11.453125" style="2" customWidth="1"/>
    <col min="7" max="7" width="12.1796875" style="2" customWidth="1"/>
    <col min="8" max="8" width="12" style="2" customWidth="1"/>
    <col min="9" max="9" width="11.7265625" style="2" customWidth="1"/>
    <col min="10" max="10" width="12.81640625" style="2" customWidth="1"/>
    <col min="11" max="11" width="12.1796875" style="2" customWidth="1"/>
    <col min="12" max="12" width="11.453125" style="2" customWidth="1"/>
    <col min="13" max="13" width="10" style="2" customWidth="1"/>
    <col min="14" max="14" width="10.26953125" style="2" customWidth="1"/>
    <col min="15" max="16" width="11.1796875" style="2" customWidth="1"/>
    <col min="17" max="16384" width="9.1796875" style="2"/>
  </cols>
  <sheetData>
    <row r="1" spans="1:17" ht="75" customHeight="1" x14ac:dyDescent="0.25">
      <c r="A1" s="30" t="str">
        <f>CONCATENATE("Informacja z wykonania budżetów województw za  ",$C$93," ",$B$94," roku    ",$B$96,"")</f>
        <v xml:space="preserve">Informacja z wykonania budżetów województw za  III Kwartały 2022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5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5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5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5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5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5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5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5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5">
      <c r="A13" s="19" t="s">
        <v>79</v>
      </c>
      <c r="B13" s="20">
        <f>5250943453.67</f>
        <v>5250943453.6700001</v>
      </c>
      <c r="C13" s="20">
        <f>3105309080.9</f>
        <v>3105309080.9000001</v>
      </c>
      <c r="D13" s="20">
        <f>185012859.9</f>
        <v>185012859.90000001</v>
      </c>
      <c r="E13" s="20">
        <f>182000000</f>
        <v>182000000</v>
      </c>
      <c r="F13" s="20">
        <f>0</f>
        <v>0</v>
      </c>
      <c r="G13" s="20">
        <f>3012859.9</f>
        <v>3012859.9</v>
      </c>
      <c r="H13" s="20">
        <f>0</f>
        <v>0</v>
      </c>
      <c r="I13" s="20">
        <f>0</f>
        <v>0</v>
      </c>
      <c r="J13" s="20">
        <f>2692956885.65</f>
        <v>2692956885.6500001</v>
      </c>
      <c r="K13" s="20">
        <f>0</f>
        <v>0</v>
      </c>
      <c r="L13" s="20">
        <f>227042446.65</f>
        <v>227042446.65000001</v>
      </c>
      <c r="M13" s="20">
        <f>294834.6</f>
        <v>294834.59999999998</v>
      </c>
      <c r="N13" s="20">
        <f>2054.1</f>
        <v>2054.1</v>
      </c>
      <c r="O13" s="20">
        <f>2145634372.77</f>
        <v>2145634372.77</v>
      </c>
      <c r="P13" s="20">
        <f>2145634372.77</f>
        <v>2145634372.77</v>
      </c>
      <c r="Q13" s="20">
        <f>0</f>
        <v>0</v>
      </c>
    </row>
    <row r="14" spans="1:17" ht="28.5" customHeight="1" x14ac:dyDescent="0.25">
      <c r="A14" s="19" t="s">
        <v>45</v>
      </c>
      <c r="B14" s="20">
        <f>232750000</f>
        <v>232750000</v>
      </c>
      <c r="C14" s="20">
        <f>232750000</f>
        <v>232750000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232750000</f>
        <v>232750000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5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5">
      <c r="A16" s="17" t="s">
        <v>47</v>
      </c>
      <c r="B16" s="21">
        <f>232750000</f>
        <v>232750000</v>
      </c>
      <c r="C16" s="21">
        <f>232750000</f>
        <v>232750000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232750000</f>
        <v>232750000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5">
      <c r="A17" s="19" t="s">
        <v>48</v>
      </c>
      <c r="B17" s="20">
        <f>5017085304.63</f>
        <v>5017085304.6300001</v>
      </c>
      <c r="C17" s="20">
        <f>2871450931.86</f>
        <v>2871450931.8600001</v>
      </c>
      <c r="D17" s="20">
        <f>184957160.21</f>
        <v>184957160.21000001</v>
      </c>
      <c r="E17" s="20">
        <f>182000000</f>
        <v>182000000</v>
      </c>
      <c r="F17" s="20">
        <f>0</f>
        <v>0</v>
      </c>
      <c r="G17" s="20">
        <f>2957160.21</f>
        <v>2957160.21</v>
      </c>
      <c r="H17" s="20">
        <f>0</f>
        <v>0</v>
      </c>
      <c r="I17" s="20">
        <f>0</f>
        <v>0</v>
      </c>
      <c r="J17" s="20">
        <f>2460195621.65</f>
        <v>2460195621.6500001</v>
      </c>
      <c r="K17" s="20">
        <f>0</f>
        <v>0</v>
      </c>
      <c r="L17" s="20">
        <f>226298150</f>
        <v>226298150</v>
      </c>
      <c r="M17" s="20">
        <f>0</f>
        <v>0</v>
      </c>
      <c r="N17" s="20">
        <f>0</f>
        <v>0</v>
      </c>
      <c r="O17" s="20">
        <f>2145634372.77</f>
        <v>2145634372.77</v>
      </c>
      <c r="P17" s="20">
        <f>2145634372.77</f>
        <v>2145634372.77</v>
      </c>
      <c r="Q17" s="20">
        <f>0</f>
        <v>0</v>
      </c>
    </row>
    <row r="18" spans="1:17" ht="22.5" customHeight="1" x14ac:dyDescent="0.25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5">
      <c r="A19" s="17" t="s">
        <v>50</v>
      </c>
      <c r="B19" s="21">
        <f>5017085304.63</f>
        <v>5017085304.6300001</v>
      </c>
      <c r="C19" s="21">
        <f>2871450931.86</f>
        <v>2871450931.8600001</v>
      </c>
      <c r="D19" s="21">
        <f>184957160.21</f>
        <v>184957160.21000001</v>
      </c>
      <c r="E19" s="21">
        <f>182000000</f>
        <v>182000000</v>
      </c>
      <c r="F19" s="21">
        <f>0</f>
        <v>0</v>
      </c>
      <c r="G19" s="21">
        <f>2957160.21</f>
        <v>2957160.21</v>
      </c>
      <c r="H19" s="21">
        <f>0</f>
        <v>0</v>
      </c>
      <c r="I19" s="21">
        <f>0</f>
        <v>0</v>
      </c>
      <c r="J19" s="21">
        <f>2460195621.65</f>
        <v>2460195621.6500001</v>
      </c>
      <c r="K19" s="21">
        <f>0</f>
        <v>0</v>
      </c>
      <c r="L19" s="21">
        <f>226298150</f>
        <v>226298150</v>
      </c>
      <c r="M19" s="21">
        <f>0</f>
        <v>0</v>
      </c>
      <c r="N19" s="21">
        <f>0</f>
        <v>0</v>
      </c>
      <c r="O19" s="21">
        <f>2145634372.77</f>
        <v>2145634372.77</v>
      </c>
      <c r="P19" s="21">
        <f>2145634372.77</f>
        <v>2145634372.77</v>
      </c>
      <c r="Q19" s="21">
        <f>0</f>
        <v>0</v>
      </c>
    </row>
    <row r="20" spans="1:17" ht="36" customHeight="1" x14ac:dyDescent="0.25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5">
      <c r="A21" s="19" t="s">
        <v>52</v>
      </c>
      <c r="B21" s="20">
        <f>1108149.04</f>
        <v>1108149.04</v>
      </c>
      <c r="C21" s="20">
        <f>1108149.04</f>
        <v>1108149.04</v>
      </c>
      <c r="D21" s="20">
        <f>55699.69</f>
        <v>55699.69</v>
      </c>
      <c r="E21" s="20">
        <f>0</f>
        <v>0</v>
      </c>
      <c r="F21" s="20">
        <f>0</f>
        <v>0</v>
      </c>
      <c r="G21" s="20">
        <f>55699.69</f>
        <v>55699.69</v>
      </c>
      <c r="H21" s="20">
        <f>0</f>
        <v>0</v>
      </c>
      <c r="I21" s="20">
        <f>0</f>
        <v>0</v>
      </c>
      <c r="J21" s="20">
        <f>11264</f>
        <v>11264</v>
      </c>
      <c r="K21" s="20">
        <f>0</f>
        <v>0</v>
      </c>
      <c r="L21" s="20">
        <f>744296.65</f>
        <v>744296.65</v>
      </c>
      <c r="M21" s="20">
        <f>294834.6</f>
        <v>294834.59999999998</v>
      </c>
      <c r="N21" s="20">
        <f>2054.1</f>
        <v>2054.1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5">
      <c r="A22" s="17" t="s">
        <v>53</v>
      </c>
      <c r="B22" s="21">
        <f>790502.86</f>
        <v>790502.86</v>
      </c>
      <c r="C22" s="21">
        <f>790502.86</f>
        <v>790502.86</v>
      </c>
      <c r="D22" s="21">
        <f>55699.69</f>
        <v>55699.69</v>
      </c>
      <c r="E22" s="21">
        <f>0</f>
        <v>0</v>
      </c>
      <c r="F22" s="21">
        <f>0</f>
        <v>0</v>
      </c>
      <c r="G22" s="21">
        <f>55699.69</f>
        <v>55699.69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710964.65</f>
        <v>710964.65</v>
      </c>
      <c r="M22" s="21">
        <f>21784.42</f>
        <v>21784.42</v>
      </c>
      <c r="N22" s="21">
        <f>2054.1</f>
        <v>2054.1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5">
      <c r="A23" s="17" t="s">
        <v>54</v>
      </c>
      <c r="B23" s="21">
        <f>317646.18</f>
        <v>317646.18</v>
      </c>
      <c r="C23" s="21">
        <f>317646.18</f>
        <v>317646.18</v>
      </c>
      <c r="D23" s="21">
        <f>0</f>
        <v>0</v>
      </c>
      <c r="E23" s="21">
        <f>0</f>
        <v>0</v>
      </c>
      <c r="F23" s="21">
        <f>0</f>
        <v>0</v>
      </c>
      <c r="G23" s="21">
        <f>0</f>
        <v>0</v>
      </c>
      <c r="H23" s="21">
        <f>0</f>
        <v>0</v>
      </c>
      <c r="I23" s="21">
        <f>0</f>
        <v>0</v>
      </c>
      <c r="J23" s="21">
        <f>11264</f>
        <v>11264</v>
      </c>
      <c r="K23" s="21">
        <f>0</f>
        <v>0</v>
      </c>
      <c r="L23" s="21">
        <f>33332</f>
        <v>33332</v>
      </c>
      <c r="M23" s="21">
        <f>273050.18</f>
        <v>273050.18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5">
      <c r="A29" s="30" t="str">
        <f>CONCATENATE("Informacja z wykonania budżetów województw za  ",$C$93," ",$B$94," roku    ",$B$96,"")</f>
        <v xml:space="preserve">Informacja z wykonania budżetów województw za  III Kwartały 2022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5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5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5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5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5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5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5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5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5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5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5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5">
      <c r="A43" s="24" t="s">
        <v>41</v>
      </c>
      <c r="B43" s="22">
        <f>465305159.2</f>
        <v>465305159.19999999</v>
      </c>
      <c r="C43" s="22">
        <f>465305159.2</f>
        <v>465305159.19999999</v>
      </c>
      <c r="D43" s="22">
        <f>418801836.51</f>
        <v>418801836.50999999</v>
      </c>
      <c r="E43" s="22">
        <f>42162.9</f>
        <v>42162.9</v>
      </c>
      <c r="F43" s="22">
        <f>11415.52</f>
        <v>11415.52</v>
      </c>
      <c r="G43" s="22">
        <f>418748258.09</f>
        <v>418748258.08999997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42934791.96</f>
        <v>42934791.960000001</v>
      </c>
      <c r="M43" s="22">
        <f>3378594.67</f>
        <v>3378594.67</v>
      </c>
      <c r="N43" s="22">
        <f>189936.06</f>
        <v>189936.06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5">
      <c r="A44" s="18" t="s">
        <v>31</v>
      </c>
      <c r="B44" s="23">
        <f>42278021.62</f>
        <v>42278021.619999997</v>
      </c>
      <c r="C44" s="23">
        <f>42278021.62</f>
        <v>42278021.619999997</v>
      </c>
      <c r="D44" s="23">
        <f>42195000</f>
        <v>42195000</v>
      </c>
      <c r="E44" s="23">
        <f>0</f>
        <v>0</v>
      </c>
      <c r="F44" s="23">
        <f>0</f>
        <v>0</v>
      </c>
      <c r="G44" s="23">
        <f>42195000</f>
        <v>42195000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5">
      <c r="A45" s="18" t="s">
        <v>32</v>
      </c>
      <c r="B45" s="23">
        <f>423027137.58</f>
        <v>423027137.57999998</v>
      </c>
      <c r="C45" s="23">
        <f>423027137.58</f>
        <v>423027137.57999998</v>
      </c>
      <c r="D45" s="23">
        <f>376606836.51</f>
        <v>376606836.50999999</v>
      </c>
      <c r="E45" s="23">
        <f>42162.9</f>
        <v>42162.9</v>
      </c>
      <c r="F45" s="23">
        <f>11415.52</f>
        <v>11415.52</v>
      </c>
      <c r="G45" s="23">
        <f>376553258.09</f>
        <v>376553258.08999997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42851770.34</f>
        <v>42851770.340000004</v>
      </c>
      <c r="M45" s="23">
        <f>3378594.67</f>
        <v>3378594.67</v>
      </c>
      <c r="N45" s="23">
        <f>189936.06</f>
        <v>189936.06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5">
      <c r="A46" s="24" t="s">
        <v>42</v>
      </c>
      <c r="B46" s="22">
        <f>7269684705.65</f>
        <v>7269684705.6499996</v>
      </c>
      <c r="C46" s="22">
        <f>7269494254.74</f>
        <v>7269494254.7399998</v>
      </c>
      <c r="D46" s="22">
        <f>434413.63</f>
        <v>434413.63</v>
      </c>
      <c r="E46" s="22">
        <f>960</f>
        <v>960</v>
      </c>
      <c r="F46" s="22">
        <f>16265.52</f>
        <v>16265.52</v>
      </c>
      <c r="G46" s="22">
        <f>417188.11</f>
        <v>417188.11</v>
      </c>
      <c r="H46" s="22">
        <f>0</f>
        <v>0</v>
      </c>
      <c r="I46" s="22">
        <f>0</f>
        <v>0</v>
      </c>
      <c r="J46" s="22">
        <f>7268655797.34</f>
        <v>7268655797.3400002</v>
      </c>
      <c r="K46" s="22">
        <f>1926</f>
        <v>1926</v>
      </c>
      <c r="L46" s="22">
        <f>393654.14</f>
        <v>393654.14</v>
      </c>
      <c r="M46" s="22">
        <f>8463.63</f>
        <v>8463.6299999999992</v>
      </c>
      <c r="N46" s="22">
        <f>0</f>
        <v>0</v>
      </c>
      <c r="O46" s="22">
        <f>190450.91</f>
        <v>190450.91</v>
      </c>
      <c r="P46" s="22">
        <f>190450.91</f>
        <v>190450.91</v>
      </c>
      <c r="Q46" s="22">
        <f>0</f>
        <v>0</v>
      </c>
    </row>
    <row r="47" spans="1:17" ht="24" customHeight="1" x14ac:dyDescent="0.25">
      <c r="A47" s="18" t="s">
        <v>33</v>
      </c>
      <c r="B47" s="23">
        <f>417164.11</f>
        <v>417164.11</v>
      </c>
      <c r="C47" s="23">
        <f>417164.11</f>
        <v>417164.11</v>
      </c>
      <c r="D47" s="23">
        <f>417164.11</f>
        <v>417164.11</v>
      </c>
      <c r="E47" s="23">
        <f>0</f>
        <v>0</v>
      </c>
      <c r="F47" s="23">
        <f>0</f>
        <v>0</v>
      </c>
      <c r="G47" s="23">
        <f>417164.11</f>
        <v>417164.11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5">
      <c r="A48" s="18" t="s">
        <v>34</v>
      </c>
      <c r="B48" s="23">
        <f>4969657725.3</f>
        <v>4969657725.3000002</v>
      </c>
      <c r="C48" s="23">
        <f>4969657725.3</f>
        <v>4969657725.3000002</v>
      </c>
      <c r="D48" s="23">
        <f>984</f>
        <v>984</v>
      </c>
      <c r="E48" s="23">
        <f>960</f>
        <v>960</v>
      </c>
      <c r="F48" s="23">
        <f>0</f>
        <v>0</v>
      </c>
      <c r="G48" s="23">
        <f>24</f>
        <v>24</v>
      </c>
      <c r="H48" s="23">
        <f>0</f>
        <v>0</v>
      </c>
      <c r="I48" s="23">
        <f>0</f>
        <v>0</v>
      </c>
      <c r="J48" s="23">
        <f>4969259065.77</f>
        <v>4969259065.7700005</v>
      </c>
      <c r="K48" s="23">
        <f>1926</f>
        <v>1926</v>
      </c>
      <c r="L48" s="23">
        <f>387285.9</f>
        <v>387285.9</v>
      </c>
      <c r="M48" s="23">
        <f>8463.63</f>
        <v>8463.6299999999992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5">
      <c r="A49" s="18" t="s">
        <v>35</v>
      </c>
      <c r="B49" s="23">
        <f>2299609816.24</f>
        <v>2299609816.2399998</v>
      </c>
      <c r="C49" s="23">
        <f>2299419365.33</f>
        <v>2299419365.3299999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2299396731.57</f>
        <v>2299396731.5700002</v>
      </c>
      <c r="K49" s="23">
        <f>0</f>
        <v>0</v>
      </c>
      <c r="L49" s="23">
        <f>6368.24</f>
        <v>6368.24</v>
      </c>
      <c r="M49" s="23">
        <f>0</f>
        <v>0</v>
      </c>
      <c r="N49" s="23">
        <f>0</f>
        <v>0</v>
      </c>
      <c r="O49" s="23">
        <f>190450.91</f>
        <v>190450.91</v>
      </c>
      <c r="P49" s="23">
        <f>190450.91</f>
        <v>190450.91</v>
      </c>
      <c r="Q49" s="23">
        <f>0</f>
        <v>0</v>
      </c>
    </row>
    <row r="50" spans="1:17" ht="30.75" customHeight="1" x14ac:dyDescent="0.25">
      <c r="A50" s="24" t="s">
        <v>43</v>
      </c>
      <c r="B50" s="22">
        <f>2048772689.9</f>
        <v>2048772689.9000001</v>
      </c>
      <c r="C50" s="22">
        <f>2046391026.49</f>
        <v>2046391026.49</v>
      </c>
      <c r="D50" s="22">
        <f>17661833.03</f>
        <v>17661833.030000001</v>
      </c>
      <c r="E50" s="22">
        <f>30816.98</f>
        <v>30816.98</v>
      </c>
      <c r="F50" s="22">
        <f>563587.94</f>
        <v>563587.93999999994</v>
      </c>
      <c r="G50" s="22">
        <f>17067428.11</f>
        <v>17067428.109999999</v>
      </c>
      <c r="H50" s="22">
        <f>0</f>
        <v>0</v>
      </c>
      <c r="I50" s="22">
        <f>0</f>
        <v>0</v>
      </c>
      <c r="J50" s="22">
        <f>24220.77</f>
        <v>24220.77</v>
      </c>
      <c r="K50" s="22">
        <f>17071808.81</f>
        <v>17071808.809999999</v>
      </c>
      <c r="L50" s="22">
        <f>1692203689.43</f>
        <v>1692203689.4300001</v>
      </c>
      <c r="M50" s="22">
        <f>301834854.94</f>
        <v>301834854.94</v>
      </c>
      <c r="N50" s="22">
        <f>17594619.51</f>
        <v>17594619.510000002</v>
      </c>
      <c r="O50" s="22">
        <f>2381663.41</f>
        <v>2381663.41</v>
      </c>
      <c r="P50" s="22">
        <f>1810119.55</f>
        <v>1810119.55</v>
      </c>
      <c r="Q50" s="22">
        <f>571543.86</f>
        <v>571543.86</v>
      </c>
    </row>
    <row r="51" spans="1:17" ht="30" customHeight="1" x14ac:dyDescent="0.25">
      <c r="A51" s="18" t="s">
        <v>36</v>
      </c>
      <c r="B51" s="23">
        <f>55433194.94</f>
        <v>55433194.939999998</v>
      </c>
      <c r="C51" s="23">
        <f>55425887.32</f>
        <v>55425887.32</v>
      </c>
      <c r="D51" s="23">
        <f>141916.18</f>
        <v>141916.18</v>
      </c>
      <c r="E51" s="23">
        <f>0</f>
        <v>0</v>
      </c>
      <c r="F51" s="23">
        <f>2.28</f>
        <v>2.2799999999999998</v>
      </c>
      <c r="G51" s="23">
        <f>141913.9</f>
        <v>141913.9</v>
      </c>
      <c r="H51" s="23">
        <f>0</f>
        <v>0</v>
      </c>
      <c r="I51" s="23">
        <f>0</f>
        <v>0</v>
      </c>
      <c r="J51" s="23">
        <f>0</f>
        <v>0</v>
      </c>
      <c r="K51" s="23">
        <f>9069.54</f>
        <v>9069.5400000000009</v>
      </c>
      <c r="L51" s="23">
        <f>47622291.01</f>
        <v>47622291.009999998</v>
      </c>
      <c r="M51" s="23">
        <f>7012789.1</f>
        <v>7012789.0999999996</v>
      </c>
      <c r="N51" s="23">
        <f>639821.49</f>
        <v>639821.49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5">
      <c r="A52" s="18" t="s">
        <v>37</v>
      </c>
      <c r="B52" s="23">
        <f>1993339494.96</f>
        <v>1993339494.96</v>
      </c>
      <c r="C52" s="23">
        <f>1990965139.17</f>
        <v>1990965139.1700001</v>
      </c>
      <c r="D52" s="23">
        <f>17519916.85</f>
        <v>17519916.850000001</v>
      </c>
      <c r="E52" s="23">
        <f>30816.98</f>
        <v>30816.98</v>
      </c>
      <c r="F52" s="23">
        <f>563585.66</f>
        <v>563585.66</v>
      </c>
      <c r="G52" s="23">
        <f>16925514.21</f>
        <v>16925514.210000001</v>
      </c>
      <c r="H52" s="23">
        <f>0</f>
        <v>0</v>
      </c>
      <c r="I52" s="23">
        <f>0</f>
        <v>0</v>
      </c>
      <c r="J52" s="23">
        <f>24220.77</f>
        <v>24220.77</v>
      </c>
      <c r="K52" s="23">
        <f>17062739.27</f>
        <v>17062739.27</v>
      </c>
      <c r="L52" s="23">
        <f>1644581398.42</f>
        <v>1644581398.4200001</v>
      </c>
      <c r="M52" s="23">
        <f>294822065.84</f>
        <v>294822065.83999997</v>
      </c>
      <c r="N52" s="23">
        <f>16954798.02</f>
        <v>16954798.02</v>
      </c>
      <c r="O52" s="23">
        <f>2374355.79</f>
        <v>2374355.79</v>
      </c>
      <c r="P52" s="23">
        <f>1802811.93</f>
        <v>1802811.93</v>
      </c>
      <c r="Q52" s="23">
        <f>571543.86</f>
        <v>571543.86</v>
      </c>
    </row>
    <row r="53" spans="1:17" ht="30.75" customHeight="1" x14ac:dyDescent="0.25">
      <c r="A53" s="24" t="s">
        <v>44</v>
      </c>
      <c r="B53" s="22">
        <f>1068778160.49</f>
        <v>1068778160.49</v>
      </c>
      <c r="C53" s="22">
        <f>1065180189.18</f>
        <v>1065180189.1799999</v>
      </c>
      <c r="D53" s="22">
        <f>123000729.37</f>
        <v>123000729.37</v>
      </c>
      <c r="E53" s="22">
        <f>8392603.21</f>
        <v>8392603.2100000009</v>
      </c>
      <c r="F53" s="22">
        <f>879053.11</f>
        <v>879053.11</v>
      </c>
      <c r="G53" s="22">
        <f>113202920.12</f>
        <v>113202920.12</v>
      </c>
      <c r="H53" s="22">
        <f>526152.93</f>
        <v>526152.93000000005</v>
      </c>
      <c r="I53" s="22">
        <f>0</f>
        <v>0</v>
      </c>
      <c r="J53" s="22">
        <f>203549.57</f>
        <v>203549.57</v>
      </c>
      <c r="K53" s="22">
        <f>189100.74</f>
        <v>189100.74</v>
      </c>
      <c r="L53" s="22">
        <f>738554589.77</f>
        <v>738554589.76999998</v>
      </c>
      <c r="M53" s="22">
        <f>174482052.9</f>
        <v>174482052.90000001</v>
      </c>
      <c r="N53" s="22">
        <f>28750166.83</f>
        <v>28750166.829999998</v>
      </c>
      <c r="O53" s="22">
        <f>3597971.31</f>
        <v>3597971.31</v>
      </c>
      <c r="P53" s="22">
        <f>3517625.76</f>
        <v>3517625.76</v>
      </c>
      <c r="Q53" s="22">
        <f>80345.55</f>
        <v>80345.55</v>
      </c>
    </row>
    <row r="54" spans="1:17" ht="30" customHeight="1" x14ac:dyDescent="0.25">
      <c r="A54" s="18" t="s">
        <v>38</v>
      </c>
      <c r="B54" s="23">
        <f>118059595.45</f>
        <v>118059595.45</v>
      </c>
      <c r="C54" s="23">
        <f>117960745.82</f>
        <v>117960745.81999999</v>
      </c>
      <c r="D54" s="23">
        <f>9351355.24</f>
        <v>9351355.2400000002</v>
      </c>
      <c r="E54" s="23">
        <f>4875513.25</f>
        <v>4875513.25</v>
      </c>
      <c r="F54" s="23">
        <f>161552.41</f>
        <v>161552.41</v>
      </c>
      <c r="G54" s="23">
        <f>4308791.45</f>
        <v>4308791.45</v>
      </c>
      <c r="H54" s="23">
        <f>5498.13</f>
        <v>5498.13</v>
      </c>
      <c r="I54" s="23">
        <f>0</f>
        <v>0</v>
      </c>
      <c r="J54" s="23">
        <f>800</f>
        <v>800</v>
      </c>
      <c r="K54" s="23">
        <f>30</f>
        <v>30</v>
      </c>
      <c r="L54" s="23">
        <f>105164715.64</f>
        <v>105164715.64</v>
      </c>
      <c r="M54" s="23">
        <f>2864577.82</f>
        <v>2864577.82</v>
      </c>
      <c r="N54" s="23">
        <f>579267.12</f>
        <v>579267.12</v>
      </c>
      <c r="O54" s="23">
        <f>98849.63</f>
        <v>98849.63</v>
      </c>
      <c r="P54" s="23">
        <f>20984.08</f>
        <v>20984.080000000002</v>
      </c>
      <c r="Q54" s="23">
        <f>77865.55</f>
        <v>77865.55</v>
      </c>
    </row>
    <row r="55" spans="1:17" ht="33" customHeight="1" x14ac:dyDescent="0.25">
      <c r="A55" s="18" t="s">
        <v>80</v>
      </c>
      <c r="B55" s="23">
        <f>12.73</f>
        <v>12.73</v>
      </c>
      <c r="C55" s="23">
        <f>12.73</f>
        <v>12.73</v>
      </c>
      <c r="D55" s="23">
        <f>12.73</f>
        <v>12.73</v>
      </c>
      <c r="E55" s="23">
        <f>0</f>
        <v>0</v>
      </c>
      <c r="F55" s="23">
        <f>0</f>
        <v>0</v>
      </c>
      <c r="G55" s="23">
        <f>0</f>
        <v>0</v>
      </c>
      <c r="H55" s="23">
        <f>12.73</f>
        <v>12.73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5">
      <c r="A56" s="18" t="s">
        <v>39</v>
      </c>
      <c r="B56" s="23">
        <f>950718552.31</f>
        <v>950718552.30999994</v>
      </c>
      <c r="C56" s="23">
        <f>947219430.63</f>
        <v>947219430.63</v>
      </c>
      <c r="D56" s="23">
        <f>113649361.4</f>
        <v>113649361.40000001</v>
      </c>
      <c r="E56" s="23">
        <f>3517089.96</f>
        <v>3517089.96</v>
      </c>
      <c r="F56" s="23">
        <f>717500.7</f>
        <v>717500.7</v>
      </c>
      <c r="G56" s="23">
        <f>108894128.67</f>
        <v>108894128.67</v>
      </c>
      <c r="H56" s="23">
        <f>520642.07</f>
        <v>520642.07</v>
      </c>
      <c r="I56" s="23">
        <f>0</f>
        <v>0</v>
      </c>
      <c r="J56" s="23">
        <f>202749.57</f>
        <v>202749.57</v>
      </c>
      <c r="K56" s="23">
        <f>189070.74</f>
        <v>189070.74</v>
      </c>
      <c r="L56" s="23">
        <f>633389874.13</f>
        <v>633389874.13</v>
      </c>
      <c r="M56" s="23">
        <f>171617475.08</f>
        <v>171617475.08000001</v>
      </c>
      <c r="N56" s="23">
        <f>28170899.71</f>
        <v>28170899.710000001</v>
      </c>
      <c r="O56" s="23">
        <f>3499121.68</f>
        <v>3499121.68</v>
      </c>
      <c r="P56" s="23">
        <f>3496641.68</f>
        <v>3496641.68</v>
      </c>
      <c r="Q56" s="23">
        <f>2480</f>
        <v>2480</v>
      </c>
    </row>
    <row r="66" spans="1:13" ht="67.5" customHeight="1" x14ac:dyDescent="0.25">
      <c r="A66" s="30" t="str">
        <f>CONCATENATE("Informacja z wykonania budżetów województw za  ",$C$93," ",$B$94," roku    ",$B$96,"")</f>
        <v xml:space="preserve">Informacja z wykonania budżetów województw za  III Kwartały 2022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5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5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5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5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5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5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5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5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5">
      <c r="B76" s="35" t="s">
        <v>55</v>
      </c>
      <c r="C76" s="36"/>
      <c r="D76" s="36"/>
      <c r="E76" s="37"/>
      <c r="F76" s="25">
        <f>1293678526.52</f>
        <v>1293678526.52</v>
      </c>
      <c r="G76" s="25">
        <f>192101461.55</f>
        <v>192101461.55000001</v>
      </c>
      <c r="H76" s="25">
        <f>0</f>
        <v>0</v>
      </c>
      <c r="I76" s="25">
        <f>37404.56</f>
        <v>37404.559999999998</v>
      </c>
      <c r="J76" s="25">
        <f>192064056.99</f>
        <v>192064056.99000001</v>
      </c>
      <c r="K76" s="25">
        <f>0</f>
        <v>0</v>
      </c>
      <c r="L76" s="25">
        <f>1101577064.97</f>
        <v>1101577064.97</v>
      </c>
    </row>
    <row r="77" spans="1:13" ht="33.75" customHeight="1" x14ac:dyDescent="0.25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5">
      <c r="B78" s="35" t="s">
        <v>57</v>
      </c>
      <c r="C78" s="36"/>
      <c r="D78" s="36"/>
      <c r="E78" s="37"/>
      <c r="F78" s="25">
        <f>89290000</f>
        <v>89290000</v>
      </c>
      <c r="G78" s="25">
        <f>0</f>
        <v>0</v>
      </c>
      <c r="H78" s="25">
        <f>0</f>
        <v>0</v>
      </c>
      <c r="I78" s="25">
        <f>0</f>
        <v>0</v>
      </c>
      <c r="J78" s="25">
        <f>0</f>
        <v>0</v>
      </c>
      <c r="K78" s="25">
        <f>0</f>
        <v>0</v>
      </c>
      <c r="L78" s="25">
        <f>89290000</f>
        <v>89290000</v>
      </c>
    </row>
    <row r="79" spans="1:13" ht="22.5" customHeight="1" x14ac:dyDescent="0.25">
      <c r="B79" s="35" t="s">
        <v>58</v>
      </c>
      <c r="C79" s="36"/>
      <c r="D79" s="36"/>
      <c r="E79" s="37"/>
      <c r="F79" s="25">
        <f>27851664.81</f>
        <v>27851664.809999999</v>
      </c>
      <c r="G79" s="25">
        <f>21830600.45</f>
        <v>21830600.449999999</v>
      </c>
      <c r="H79" s="25">
        <f>0</f>
        <v>0</v>
      </c>
      <c r="I79" s="25">
        <f>0</f>
        <v>0</v>
      </c>
      <c r="J79" s="25">
        <f>21830600.45</f>
        <v>21830600.449999999</v>
      </c>
      <c r="K79" s="25">
        <f>0</f>
        <v>0</v>
      </c>
      <c r="L79" s="25">
        <f>6021064.36</f>
        <v>6021064.3600000003</v>
      </c>
    </row>
    <row r="80" spans="1:13" ht="33.75" customHeight="1" x14ac:dyDescent="0.25">
      <c r="B80" s="35" t="s">
        <v>59</v>
      </c>
      <c r="C80" s="36"/>
      <c r="D80" s="36"/>
      <c r="E80" s="37"/>
      <c r="F80" s="25">
        <f>2316513.6</f>
        <v>2316513.6</v>
      </c>
      <c r="G80" s="25">
        <f>2097532.56</f>
        <v>2097532.56</v>
      </c>
      <c r="H80" s="25">
        <f>0</f>
        <v>0</v>
      </c>
      <c r="I80" s="25">
        <f>0</f>
        <v>0</v>
      </c>
      <c r="J80" s="25">
        <f>2097532.56</f>
        <v>2097532.56</v>
      </c>
      <c r="K80" s="25">
        <f>0</f>
        <v>0</v>
      </c>
      <c r="L80" s="25">
        <f>218981.04</f>
        <v>218981.04</v>
      </c>
    </row>
    <row r="81" spans="1:13" ht="33.75" customHeight="1" x14ac:dyDescent="0.25">
      <c r="B81" s="35" t="s">
        <v>60</v>
      </c>
      <c r="C81" s="36"/>
      <c r="D81" s="36"/>
      <c r="E81" s="37"/>
      <c r="F81" s="25">
        <f>13615958.72</f>
        <v>13615958.720000001</v>
      </c>
      <c r="G81" s="25">
        <f>9216608.78</f>
        <v>9216608.7799999993</v>
      </c>
      <c r="H81" s="25">
        <f>0</f>
        <v>0</v>
      </c>
      <c r="I81" s="25">
        <f>0</f>
        <v>0</v>
      </c>
      <c r="J81" s="25">
        <f>9216608.78</f>
        <v>9216608.7799999993</v>
      </c>
      <c r="K81" s="25">
        <f>0</f>
        <v>0</v>
      </c>
      <c r="L81" s="25">
        <f>4399349.94</f>
        <v>4399349.9400000004</v>
      </c>
    </row>
    <row r="82" spans="1:13" ht="33" customHeight="1" x14ac:dyDescent="0.25">
      <c r="B82" s="35" t="s">
        <v>61</v>
      </c>
      <c r="C82" s="36"/>
      <c r="D82" s="36"/>
      <c r="E82" s="37"/>
      <c r="F82" s="25">
        <f>0</f>
        <v>0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0</f>
        <v>0</v>
      </c>
    </row>
    <row r="85" spans="1:13" ht="60" customHeight="1" x14ac:dyDescent="0.25">
      <c r="A85" s="30" t="str">
        <f>CONCATENATE("Informacja z wykonania budżetów województw za  ",$C$93," ",$B$94," roku    ",$B$96,"")</f>
        <v xml:space="preserve">Informacja z wykonania budżetów województw za  III Kwartały 2022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5">
      <c r="B86" s="4"/>
    </row>
    <row r="87" spans="1:13" ht="13.5" customHeight="1" x14ac:dyDescent="0.25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5">
      <c r="B88" s="6"/>
      <c r="C88" s="35" t="s">
        <v>5</v>
      </c>
      <c r="D88" s="36"/>
      <c r="E88" s="36"/>
      <c r="F88" s="37"/>
      <c r="G88" s="53">
        <f>16</f>
        <v>16</v>
      </c>
      <c r="H88" s="54"/>
      <c r="I88" s="38">
        <f>3247870067.41</f>
        <v>3247870067.4099998</v>
      </c>
      <c r="J88" s="39"/>
      <c r="K88" s="7"/>
    </row>
    <row r="89" spans="1:13" ht="22.5" customHeight="1" x14ac:dyDescent="0.25">
      <c r="B89" s="6"/>
      <c r="C89" s="35" t="s">
        <v>6</v>
      </c>
      <c r="D89" s="36"/>
      <c r="E89" s="36"/>
      <c r="F89" s="37"/>
      <c r="G89" s="53">
        <f>0</f>
        <v>0</v>
      </c>
      <c r="H89" s="54"/>
      <c r="I89" s="38">
        <f>0</f>
        <v>0</v>
      </c>
      <c r="J89" s="39"/>
      <c r="K89" s="7"/>
    </row>
    <row r="90" spans="1:13" ht="21" customHeight="1" x14ac:dyDescent="0.25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5">
      <c r="A93" s="8" t="s">
        <v>8</v>
      </c>
      <c r="B93" s="8">
        <f>3</f>
        <v>3</v>
      </c>
      <c r="C93" s="8" t="str">
        <f>IF(B93=1,"I Kwartał",IF(B93=2,"II Kwartały",IF(B93=3,"III Kwartały",IF(B93=4,"IV Kwartały","-"))))</f>
        <v>III Kwartały</v>
      </c>
    </row>
    <row r="94" spans="1:13" ht="13.5" customHeight="1" x14ac:dyDescent="0.25">
      <c r="A94" s="8" t="s">
        <v>9</v>
      </c>
      <c r="B94" s="8">
        <f>2022</f>
        <v>2022</v>
      </c>
      <c r="C94" s="9"/>
    </row>
    <row r="95" spans="1:13" ht="13.5" customHeight="1" x14ac:dyDescent="0.25">
      <c r="A95" s="8" t="s">
        <v>10</v>
      </c>
      <c r="B95" s="10" t="str">
        <f>"Nov 18 2022 12:00AM"</f>
        <v>Nov 18 2022 12:00AM</v>
      </c>
      <c r="C95" s="9"/>
    </row>
    <row r="96" spans="1:13" ht="13.5" customHeight="1" x14ac:dyDescent="0.25">
      <c r="A96" s="14" t="s">
        <v>77</v>
      </c>
      <c r="B96" s="10" t="str">
        <f>""</f>
        <v/>
      </c>
    </row>
  </sheetData>
  <mergeCells count="79"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2022-11-29T15:19:15Z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2022-11-29T16:19:11.7240147+01:00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GRN-3a02fbe4-441c-44e3-a8f3-9d8db2ca3372</vt:lpwstr>
  </property>
  <property fmtid="{D5CDD505-2E9C-101B-9397-08002B2CF9AE}" pid="7" name="MFHash">
    <vt:lpwstr>z+lUIie8PMw/H8GHuDni78X7ptyvORLLk+ZfXHV9B24=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