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szerszen\Desktop\RFRDL 2023\Listy Wojewódzkie\LISTY OSTATECZNE\"/>
    </mc:Choice>
  </mc:AlternateContent>
  <bookViews>
    <workbookView xWindow="0" yWindow="0" windowWidth="25200" windowHeight="11988"/>
  </bookViews>
  <sheets>
    <sheet name="TERC - &quot;nazwa woj&quot;" sheetId="7" r:id="rId1"/>
    <sheet name="pow podst" sheetId="3" r:id="rId2"/>
    <sheet name="gm podst" sheetId="5" r:id="rId3"/>
    <sheet name="pow rez" sheetId="4" r:id="rId4"/>
    <sheet name="gm rez" sheetId="6" r:id="rId5"/>
  </sheets>
  <definedNames>
    <definedName name="_xlnm._FilterDatabase" localSheetId="2" hidden="1">'gm podst'!$A$1:$AB$103</definedName>
    <definedName name="_xlnm._FilterDatabase" localSheetId="4" hidden="1">'gm rez'!$A$2:$AB$61</definedName>
    <definedName name="_xlnm.Print_Area" localSheetId="2">'gm podst'!$A$1:$X$108</definedName>
    <definedName name="_xlnm.Print_Area" localSheetId="4">'gm rez'!$A$1:$X$65</definedName>
    <definedName name="_xlnm.Print_Area" localSheetId="1">'pow podst'!$A$1:$W$66</definedName>
    <definedName name="_xlnm.Print_Area" localSheetId="3">'pow rez'!$A$1:$W$33</definedName>
    <definedName name="_xlnm.Print_Area" localSheetId="0">'TERC - "nazwa woj"'!$A$1:$O$36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8" i="7" l="1"/>
  <c r="B13" i="7"/>
  <c r="Z51" i="3" l="1"/>
  <c r="L29" i="3"/>
  <c r="B27" i="7" l="1"/>
  <c r="L84" i="5"/>
  <c r="X55" i="3"/>
  <c r="Y55" i="3"/>
  <c r="Z55" i="3"/>
  <c r="AA55" i="3"/>
  <c r="I60" i="6" l="1"/>
  <c r="I59" i="6"/>
  <c r="K4" i="4"/>
  <c r="L5" i="6"/>
  <c r="L4" i="6" l="1"/>
  <c r="L98" i="5"/>
  <c r="L97" i="5"/>
  <c r="L96" i="5"/>
  <c r="L95" i="5"/>
  <c r="S95" i="5" l="1"/>
  <c r="Y95" i="5"/>
  <c r="Z95" i="5"/>
  <c r="AA95" i="5" s="1"/>
  <c r="M96" i="5"/>
  <c r="AB96" i="5" s="1"/>
  <c r="Z96" i="5"/>
  <c r="AA96" i="5" s="1"/>
  <c r="M97" i="5"/>
  <c r="AB97" i="5" s="1"/>
  <c r="Z97" i="5"/>
  <c r="AA97" i="5" s="1"/>
  <c r="S98" i="5"/>
  <c r="Y98" i="5" s="1"/>
  <c r="Z98" i="5"/>
  <c r="AA98" i="5" s="1"/>
  <c r="M98" i="5"/>
  <c r="AB98" i="5" s="1"/>
  <c r="S97" i="5"/>
  <c r="Y97" i="5" s="1"/>
  <c r="S96" i="5"/>
  <c r="Y96" i="5" s="1"/>
  <c r="M95" i="5"/>
  <c r="AB95" i="5" s="1"/>
  <c r="K55" i="3"/>
  <c r="R55" i="3" s="1"/>
  <c r="L55" i="3" l="1"/>
  <c r="M51" i="5"/>
  <c r="AB51" i="5" s="1"/>
  <c r="M50" i="5"/>
  <c r="AB50" i="5" s="1"/>
  <c r="M49" i="5"/>
  <c r="AB49" i="5" s="1"/>
  <c r="M44" i="5"/>
  <c r="M43" i="5"/>
  <c r="AB43" i="5" s="1"/>
  <c r="Z26" i="5"/>
  <c r="AA26" i="5" s="1"/>
  <c r="Y26" i="5"/>
  <c r="Z22" i="5"/>
  <c r="AA22" i="5" s="1"/>
  <c r="Y23" i="3"/>
  <c r="Z23" i="3" s="1"/>
  <c r="Y24" i="3"/>
  <c r="Z24" i="3" s="1"/>
  <c r="X23" i="3"/>
  <c r="X24" i="3"/>
  <c r="M48" i="5"/>
  <c r="AB48" i="5" s="1"/>
  <c r="M47" i="5"/>
  <c r="AB47" i="5" s="1"/>
  <c r="M46" i="5"/>
  <c r="AB46" i="5" s="1"/>
  <c r="M45" i="5"/>
  <c r="M26" i="5"/>
  <c r="AB26" i="5" s="1"/>
  <c r="L23" i="5"/>
  <c r="L21" i="5"/>
  <c r="M21" i="5" s="1"/>
  <c r="AB21" i="5" s="1"/>
  <c r="L17" i="5"/>
  <c r="Z17" i="5" s="1"/>
  <c r="AA17" i="5" s="1"/>
  <c r="L16" i="5"/>
  <c r="M16" i="5" s="1"/>
  <c r="AB16" i="5" s="1"/>
  <c r="L15" i="5"/>
  <c r="M15" i="5" s="1"/>
  <c r="AB15" i="5" s="1"/>
  <c r="L24" i="3"/>
  <c r="AA24" i="3" s="1"/>
  <c r="L23" i="3"/>
  <c r="AA23" i="3" s="1"/>
  <c r="Z92" i="5"/>
  <c r="AA92" i="5" s="1"/>
  <c r="L58" i="6"/>
  <c r="Z58" i="6" s="1"/>
  <c r="AA58" i="6" s="1"/>
  <c r="L57" i="6"/>
  <c r="M57" i="6" s="1"/>
  <c r="L56" i="6"/>
  <c r="M56" i="6" s="1"/>
  <c r="AB56" i="6" s="1"/>
  <c r="L55" i="6"/>
  <c r="S55" i="6" s="1"/>
  <c r="Y55" i="6" s="1"/>
  <c r="S99" i="5"/>
  <c r="Y99" i="5" s="1"/>
  <c r="L94" i="5"/>
  <c r="M94" i="5" s="1"/>
  <c r="L93" i="5"/>
  <c r="S93" i="5" s="1"/>
  <c r="S92" i="5"/>
  <c r="Y92" i="5" s="1"/>
  <c r="M92" i="5"/>
  <c r="AB92" i="5" s="1"/>
  <c r="L54" i="6"/>
  <c r="S54" i="6" s="1"/>
  <c r="Y54" i="6" s="1"/>
  <c r="L53" i="6"/>
  <c r="M53" i="6" s="1"/>
  <c r="AB53" i="6" s="1"/>
  <c r="L52" i="6"/>
  <c r="S52" i="6" s="1"/>
  <c r="L51" i="6"/>
  <c r="S51" i="6" s="1"/>
  <c r="L50" i="6"/>
  <c r="M50" i="6" s="1"/>
  <c r="AB50" i="6" s="1"/>
  <c r="L49" i="6"/>
  <c r="L48" i="6"/>
  <c r="M48" i="6" s="1"/>
  <c r="L47" i="6"/>
  <c r="S47" i="6" s="1"/>
  <c r="Y47" i="6" s="1"/>
  <c r="L46" i="6"/>
  <c r="S46" i="6" s="1"/>
  <c r="L45" i="6"/>
  <c r="S45" i="6" s="1"/>
  <c r="L44" i="6"/>
  <c r="Z44" i="6" s="1"/>
  <c r="AA44" i="6" s="1"/>
  <c r="L43" i="6"/>
  <c r="S43" i="6" s="1"/>
  <c r="L42" i="6"/>
  <c r="S42" i="6" s="1"/>
  <c r="L41" i="6"/>
  <c r="L40" i="6"/>
  <c r="Z40" i="6" s="1"/>
  <c r="AA40" i="6" s="1"/>
  <c r="L39" i="6"/>
  <c r="M39" i="6" s="1"/>
  <c r="L38" i="6"/>
  <c r="S38" i="6" s="1"/>
  <c r="L37" i="6"/>
  <c r="S37" i="6" s="1"/>
  <c r="L36" i="6"/>
  <c r="Z36" i="6" s="1"/>
  <c r="AA36" i="6" s="1"/>
  <c r="L35" i="6"/>
  <c r="Z35" i="6" s="1"/>
  <c r="AA35" i="6" s="1"/>
  <c r="L34" i="6"/>
  <c r="S34" i="6" s="1"/>
  <c r="L33" i="6"/>
  <c r="Z33" i="6" s="1"/>
  <c r="AA33" i="6" s="1"/>
  <c r="Y57" i="3"/>
  <c r="Z57" i="3" s="1"/>
  <c r="R57" i="3"/>
  <c r="X57" i="3" s="1"/>
  <c r="K56" i="3"/>
  <c r="Y56" i="3"/>
  <c r="Z56" i="3" s="1"/>
  <c r="K54" i="3"/>
  <c r="Y54" i="3" s="1"/>
  <c r="Z54" i="3" s="1"/>
  <c r="K53" i="3"/>
  <c r="R53" i="3" s="1"/>
  <c r="K52" i="3"/>
  <c r="Y52" i="3" s="1"/>
  <c r="Z52" i="3" s="1"/>
  <c r="L51" i="3"/>
  <c r="AA51" i="3" s="1"/>
  <c r="L15" i="6"/>
  <c r="Z15" i="6" s="1"/>
  <c r="AA15" i="6" s="1"/>
  <c r="AB45" i="5"/>
  <c r="AB44" i="5"/>
  <c r="M42" i="5"/>
  <c r="AB42" i="5" s="1"/>
  <c r="M41" i="5"/>
  <c r="AB41" i="5" s="1"/>
  <c r="L14" i="3"/>
  <c r="AA14" i="3" s="1"/>
  <c r="K13" i="3"/>
  <c r="Y13" i="3" s="1"/>
  <c r="Z13" i="3" s="1"/>
  <c r="L90" i="5"/>
  <c r="S90" i="5" s="1"/>
  <c r="Y90" i="5" s="1"/>
  <c r="L89" i="5"/>
  <c r="S89" i="5" s="1"/>
  <c r="Y89" i="5" s="1"/>
  <c r="L7" i="6"/>
  <c r="Z7" i="6" s="1"/>
  <c r="AA7" i="6" s="1"/>
  <c r="Y51" i="3"/>
  <c r="L50" i="3"/>
  <c r="AA50" i="3" s="1"/>
  <c r="K50" i="3"/>
  <c r="R50" i="3" s="1"/>
  <c r="K49" i="3"/>
  <c r="L49" i="3" s="1"/>
  <c r="Y10" i="4"/>
  <c r="Z10" i="4" s="1"/>
  <c r="X10" i="4"/>
  <c r="K48" i="3"/>
  <c r="R48" i="3"/>
  <c r="K42" i="3"/>
  <c r="Y42" i="3" s="1"/>
  <c r="Z42" i="3" s="1"/>
  <c r="K41" i="3"/>
  <c r="R41" i="3" s="1"/>
  <c r="K43" i="3"/>
  <c r="K44" i="3"/>
  <c r="R44" i="3" s="1"/>
  <c r="X44" i="3" s="1"/>
  <c r="Z66" i="5"/>
  <c r="AA66" i="5" s="1"/>
  <c r="Y66" i="5"/>
  <c r="M66" i="5"/>
  <c r="AB66" i="5" s="1"/>
  <c r="L75" i="5"/>
  <c r="S75" i="5" s="1"/>
  <c r="L86" i="5"/>
  <c r="M86" i="5" s="1"/>
  <c r="AB86" i="5" s="1"/>
  <c r="L14" i="6"/>
  <c r="Z14" i="6" s="1"/>
  <c r="L74" i="5"/>
  <c r="S74" i="5" s="1"/>
  <c r="Y74" i="5" s="1"/>
  <c r="L91" i="5"/>
  <c r="M91" i="5" s="1"/>
  <c r="AB91" i="5" s="1"/>
  <c r="L88" i="5"/>
  <c r="M88" i="5" s="1"/>
  <c r="AB88" i="5" s="1"/>
  <c r="Z24" i="6"/>
  <c r="AA24" i="6" s="1"/>
  <c r="Y24" i="6"/>
  <c r="L32" i="6"/>
  <c r="S32" i="6" s="1"/>
  <c r="Y32" i="6" s="1"/>
  <c r="L31" i="6"/>
  <c r="Z31" i="6" s="1"/>
  <c r="AA31" i="6" s="1"/>
  <c r="L30" i="6"/>
  <c r="Z30" i="6" s="1"/>
  <c r="AA30" i="6" s="1"/>
  <c r="L29" i="6"/>
  <c r="L28" i="6"/>
  <c r="S28" i="6" s="1"/>
  <c r="L27" i="6"/>
  <c r="S27" i="6" s="1"/>
  <c r="Y27" i="6" s="1"/>
  <c r="L26" i="6"/>
  <c r="S26" i="6" s="1"/>
  <c r="L25" i="6"/>
  <c r="S25" i="6" s="1"/>
  <c r="Y25" i="6" s="1"/>
  <c r="M24" i="6"/>
  <c r="AB24" i="6" s="1"/>
  <c r="L23" i="6"/>
  <c r="M23" i="6" s="1"/>
  <c r="AB23" i="6" s="1"/>
  <c r="L22" i="6"/>
  <c r="S22" i="6" s="1"/>
  <c r="L21" i="6"/>
  <c r="L20" i="6"/>
  <c r="M20" i="6" s="1"/>
  <c r="L19" i="6"/>
  <c r="Z19" i="6" s="1"/>
  <c r="AA19" i="6" s="1"/>
  <c r="L18" i="6"/>
  <c r="M18" i="6" s="1"/>
  <c r="L17" i="6"/>
  <c r="S17" i="6" s="1"/>
  <c r="Y17" i="6" s="1"/>
  <c r="L16" i="6"/>
  <c r="M16" i="6" s="1"/>
  <c r="L13" i="6"/>
  <c r="M13" i="6" s="1"/>
  <c r="L12" i="6"/>
  <c r="M12" i="6" s="1"/>
  <c r="L11" i="6"/>
  <c r="M11" i="6" s="1"/>
  <c r="AB11" i="6" s="1"/>
  <c r="L10" i="6"/>
  <c r="L9" i="6"/>
  <c r="Z9" i="6" s="1"/>
  <c r="AA9" i="6" s="1"/>
  <c r="Z5" i="6"/>
  <c r="AA5" i="6" s="1"/>
  <c r="L8" i="6"/>
  <c r="Z8" i="6" s="1"/>
  <c r="AA8" i="6" s="1"/>
  <c r="L6" i="6"/>
  <c r="Z6" i="6" s="1"/>
  <c r="AA6" i="6" s="1"/>
  <c r="S4" i="6"/>
  <c r="L3" i="6"/>
  <c r="Z3" i="6" s="1"/>
  <c r="AA3" i="6" s="1"/>
  <c r="K26" i="4"/>
  <c r="Y26" i="4" s="1"/>
  <c r="Z26" i="4" s="1"/>
  <c r="K25" i="4"/>
  <c r="K24" i="4"/>
  <c r="L24" i="4" s="1"/>
  <c r="K23" i="4"/>
  <c r="K22" i="4"/>
  <c r="R22" i="4" s="1"/>
  <c r="X22" i="4" s="1"/>
  <c r="K21" i="4"/>
  <c r="R21" i="4" s="1"/>
  <c r="X21" i="4" s="1"/>
  <c r="K20" i="4"/>
  <c r="R20" i="4" s="1"/>
  <c r="K19" i="4"/>
  <c r="K18" i="4"/>
  <c r="R18" i="4" s="1"/>
  <c r="K17" i="4"/>
  <c r="R17" i="4" s="1"/>
  <c r="K16" i="4"/>
  <c r="Y16" i="4" s="1"/>
  <c r="Z16" i="4" s="1"/>
  <c r="K15" i="4"/>
  <c r="K14" i="4"/>
  <c r="R14" i="4" s="1"/>
  <c r="K13" i="4"/>
  <c r="R13" i="4" s="1"/>
  <c r="X13" i="4" s="1"/>
  <c r="K12" i="4"/>
  <c r="R12" i="4" s="1"/>
  <c r="X12" i="4" s="1"/>
  <c r="K11" i="4"/>
  <c r="L10" i="4"/>
  <c r="AA10" i="4" s="1"/>
  <c r="Y4" i="4"/>
  <c r="Z4" i="4" s="1"/>
  <c r="K9" i="4"/>
  <c r="Y9" i="4" s="1"/>
  <c r="Z9" i="4" s="1"/>
  <c r="K8" i="4"/>
  <c r="K7" i="4"/>
  <c r="R7" i="4" s="1"/>
  <c r="K6" i="4"/>
  <c r="Y6" i="4" s="1"/>
  <c r="Z6" i="4" s="1"/>
  <c r="K5" i="4"/>
  <c r="R5" i="4" s="1"/>
  <c r="K3" i="4"/>
  <c r="R3" i="4" s="1"/>
  <c r="Y29" i="3"/>
  <c r="Z29" i="3" s="1"/>
  <c r="Y36" i="3"/>
  <c r="Z36" i="3" s="1"/>
  <c r="X29" i="3"/>
  <c r="X36" i="3"/>
  <c r="K25" i="3"/>
  <c r="R25" i="3" s="1"/>
  <c r="L83" i="5"/>
  <c r="M83" i="5" s="1"/>
  <c r="Z84" i="5"/>
  <c r="AA84" i="5" s="1"/>
  <c r="K26" i="3"/>
  <c r="R26" i="3" s="1"/>
  <c r="L69" i="5"/>
  <c r="Z69" i="5" s="1"/>
  <c r="AA69" i="5" s="1"/>
  <c r="L65" i="5"/>
  <c r="S65" i="5" s="1"/>
  <c r="Y65" i="5" s="1"/>
  <c r="L62" i="5"/>
  <c r="Z62" i="5" s="1"/>
  <c r="AA62" i="5" s="1"/>
  <c r="L36" i="3"/>
  <c r="AA36" i="3" s="1"/>
  <c r="K38" i="3"/>
  <c r="L38" i="3" s="1"/>
  <c r="Z85" i="5"/>
  <c r="AA85" i="5" s="1"/>
  <c r="M73" i="5"/>
  <c r="AB73" i="5" s="1"/>
  <c r="L80" i="5"/>
  <c r="K40" i="3"/>
  <c r="R40" i="3" s="1"/>
  <c r="K47" i="3"/>
  <c r="Y47" i="3" s="1"/>
  <c r="Z47" i="3" s="1"/>
  <c r="K46" i="3"/>
  <c r="L46" i="3" s="1"/>
  <c r="K34" i="3"/>
  <c r="R34" i="3" s="1"/>
  <c r="X34" i="3" s="1"/>
  <c r="K31" i="3"/>
  <c r="Y31" i="3" s="1"/>
  <c r="Z31" i="3" s="1"/>
  <c r="L70" i="5"/>
  <c r="M70" i="5" s="1"/>
  <c r="AB70" i="5" s="1"/>
  <c r="L81" i="5"/>
  <c r="M81" i="5" s="1"/>
  <c r="K27" i="3"/>
  <c r="K37" i="3"/>
  <c r="L37" i="3" s="1"/>
  <c r="AA37" i="3" s="1"/>
  <c r="K39" i="3"/>
  <c r="K30" i="3"/>
  <c r="L30" i="3" s="1"/>
  <c r="AA30" i="3" s="1"/>
  <c r="K32" i="3"/>
  <c r="Y32" i="3" s="1"/>
  <c r="Z32" i="3" s="1"/>
  <c r="K35" i="3"/>
  <c r="L35" i="3" s="1"/>
  <c r="AA35" i="3" s="1"/>
  <c r="L76" i="5"/>
  <c r="S76" i="5" s="1"/>
  <c r="L64" i="5"/>
  <c r="Z64" i="5" s="1"/>
  <c r="AA64" i="5" s="1"/>
  <c r="K45" i="3"/>
  <c r="L45" i="3" s="1"/>
  <c r="AA45" i="3" s="1"/>
  <c r="K28" i="3"/>
  <c r="L28" i="3" s="1"/>
  <c r="AA28" i="3" s="1"/>
  <c r="R28" i="3"/>
  <c r="X28" i="3" s="1"/>
  <c r="L71" i="5"/>
  <c r="S71" i="5" s="1"/>
  <c r="Y71" i="5" s="1"/>
  <c r="L79" i="5"/>
  <c r="Z79" i="5" s="1"/>
  <c r="AA79" i="5" s="1"/>
  <c r="L67" i="5"/>
  <c r="S67" i="5" s="1"/>
  <c r="Y67" i="5" s="1"/>
  <c r="L68" i="5"/>
  <c r="M68" i="5" s="1"/>
  <c r="AB68" i="5" s="1"/>
  <c r="L78" i="5"/>
  <c r="Z78" i="5" s="1"/>
  <c r="AA78" i="5" s="1"/>
  <c r="K33" i="3"/>
  <c r="R33" i="3" s="1"/>
  <c r="M87" i="5"/>
  <c r="AB87" i="5" s="1"/>
  <c r="L82" i="5"/>
  <c r="Z82" i="5" s="1"/>
  <c r="AA82" i="5" s="1"/>
  <c r="AA29" i="3"/>
  <c r="L77" i="5"/>
  <c r="Z77" i="5" s="1"/>
  <c r="AA77" i="5" s="1"/>
  <c r="L63" i="5"/>
  <c r="M63" i="5" s="1"/>
  <c r="AB63" i="5" s="1"/>
  <c r="Z27" i="5"/>
  <c r="AA27" i="5" s="1"/>
  <c r="Z30" i="5"/>
  <c r="AA30" i="5" s="1"/>
  <c r="Z31" i="5"/>
  <c r="AA31" i="5" s="1"/>
  <c r="Z32" i="5"/>
  <c r="AA32" i="5" s="1"/>
  <c r="Z33" i="5"/>
  <c r="AA33" i="5" s="1"/>
  <c r="Z34" i="5"/>
  <c r="AA34" i="5" s="1"/>
  <c r="Z35" i="5"/>
  <c r="AA35" i="5" s="1"/>
  <c r="Z36" i="5"/>
  <c r="AA36" i="5" s="1"/>
  <c r="Z37" i="5"/>
  <c r="AA37" i="5" s="1"/>
  <c r="Z38" i="5"/>
  <c r="AA38" i="5" s="1"/>
  <c r="Z39" i="5"/>
  <c r="AA39" i="5" s="1"/>
  <c r="Z40" i="5"/>
  <c r="AA40" i="5" s="1"/>
  <c r="Z41" i="5"/>
  <c r="AA41" i="5" s="1"/>
  <c r="Z42" i="5"/>
  <c r="AA42" i="5" s="1"/>
  <c r="Z43" i="5"/>
  <c r="AA43" i="5" s="1"/>
  <c r="Z44" i="5"/>
  <c r="AA44" i="5" s="1"/>
  <c r="Z45" i="5"/>
  <c r="AA45" i="5" s="1"/>
  <c r="Z46" i="5"/>
  <c r="AA46" i="5" s="1"/>
  <c r="Z47" i="5"/>
  <c r="AA47" i="5" s="1"/>
  <c r="Z48" i="5"/>
  <c r="AA48" i="5" s="1"/>
  <c r="Z49" i="5"/>
  <c r="AA49" i="5" s="1"/>
  <c r="Z50" i="5"/>
  <c r="AA50" i="5" s="1"/>
  <c r="Z51" i="5"/>
  <c r="AA51" i="5" s="1"/>
  <c r="Z52" i="5"/>
  <c r="AA52" i="5" s="1"/>
  <c r="Z53" i="5"/>
  <c r="AA53" i="5" s="1"/>
  <c r="Z54" i="5"/>
  <c r="AA54" i="5" s="1"/>
  <c r="Z55" i="5"/>
  <c r="AA55" i="5" s="1"/>
  <c r="Z56" i="5"/>
  <c r="AA56" i="5" s="1"/>
  <c r="Z57" i="5"/>
  <c r="AA57" i="5" s="1"/>
  <c r="Z58" i="5"/>
  <c r="AA58" i="5" s="1"/>
  <c r="Z59" i="5"/>
  <c r="AA59" i="5" s="1"/>
  <c r="Z60" i="5"/>
  <c r="AA60" i="5" s="1"/>
  <c r="Z61" i="5"/>
  <c r="AA61" i="5" s="1"/>
  <c r="Y27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Z18" i="5"/>
  <c r="AA18" i="5" s="1"/>
  <c r="Y18" i="5"/>
  <c r="M61" i="5"/>
  <c r="AB61" i="5" s="1"/>
  <c r="M60" i="5"/>
  <c r="AB60" i="5" s="1"/>
  <c r="M59" i="5"/>
  <c r="AB59" i="5" s="1"/>
  <c r="M58" i="5"/>
  <c r="AB58" i="5" s="1"/>
  <c r="M57" i="5"/>
  <c r="AB57" i="5" s="1"/>
  <c r="M56" i="5"/>
  <c r="AB56" i="5" s="1"/>
  <c r="M55" i="5"/>
  <c r="AB55" i="5" s="1"/>
  <c r="M54" i="5"/>
  <c r="AB54" i="5" s="1"/>
  <c r="M53" i="5"/>
  <c r="AB53" i="5" s="1"/>
  <c r="M52" i="5"/>
  <c r="AB52" i="5" s="1"/>
  <c r="M40" i="5"/>
  <c r="AB40" i="5" s="1"/>
  <c r="M39" i="5"/>
  <c r="AB39" i="5" s="1"/>
  <c r="M38" i="5"/>
  <c r="AB38" i="5" s="1"/>
  <c r="M37" i="5"/>
  <c r="AB37" i="5" s="1"/>
  <c r="M36" i="5"/>
  <c r="AB36" i="5" s="1"/>
  <c r="M35" i="5"/>
  <c r="AB35" i="5" s="1"/>
  <c r="M34" i="5"/>
  <c r="AB34" i="5" s="1"/>
  <c r="M33" i="5"/>
  <c r="AB33" i="5" s="1"/>
  <c r="M32" i="5"/>
  <c r="AB32" i="5" s="1"/>
  <c r="M31" i="5"/>
  <c r="AB31" i="5" s="1"/>
  <c r="M30" i="5"/>
  <c r="AB30" i="5" s="1"/>
  <c r="L29" i="5"/>
  <c r="M29" i="5" s="1"/>
  <c r="L28" i="5"/>
  <c r="Z28" i="5" s="1"/>
  <c r="AA28" i="5" s="1"/>
  <c r="M27" i="5"/>
  <c r="AB27" i="5" s="1"/>
  <c r="L25" i="5"/>
  <c r="Y25" i="5" s="1"/>
  <c r="L24" i="5"/>
  <c r="Z24" i="5" s="1"/>
  <c r="AA24" i="5" s="1"/>
  <c r="R22" i="5"/>
  <c r="R100" i="5" s="1"/>
  <c r="M22" i="5"/>
  <c r="AB22" i="5" s="1"/>
  <c r="L20" i="5"/>
  <c r="Z20" i="5" s="1"/>
  <c r="AA20" i="5" s="1"/>
  <c r="L19" i="5"/>
  <c r="Z19" i="5" s="1"/>
  <c r="AA19" i="5" s="1"/>
  <c r="M18" i="5"/>
  <c r="AB18" i="5" s="1"/>
  <c r="M14" i="5"/>
  <c r="AB14" i="5" s="1"/>
  <c r="L13" i="5"/>
  <c r="M13" i="5" s="1"/>
  <c r="L12" i="5"/>
  <c r="M12" i="5" s="1"/>
  <c r="L11" i="5"/>
  <c r="Z11" i="5" s="1"/>
  <c r="AA11" i="5" s="1"/>
  <c r="M9" i="5"/>
  <c r="AB9" i="5" s="1"/>
  <c r="M6" i="5"/>
  <c r="AB6" i="5" s="1"/>
  <c r="M4" i="5"/>
  <c r="AB4" i="5" s="1"/>
  <c r="M3" i="5"/>
  <c r="AB3" i="5" s="1"/>
  <c r="Y14" i="3"/>
  <c r="Z14" i="3" s="1"/>
  <c r="Y15" i="3"/>
  <c r="Z15" i="3" s="1"/>
  <c r="Y16" i="3"/>
  <c r="Z16" i="3" s="1"/>
  <c r="Y17" i="3"/>
  <c r="Z17" i="3" s="1"/>
  <c r="Y18" i="3"/>
  <c r="Z18" i="3" s="1"/>
  <c r="Y19" i="3"/>
  <c r="Z19" i="3" s="1"/>
  <c r="Y20" i="3"/>
  <c r="Z20" i="3" s="1"/>
  <c r="Y21" i="3"/>
  <c r="Z21" i="3" s="1"/>
  <c r="Y22" i="3"/>
  <c r="Z22" i="3" s="1"/>
  <c r="X14" i="3"/>
  <c r="X15" i="3"/>
  <c r="X16" i="3"/>
  <c r="X17" i="3"/>
  <c r="X18" i="3"/>
  <c r="X19" i="3"/>
  <c r="X20" i="3"/>
  <c r="X21" i="3"/>
  <c r="X22" i="3"/>
  <c r="L22" i="3"/>
  <c r="AA22" i="3" s="1"/>
  <c r="L21" i="3"/>
  <c r="AA21" i="3" s="1"/>
  <c r="L20" i="3"/>
  <c r="AA20" i="3" s="1"/>
  <c r="L19" i="3"/>
  <c r="AA19" i="3"/>
  <c r="L18" i="3"/>
  <c r="AA18" i="3" s="1"/>
  <c r="L17" i="3"/>
  <c r="AA17" i="3" s="1"/>
  <c r="L16" i="3"/>
  <c r="AA16" i="3"/>
  <c r="L15" i="3"/>
  <c r="AA15" i="3" s="1"/>
  <c r="L12" i="3"/>
  <c r="AA12" i="3" s="1"/>
  <c r="K11" i="3"/>
  <c r="L10" i="3"/>
  <c r="AA10" i="3" s="1"/>
  <c r="L9" i="3"/>
  <c r="AA9" i="3" s="1"/>
  <c r="K8" i="3"/>
  <c r="L7" i="3"/>
  <c r="AA7" i="3"/>
  <c r="L6" i="3"/>
  <c r="AA6" i="3"/>
  <c r="K5" i="3"/>
  <c r="X5" i="3"/>
  <c r="J29" i="4"/>
  <c r="B29" i="7"/>
  <c r="B28" i="7"/>
  <c r="B26" i="7"/>
  <c r="B25" i="7"/>
  <c r="B19" i="7"/>
  <c r="B17" i="7"/>
  <c r="B15" i="7"/>
  <c r="B14" i="7"/>
  <c r="B22" i="7" s="1"/>
  <c r="O29" i="7"/>
  <c r="N29" i="7"/>
  <c r="M29" i="7"/>
  <c r="L29" i="7"/>
  <c r="K29" i="7"/>
  <c r="J29" i="7"/>
  <c r="I29" i="7"/>
  <c r="H29" i="7"/>
  <c r="G29" i="7"/>
  <c r="F29" i="7"/>
  <c r="O28" i="7"/>
  <c r="N28" i="7"/>
  <c r="M28" i="7"/>
  <c r="L28" i="7"/>
  <c r="K28" i="7"/>
  <c r="I28" i="7"/>
  <c r="H28" i="7"/>
  <c r="G28" i="7"/>
  <c r="F28" i="7"/>
  <c r="C28" i="7"/>
  <c r="O26" i="7"/>
  <c r="N26" i="7"/>
  <c r="M26" i="7"/>
  <c r="L26" i="7"/>
  <c r="K26" i="7"/>
  <c r="J26" i="7"/>
  <c r="I26" i="7"/>
  <c r="H26" i="7"/>
  <c r="G26" i="7"/>
  <c r="F26" i="7"/>
  <c r="E26" i="7"/>
  <c r="O25" i="7"/>
  <c r="N25" i="7"/>
  <c r="M25" i="7"/>
  <c r="L25" i="7"/>
  <c r="K25" i="7"/>
  <c r="I25" i="7"/>
  <c r="H25" i="7"/>
  <c r="G25" i="7"/>
  <c r="F25" i="7"/>
  <c r="C25" i="7"/>
  <c r="O19" i="7"/>
  <c r="N19" i="7"/>
  <c r="M19" i="7"/>
  <c r="L19" i="7"/>
  <c r="K19" i="7"/>
  <c r="J19" i="7"/>
  <c r="I19" i="7"/>
  <c r="H19" i="7"/>
  <c r="G19" i="7"/>
  <c r="F19" i="7"/>
  <c r="O18" i="7"/>
  <c r="N18" i="7"/>
  <c r="M18" i="7"/>
  <c r="L18" i="7"/>
  <c r="K18" i="7"/>
  <c r="I18" i="7"/>
  <c r="H18" i="7"/>
  <c r="G18" i="7"/>
  <c r="F18" i="7"/>
  <c r="O17" i="7"/>
  <c r="N17" i="7"/>
  <c r="M17" i="7"/>
  <c r="L17" i="7"/>
  <c r="K17" i="7"/>
  <c r="J17" i="7"/>
  <c r="H17" i="7"/>
  <c r="G17" i="7"/>
  <c r="F17" i="7"/>
  <c r="O15" i="7"/>
  <c r="O14" i="7"/>
  <c r="N15" i="7"/>
  <c r="N14" i="7"/>
  <c r="M15" i="7"/>
  <c r="M14" i="7"/>
  <c r="L15" i="7"/>
  <c r="L14" i="7"/>
  <c r="K15" i="7"/>
  <c r="K14" i="7"/>
  <c r="J15" i="7"/>
  <c r="I15" i="7"/>
  <c r="I14" i="7"/>
  <c r="H15" i="7"/>
  <c r="H14" i="7"/>
  <c r="G15" i="7"/>
  <c r="G14" i="7"/>
  <c r="F15" i="7"/>
  <c r="F14" i="7"/>
  <c r="O13" i="7"/>
  <c r="N13" i="7"/>
  <c r="M13" i="7"/>
  <c r="L13" i="7"/>
  <c r="K13" i="7"/>
  <c r="J13" i="7"/>
  <c r="I13" i="7"/>
  <c r="H13" i="7"/>
  <c r="G13" i="7"/>
  <c r="F13" i="7"/>
  <c r="C29" i="7"/>
  <c r="C26" i="7"/>
  <c r="C19" i="7"/>
  <c r="C18" i="7"/>
  <c r="C22" i="7" s="1"/>
  <c r="C17" i="7"/>
  <c r="C15" i="7"/>
  <c r="C14" i="7"/>
  <c r="C13" i="7"/>
  <c r="W61" i="3"/>
  <c r="V61" i="3"/>
  <c r="U61" i="3"/>
  <c r="T61" i="3"/>
  <c r="S61" i="3"/>
  <c r="R61" i="3"/>
  <c r="Q61" i="3"/>
  <c r="P61" i="3"/>
  <c r="O61" i="3"/>
  <c r="N61" i="3"/>
  <c r="W60" i="3"/>
  <c r="V60" i="3"/>
  <c r="U60" i="3"/>
  <c r="T60" i="3"/>
  <c r="S60" i="3"/>
  <c r="Q60" i="3"/>
  <c r="P60" i="3"/>
  <c r="O60" i="3"/>
  <c r="N60" i="3"/>
  <c r="W59" i="3"/>
  <c r="V59" i="3"/>
  <c r="U59" i="3"/>
  <c r="T59" i="3"/>
  <c r="S59" i="3"/>
  <c r="R59" i="3"/>
  <c r="Q59" i="3"/>
  <c r="P59" i="3"/>
  <c r="O59" i="3"/>
  <c r="N59" i="3"/>
  <c r="K61" i="3"/>
  <c r="J61" i="3"/>
  <c r="J60" i="3"/>
  <c r="J59" i="3"/>
  <c r="H60" i="3"/>
  <c r="H59" i="3"/>
  <c r="X103" i="5"/>
  <c r="W103" i="5"/>
  <c r="V103" i="5"/>
  <c r="U103" i="5"/>
  <c r="T103" i="5"/>
  <c r="S103" i="5"/>
  <c r="R103" i="5"/>
  <c r="Q103" i="5"/>
  <c r="P103" i="5"/>
  <c r="O103" i="5"/>
  <c r="X102" i="5"/>
  <c r="W102" i="5"/>
  <c r="V102" i="5"/>
  <c r="U102" i="5"/>
  <c r="T102" i="5"/>
  <c r="R102" i="5"/>
  <c r="Q102" i="5"/>
  <c r="P102" i="5"/>
  <c r="O102" i="5"/>
  <c r="X101" i="5"/>
  <c r="W101" i="5"/>
  <c r="V101" i="5"/>
  <c r="U101" i="5"/>
  <c r="T101" i="5"/>
  <c r="S101" i="5"/>
  <c r="Q101" i="5"/>
  <c r="P101" i="5"/>
  <c r="O101" i="5"/>
  <c r="K103" i="5"/>
  <c r="K102" i="5"/>
  <c r="K101" i="5"/>
  <c r="I102" i="5"/>
  <c r="I101" i="5"/>
  <c r="W28" i="4"/>
  <c r="V28" i="4"/>
  <c r="U28" i="4"/>
  <c r="T28" i="4"/>
  <c r="S28" i="4"/>
  <c r="Q28" i="4"/>
  <c r="P28" i="4"/>
  <c r="O28" i="4"/>
  <c r="N28" i="4"/>
  <c r="J28" i="4"/>
  <c r="H28" i="4"/>
  <c r="X60" i="6"/>
  <c r="W60" i="6"/>
  <c r="V60" i="6"/>
  <c r="U60" i="6"/>
  <c r="T60" i="6"/>
  <c r="R60" i="6"/>
  <c r="Q60" i="6"/>
  <c r="P60" i="6"/>
  <c r="O60" i="6"/>
  <c r="K60" i="6"/>
  <c r="O27" i="7"/>
  <c r="N27" i="7"/>
  <c r="M27" i="7"/>
  <c r="L27" i="7"/>
  <c r="K27" i="7"/>
  <c r="I27" i="7"/>
  <c r="H27" i="7"/>
  <c r="G27" i="7"/>
  <c r="F27" i="7"/>
  <c r="C27" i="7"/>
  <c r="O24" i="7"/>
  <c r="N24" i="7"/>
  <c r="M24" i="7"/>
  <c r="L24" i="7"/>
  <c r="K24" i="7"/>
  <c r="I24" i="7"/>
  <c r="H24" i="7"/>
  <c r="G24" i="7"/>
  <c r="F24" i="7"/>
  <c r="C24" i="7"/>
  <c r="X61" i="6"/>
  <c r="W61" i="6"/>
  <c r="V61" i="6"/>
  <c r="U61" i="6"/>
  <c r="T61" i="6"/>
  <c r="S61" i="6"/>
  <c r="R61" i="6"/>
  <c r="Q61" i="6"/>
  <c r="P61" i="6"/>
  <c r="O61" i="6"/>
  <c r="K61" i="6"/>
  <c r="I61" i="6"/>
  <c r="X59" i="6"/>
  <c r="W59" i="6"/>
  <c r="V59" i="6"/>
  <c r="U59" i="6"/>
  <c r="T59" i="6"/>
  <c r="R59" i="6"/>
  <c r="Q59" i="6"/>
  <c r="P59" i="6"/>
  <c r="O59" i="6"/>
  <c r="K59" i="6"/>
  <c r="W29" i="4"/>
  <c r="V29" i="4"/>
  <c r="U29" i="4"/>
  <c r="T29" i="4"/>
  <c r="S29" i="4"/>
  <c r="R29" i="4"/>
  <c r="Q29" i="4"/>
  <c r="P29" i="4"/>
  <c r="O29" i="4"/>
  <c r="N29" i="4"/>
  <c r="K29" i="4"/>
  <c r="H29" i="4"/>
  <c r="I103" i="5"/>
  <c r="H61" i="3"/>
  <c r="H27" i="4"/>
  <c r="J27" i="4"/>
  <c r="W27" i="4"/>
  <c r="V27" i="4"/>
  <c r="U27" i="4"/>
  <c r="T27" i="4"/>
  <c r="S27" i="4"/>
  <c r="Q27" i="4"/>
  <c r="P27" i="4"/>
  <c r="O27" i="4"/>
  <c r="N27" i="4"/>
  <c r="O16" i="7"/>
  <c r="N16" i="7"/>
  <c r="M16" i="7"/>
  <c r="L16" i="7"/>
  <c r="K16" i="7"/>
  <c r="H16" i="7"/>
  <c r="O12" i="7"/>
  <c r="N12" i="7"/>
  <c r="M12" i="7"/>
  <c r="L12" i="7"/>
  <c r="K12" i="7"/>
  <c r="I12" i="7"/>
  <c r="H12" i="7"/>
  <c r="Y3" i="5"/>
  <c r="Z3" i="5"/>
  <c r="AA3" i="5" s="1"/>
  <c r="Y4" i="5"/>
  <c r="Z4" i="5"/>
  <c r="AA4" i="5" s="1"/>
  <c r="Y5" i="5"/>
  <c r="Z5" i="5"/>
  <c r="AA5" i="5" s="1"/>
  <c r="AB5" i="5"/>
  <c r="Y6" i="5"/>
  <c r="Z6" i="5"/>
  <c r="AA6" i="5" s="1"/>
  <c r="Y7" i="5"/>
  <c r="Z7" i="5"/>
  <c r="AA7" i="5" s="1"/>
  <c r="AB7" i="5"/>
  <c r="Y8" i="5"/>
  <c r="Z8" i="5"/>
  <c r="AA8" i="5" s="1"/>
  <c r="AB8" i="5"/>
  <c r="Y9" i="5"/>
  <c r="Z9" i="5"/>
  <c r="AA9" i="5" s="1"/>
  <c r="Y10" i="5"/>
  <c r="Z10" i="5"/>
  <c r="AA10" i="5" s="1"/>
  <c r="AB10" i="5"/>
  <c r="Y14" i="5"/>
  <c r="Z14" i="5"/>
  <c r="AA14" i="5" s="1"/>
  <c r="O58" i="3"/>
  <c r="X3" i="3"/>
  <c r="Y3" i="3"/>
  <c r="Z3" i="3" s="1"/>
  <c r="X4" i="3"/>
  <c r="Y4" i="3"/>
  <c r="Z4" i="3" s="1"/>
  <c r="X6" i="3"/>
  <c r="Y6" i="3"/>
  <c r="Z6" i="3" s="1"/>
  <c r="X9" i="3"/>
  <c r="Y9" i="3"/>
  <c r="Z9" i="3" s="1"/>
  <c r="X10" i="3"/>
  <c r="Y10" i="3"/>
  <c r="Z10" i="3" s="1"/>
  <c r="X12" i="3"/>
  <c r="Y12" i="3"/>
  <c r="Z12" i="3" s="1"/>
  <c r="X7" i="3"/>
  <c r="Y7" i="3"/>
  <c r="Z7" i="3" s="1"/>
  <c r="G12" i="7"/>
  <c r="G16" i="7"/>
  <c r="F16" i="7"/>
  <c r="F12" i="7"/>
  <c r="C16" i="7"/>
  <c r="C12" i="7"/>
  <c r="X100" i="5"/>
  <c r="W100" i="5"/>
  <c r="V100" i="5"/>
  <c r="U100" i="5"/>
  <c r="T100" i="5"/>
  <c r="Q100" i="5"/>
  <c r="P100" i="5"/>
  <c r="O100" i="5"/>
  <c r="K100" i="5"/>
  <c r="I100" i="5"/>
  <c r="W58" i="3"/>
  <c r="V58" i="3"/>
  <c r="U58" i="3"/>
  <c r="T58" i="3"/>
  <c r="S58" i="3"/>
  <c r="Q58" i="3"/>
  <c r="P58" i="3"/>
  <c r="N58" i="3"/>
  <c r="J58" i="3"/>
  <c r="H58" i="3"/>
  <c r="AA4" i="3"/>
  <c r="AA3" i="3"/>
  <c r="E15" i="7"/>
  <c r="L26" i="3"/>
  <c r="AA26" i="3" s="1"/>
  <c r="M72" i="5"/>
  <c r="AB72" i="5" s="1"/>
  <c r="Y72" i="5"/>
  <c r="Z72" i="5"/>
  <c r="AA72" i="5" s="1"/>
  <c r="Y85" i="5"/>
  <c r="Z73" i="5"/>
  <c r="AA73" i="5" s="1"/>
  <c r="M85" i="5"/>
  <c r="AB85" i="5" s="1"/>
  <c r="Y73" i="5"/>
  <c r="E19" i="7"/>
  <c r="L103" i="5"/>
  <c r="S87" i="5"/>
  <c r="Y87" i="5" s="1"/>
  <c r="Z87" i="5"/>
  <c r="AA87" i="5" s="1"/>
  <c r="X11" i="3"/>
  <c r="L11" i="4"/>
  <c r="Y5" i="3"/>
  <c r="Z5" i="3" s="1"/>
  <c r="X13" i="3"/>
  <c r="L5" i="3"/>
  <c r="AA5" i="3" s="1"/>
  <c r="R46" i="3"/>
  <c r="X46" i="3" s="1"/>
  <c r="Y46" i="3"/>
  <c r="Z46" i="3" s="1"/>
  <c r="L20" i="4"/>
  <c r="AA20" i="4" s="1"/>
  <c r="Y45" i="3"/>
  <c r="Z45" i="3" s="1"/>
  <c r="Y48" i="3"/>
  <c r="Z48" i="3" s="1"/>
  <c r="L48" i="3"/>
  <c r="AA48" i="3" s="1"/>
  <c r="X8" i="3"/>
  <c r="R45" i="3"/>
  <c r="X45" i="3" s="1"/>
  <c r="Y37" i="3"/>
  <c r="Z37" i="3" s="1"/>
  <c r="R37" i="3"/>
  <c r="X37" i="3" s="1"/>
  <c r="M90" i="5"/>
  <c r="AB90" i="5" s="1"/>
  <c r="S80" i="5"/>
  <c r="Y80" i="5" s="1"/>
  <c r="Y8" i="3"/>
  <c r="Z8" i="3" s="1"/>
  <c r="L8" i="3"/>
  <c r="R39" i="3"/>
  <c r="X39" i="3" s="1"/>
  <c r="Y43" i="3"/>
  <c r="Z43" i="3" s="1"/>
  <c r="L43" i="3"/>
  <c r="AA43" i="3" s="1"/>
  <c r="R43" i="3"/>
  <c r="X43" i="3" s="1"/>
  <c r="Y50" i="3"/>
  <c r="Z50" i="3" s="1"/>
  <c r="X50" i="3"/>
  <c r="Y25" i="4"/>
  <c r="Z25" i="4" s="1"/>
  <c r="Y19" i="4"/>
  <c r="Z19" i="4" s="1"/>
  <c r="R19" i="4"/>
  <c r="X19" i="4" s="1"/>
  <c r="R25" i="4"/>
  <c r="X25" i="4" s="1"/>
  <c r="R16" i="4"/>
  <c r="X20" i="4"/>
  <c r="Y20" i="4"/>
  <c r="Z20" i="4" s="1"/>
  <c r="L6" i="4"/>
  <c r="AA6" i="4" s="1"/>
  <c r="L16" i="4"/>
  <c r="AA16" i="4" s="1"/>
  <c r="L5" i="4"/>
  <c r="AA5" i="4" s="1"/>
  <c r="L19" i="4"/>
  <c r="AA19" i="4" s="1"/>
  <c r="X51" i="3"/>
  <c r="M29" i="6"/>
  <c r="AB29" i="6" s="1"/>
  <c r="M34" i="6"/>
  <c r="AB34" i="6" s="1"/>
  <c r="S50" i="6"/>
  <c r="Y50" i="6" s="1"/>
  <c r="M46" i="6"/>
  <c r="M38" i="6"/>
  <c r="AB38" i="6" s="1"/>
  <c r="S20" i="6"/>
  <c r="Y20" i="6" s="1"/>
  <c r="Z20" i="6"/>
  <c r="AA20" i="6" s="1"/>
  <c r="Y8" i="4"/>
  <c r="Z8" i="4" s="1"/>
  <c r="Y17" i="4"/>
  <c r="Z17" i="4" s="1"/>
  <c r="L57" i="3"/>
  <c r="AA57" i="3" s="1"/>
  <c r="L25" i="4"/>
  <c r="AA25" i="4" s="1"/>
  <c r="Y12" i="4"/>
  <c r="Z12" i="4" s="1"/>
  <c r="L9" i="4"/>
  <c r="AA9" i="4" s="1"/>
  <c r="Y5" i="4"/>
  <c r="Z5" i="4" s="1"/>
  <c r="L12" i="4"/>
  <c r="AA12" i="4" s="1"/>
  <c r="L44" i="3"/>
  <c r="AA44" i="3" s="1"/>
  <c r="Y44" i="3"/>
  <c r="Z44" i="3" s="1"/>
  <c r="Y30" i="3"/>
  <c r="Z30" i="3" s="1"/>
  <c r="L54" i="3"/>
  <c r="AA54" i="3" s="1"/>
  <c r="Y26" i="3"/>
  <c r="Z26" i="3" s="1"/>
  <c r="L47" i="3"/>
  <c r="R49" i="3"/>
  <c r="X49" i="3" s="1"/>
  <c r="Y49" i="3"/>
  <c r="Z49" i="3" s="1"/>
  <c r="R32" i="3"/>
  <c r="X32" i="3" s="1"/>
  <c r="L33" i="3"/>
  <c r="AA33" i="3" s="1"/>
  <c r="L34" i="3"/>
  <c r="AA34" i="3" s="1"/>
  <c r="Y27" i="3"/>
  <c r="Z27" i="3" s="1"/>
  <c r="Y34" i="3"/>
  <c r="Z34" i="3" s="1"/>
  <c r="L41" i="3"/>
  <c r="AA41" i="3" s="1"/>
  <c r="Y41" i="3"/>
  <c r="Z41" i="3" s="1"/>
  <c r="Y28" i="3"/>
  <c r="Z28" i="3" s="1"/>
  <c r="R30" i="3"/>
  <c r="X30" i="3" s="1"/>
  <c r="Z57" i="6"/>
  <c r="AA57" i="6" s="1"/>
  <c r="AB57" i="6"/>
  <c r="L39" i="3"/>
  <c r="L56" i="3"/>
  <c r="AA56" i="3" s="1"/>
  <c r="Y53" i="3"/>
  <c r="Z53" i="3" s="1"/>
  <c r="R52" i="3"/>
  <c r="X52" i="3" s="1"/>
  <c r="R56" i="3"/>
  <c r="X56" i="3" s="1"/>
  <c r="R27" i="3"/>
  <c r="X27" i="3" s="1"/>
  <c r="L27" i="3"/>
  <c r="AA27" i="3" s="1"/>
  <c r="Y39" i="3"/>
  <c r="Z39" i="3" s="1"/>
  <c r="L53" i="3"/>
  <c r="AA53" i="3" s="1"/>
  <c r="M21" i="6"/>
  <c r="Z34" i="6"/>
  <c r="AA34" i="6" s="1"/>
  <c r="Z10" i="6"/>
  <c r="AA10" i="6" s="1"/>
  <c r="M10" i="6"/>
  <c r="AB10" i="6" s="1"/>
  <c r="M8" i="6"/>
  <c r="AB8" i="6" s="1"/>
  <c r="S8" i="6"/>
  <c r="M33" i="6"/>
  <c r="AB33" i="6" s="1"/>
  <c r="M42" i="6"/>
  <c r="AB42" i="6" s="1"/>
  <c r="Y34" i="6"/>
  <c r="S33" i="6"/>
  <c r="Y33" i="6" s="1"/>
  <c r="M99" i="5"/>
  <c r="AB99" i="5" s="1"/>
  <c r="Z99" i="5"/>
  <c r="AA99" i="5" s="1"/>
  <c r="M30" i="6"/>
  <c r="AB30" i="6" s="1"/>
  <c r="S30" i="6"/>
  <c r="Y30" i="6" s="1"/>
  <c r="S21" i="6"/>
  <c r="Y21" i="6" s="1"/>
  <c r="Z48" i="6"/>
  <c r="AA48" i="6" s="1"/>
  <c r="M43" i="6"/>
  <c r="AB43" i="6" s="1"/>
  <c r="Z17" i="6"/>
  <c r="AA17" i="6" s="1"/>
  <c r="M14" i="6"/>
  <c r="AB14" i="6" s="1"/>
  <c r="S14" i="6"/>
  <c r="Y14" i="6" s="1"/>
  <c r="AA14" i="6"/>
  <c r="Z38" i="6"/>
  <c r="AA38" i="6" s="1"/>
  <c r="Y38" i="6"/>
  <c r="M54" i="6"/>
  <c r="AB54" i="6" s="1"/>
  <c r="Z54" i="6"/>
  <c r="AA54" i="6" s="1"/>
  <c r="Y22" i="6"/>
  <c r="M22" i="6"/>
  <c r="AB22" i="6" s="1"/>
  <c r="M5" i="6"/>
  <c r="AB5" i="6" s="1"/>
  <c r="Z41" i="6"/>
  <c r="AA41" i="6" s="1"/>
  <c r="S41" i="6"/>
  <c r="Y41" i="6" s="1"/>
  <c r="M41" i="6"/>
  <c r="AB41" i="6" s="1"/>
  <c r="M17" i="6"/>
  <c r="AB17" i="6" s="1"/>
  <c r="Z22" i="6"/>
  <c r="AA22" i="6" s="1"/>
  <c r="Z29" i="6"/>
  <c r="AA29" i="6" s="1"/>
  <c r="S29" i="6"/>
  <c r="Y29" i="6" s="1"/>
  <c r="M49" i="6"/>
  <c r="AB49" i="6" s="1"/>
  <c r="Y43" i="6"/>
  <c r="Z51" i="6"/>
  <c r="AA51" i="6" s="1"/>
  <c r="Z43" i="6"/>
  <c r="AA43" i="6" s="1"/>
  <c r="Y42" i="6"/>
  <c r="Z50" i="6"/>
  <c r="AA50" i="6" s="1"/>
  <c r="Z46" i="6"/>
  <c r="AA46" i="6" s="1"/>
  <c r="Z42" i="6"/>
  <c r="AA42" i="6" s="1"/>
  <c r="M69" i="5"/>
  <c r="AB69" i="5" s="1"/>
  <c r="Z74" i="5"/>
  <c r="AA74" i="5" s="1"/>
  <c r="AA39" i="3"/>
  <c r="M89" i="5"/>
  <c r="AB89" i="5" s="1"/>
  <c r="M11" i="5"/>
  <c r="AB11" i="5" s="1"/>
  <c r="Y93" i="5"/>
  <c r="M80" i="5"/>
  <c r="AB80" i="5" s="1"/>
  <c r="Z80" i="5"/>
  <c r="AA80" i="5" s="1"/>
  <c r="S69" i="5"/>
  <c r="Y69" i="5" s="1"/>
  <c r="Y28" i="5"/>
  <c r="Z89" i="5" l="1"/>
  <c r="AA89" i="5" s="1"/>
  <c r="Y12" i="5"/>
  <c r="M20" i="5"/>
  <c r="AB20" i="5" s="1"/>
  <c r="Z91" i="5"/>
  <c r="AA91" i="5" s="1"/>
  <c r="Y15" i="5"/>
  <c r="S78" i="5"/>
  <c r="Y78" i="5" s="1"/>
  <c r="Z86" i="5"/>
  <c r="AA86" i="5" s="1"/>
  <c r="Y20" i="5"/>
  <c r="S91" i="5"/>
  <c r="Y91" i="5" s="1"/>
  <c r="Z21" i="5"/>
  <c r="AA21" i="5" s="1"/>
  <c r="M28" i="5"/>
  <c r="AB28" i="5" s="1"/>
  <c r="Z15" i="5"/>
  <c r="AA15" i="5" s="1"/>
  <c r="S68" i="5"/>
  <c r="Y68" i="5" s="1"/>
  <c r="Y11" i="5"/>
  <c r="I17" i="7"/>
  <c r="I21" i="7" s="1"/>
  <c r="I34" i="7" s="1"/>
  <c r="M64" i="5"/>
  <c r="AB64" i="5" s="1"/>
  <c r="S64" i="5"/>
  <c r="Y64" i="5" s="1"/>
  <c r="S86" i="5"/>
  <c r="Y86" i="5" s="1"/>
  <c r="M78" i="5"/>
  <c r="AB78" i="5" s="1"/>
  <c r="Z71" i="5"/>
  <c r="AA71" i="5" s="1"/>
  <c r="R101" i="5"/>
  <c r="Y21" i="5"/>
  <c r="M71" i="5"/>
  <c r="AB71" i="5" s="1"/>
  <c r="Z68" i="5"/>
  <c r="AA68" i="5" s="1"/>
  <c r="Z12" i="5"/>
  <c r="AA12" i="5" s="1"/>
  <c r="Z29" i="5"/>
  <c r="AA29" i="5" s="1"/>
  <c r="Z65" i="5"/>
  <c r="AA65" i="5" s="1"/>
  <c r="M75" i="5"/>
  <c r="M19" i="5"/>
  <c r="AB19" i="5" s="1"/>
  <c r="Y19" i="5"/>
  <c r="Y29" i="5"/>
  <c r="M74" i="5"/>
  <c r="AB74" i="5" s="1"/>
  <c r="M65" i="5"/>
  <c r="AB65" i="5" s="1"/>
  <c r="AB29" i="5"/>
  <c r="M82" i="5"/>
  <c r="AB82" i="5" s="1"/>
  <c r="M103" i="5"/>
  <c r="AB103" i="5" s="1"/>
  <c r="Z25" i="5"/>
  <c r="AA25" i="5" s="1"/>
  <c r="B16" i="7"/>
  <c r="X18" i="4"/>
  <c r="Y18" i="4"/>
  <c r="Z18" i="4" s="1"/>
  <c r="L26" i="4"/>
  <c r="AA26" i="4" s="1"/>
  <c r="L18" i="4"/>
  <c r="AA18" i="4" s="1"/>
  <c r="R26" i="4"/>
  <c r="X26" i="4" s="1"/>
  <c r="AB75" i="5"/>
  <c r="M21" i="7"/>
  <c r="M34" i="7" s="1"/>
  <c r="R35" i="3"/>
  <c r="L31" i="3"/>
  <c r="AA31" i="3" s="1"/>
  <c r="Z75" i="5"/>
  <c r="AA75" i="5" s="1"/>
  <c r="E12" i="7"/>
  <c r="Y75" i="5"/>
  <c r="Y35" i="3"/>
  <c r="Z35" i="3" s="1"/>
  <c r="G21" i="7"/>
  <c r="G34" i="7" s="1"/>
  <c r="R38" i="3"/>
  <c r="X38" i="3" s="1"/>
  <c r="L14" i="4"/>
  <c r="AA14" i="4" s="1"/>
  <c r="L30" i="7"/>
  <c r="L52" i="3"/>
  <c r="AA52" i="3" s="1"/>
  <c r="X25" i="3"/>
  <c r="R31" i="3"/>
  <c r="X31" i="3" s="1"/>
  <c r="Y38" i="3"/>
  <c r="Z38" i="3" s="1"/>
  <c r="Y26" i="6"/>
  <c r="S13" i="6"/>
  <c r="Y13" i="6" s="1"/>
  <c r="M26" i="6"/>
  <c r="AB26" i="6" s="1"/>
  <c r="Z26" i="6"/>
  <c r="AA26" i="6" s="1"/>
  <c r="Y45" i="6"/>
  <c r="I32" i="7"/>
  <c r="Z37" i="6"/>
  <c r="AA37" i="6" s="1"/>
  <c r="S53" i="6"/>
  <c r="Y53" i="6" s="1"/>
  <c r="Z56" i="6"/>
  <c r="AA56" i="6" s="1"/>
  <c r="J32" i="7"/>
  <c r="AB39" i="6"/>
  <c r="S39" i="6"/>
  <c r="Y39" i="6" s="1"/>
  <c r="S19" i="6"/>
  <c r="Y19" i="6" s="1"/>
  <c r="M30" i="7"/>
  <c r="Z39" i="6"/>
  <c r="AA39" i="6" s="1"/>
  <c r="R6" i="4"/>
  <c r="X6" i="4" s="1"/>
  <c r="L21" i="4"/>
  <c r="AA21" i="4" s="1"/>
  <c r="L13" i="4"/>
  <c r="AA13" i="4" s="1"/>
  <c r="Y13" i="4"/>
  <c r="Z13" i="4" s="1"/>
  <c r="Y21" i="4"/>
  <c r="Z21" i="4" s="1"/>
  <c r="X14" i="4"/>
  <c r="L22" i="4"/>
  <c r="AA22" i="4" s="1"/>
  <c r="G30" i="7"/>
  <c r="Y14" i="4"/>
  <c r="Z14" i="4" s="1"/>
  <c r="Y22" i="4"/>
  <c r="Z22" i="4" s="1"/>
  <c r="R23" i="4"/>
  <c r="X23" i="4" s="1"/>
  <c r="L7" i="4"/>
  <c r="AA7" i="4" s="1"/>
  <c r="R9" i="4"/>
  <c r="X9" i="4" s="1"/>
  <c r="E25" i="7"/>
  <c r="X29" i="4"/>
  <c r="Y7" i="4"/>
  <c r="Z7" i="4" s="1"/>
  <c r="S36" i="6"/>
  <c r="Y36" i="6" s="1"/>
  <c r="Z13" i="6"/>
  <c r="AA13" i="6" s="1"/>
  <c r="M31" i="7"/>
  <c r="AB13" i="6"/>
  <c r="I22" i="7"/>
  <c r="M23" i="7"/>
  <c r="O22" i="7"/>
  <c r="Z32" i="6"/>
  <c r="AA32" i="6" s="1"/>
  <c r="M44" i="6"/>
  <c r="AB44" i="6" s="1"/>
  <c r="S7" i="6"/>
  <c r="Y7" i="6" s="1"/>
  <c r="M55" i="6"/>
  <c r="AB55" i="6" s="1"/>
  <c r="M32" i="6"/>
  <c r="AB32" i="6" s="1"/>
  <c r="C31" i="7"/>
  <c r="C35" i="7" s="1"/>
  <c r="N31" i="7"/>
  <c r="S6" i="6"/>
  <c r="Y6" i="6" s="1"/>
  <c r="S16" i="6"/>
  <c r="Y16" i="6" s="1"/>
  <c r="L32" i="7"/>
  <c r="Z52" i="6"/>
  <c r="AA52" i="6" s="1"/>
  <c r="O30" i="7"/>
  <c r="S44" i="6"/>
  <c r="Y44" i="6" s="1"/>
  <c r="M6" i="6"/>
  <c r="AB6" i="6" s="1"/>
  <c r="M36" i="6"/>
  <c r="AB36" i="6" s="1"/>
  <c r="M7" i="6"/>
  <c r="AB7" i="6" s="1"/>
  <c r="Z55" i="6"/>
  <c r="AA55" i="6" s="1"/>
  <c r="O20" i="7"/>
  <c r="Z45" i="6"/>
  <c r="AA45" i="6" s="1"/>
  <c r="M37" i="6"/>
  <c r="AB37" i="6" s="1"/>
  <c r="S56" i="6"/>
  <c r="Y56" i="6" s="1"/>
  <c r="Z53" i="6"/>
  <c r="AA53" i="6" s="1"/>
  <c r="M9" i="6"/>
  <c r="AB9" i="6" s="1"/>
  <c r="Y37" i="6"/>
  <c r="M25" i="6"/>
  <c r="AB25" i="6" s="1"/>
  <c r="Z25" i="6"/>
  <c r="AA25" i="6" s="1"/>
  <c r="S9" i="6"/>
  <c r="Y9" i="6" s="1"/>
  <c r="M19" i="6"/>
  <c r="AB19" i="6" s="1"/>
  <c r="K30" i="7"/>
  <c r="M79" i="5"/>
  <c r="AB79" i="5" s="1"/>
  <c r="S82" i="5"/>
  <c r="Y82" i="5" s="1"/>
  <c r="S79" i="5"/>
  <c r="Y79" i="5" s="1"/>
  <c r="N23" i="7"/>
  <c r="G22" i="7"/>
  <c r="F23" i="7"/>
  <c r="M77" i="5"/>
  <c r="AB77" i="5" s="1"/>
  <c r="S77" i="5"/>
  <c r="Y77" i="5" s="1"/>
  <c r="Z70" i="5"/>
  <c r="AA70" i="5" s="1"/>
  <c r="M47" i="6"/>
  <c r="AB47" i="6" s="1"/>
  <c r="AB18" i="6"/>
  <c r="S58" i="6"/>
  <c r="Y58" i="6" s="1"/>
  <c r="Z18" i="6"/>
  <c r="AA18" i="6" s="1"/>
  <c r="S5" i="6"/>
  <c r="Y5" i="6" s="1"/>
  <c r="F31" i="7"/>
  <c r="O31" i="7"/>
  <c r="F30" i="7"/>
  <c r="G31" i="7"/>
  <c r="M32" i="7"/>
  <c r="M35" i="6"/>
  <c r="AB35" i="6" s="1"/>
  <c r="S18" i="6"/>
  <c r="Y18" i="6" s="1"/>
  <c r="H31" i="7"/>
  <c r="Y4" i="6"/>
  <c r="Z47" i="6"/>
  <c r="AA47" i="6" s="1"/>
  <c r="I31" i="7"/>
  <c r="I35" i="7" s="1"/>
  <c r="C32" i="7"/>
  <c r="M40" i="6"/>
  <c r="AB40" i="6" s="1"/>
  <c r="Z103" i="5"/>
  <c r="N20" i="7"/>
  <c r="O23" i="7"/>
  <c r="G23" i="7"/>
  <c r="Z76" i="5"/>
  <c r="AA76" i="5" s="1"/>
  <c r="Z67" i="5"/>
  <c r="AA67" i="5" s="1"/>
  <c r="S84" i="5"/>
  <c r="Y84" i="5" s="1"/>
  <c r="M76" i="5"/>
  <c r="AB76" i="5" s="1"/>
  <c r="M67" i="5"/>
  <c r="AB67" i="5" s="1"/>
  <c r="H20" i="7"/>
  <c r="G20" i="7"/>
  <c r="G33" i="7" s="1"/>
  <c r="L20" i="7"/>
  <c r="L33" i="7" s="1"/>
  <c r="Y76" i="5"/>
  <c r="M20" i="7"/>
  <c r="I23" i="7"/>
  <c r="I36" i="7" s="1"/>
  <c r="K20" i="7"/>
  <c r="B23" i="7"/>
  <c r="L32" i="3"/>
  <c r="AA32" i="3" s="1"/>
  <c r="X61" i="3"/>
  <c r="Y61" i="3"/>
  <c r="Y11" i="3"/>
  <c r="Z11" i="3" s="1"/>
  <c r="Z63" i="5"/>
  <c r="AA63" i="5" s="1"/>
  <c r="E17" i="7"/>
  <c r="D15" i="7"/>
  <c r="P15" i="7" s="1"/>
  <c r="Y51" i="6"/>
  <c r="M4" i="6"/>
  <c r="AB4" i="6" s="1"/>
  <c r="Y52" i="6"/>
  <c r="M15" i="6"/>
  <c r="M61" i="6" s="1"/>
  <c r="Y15" i="6"/>
  <c r="X33" i="3"/>
  <c r="R42" i="3"/>
  <c r="X42" i="3" s="1"/>
  <c r="L3" i="4"/>
  <c r="AA3" i="4" s="1"/>
  <c r="L4" i="4"/>
  <c r="AA4" i="4" s="1"/>
  <c r="S81" i="5"/>
  <c r="Y81" i="5" s="1"/>
  <c r="L17" i="4"/>
  <c r="AA17" i="4" s="1"/>
  <c r="S83" i="5"/>
  <c r="Y83" i="5" s="1"/>
  <c r="C20" i="7"/>
  <c r="C30" i="7"/>
  <c r="N30" i="7"/>
  <c r="F22" i="7"/>
  <c r="K31" i="7"/>
  <c r="H32" i="7"/>
  <c r="X48" i="3"/>
  <c r="E29" i="7"/>
  <c r="M27" i="6"/>
  <c r="AB27" i="6" s="1"/>
  <c r="O32" i="7"/>
  <c r="S63" i="5"/>
  <c r="Y63" i="5" s="1"/>
  <c r="M25" i="5"/>
  <c r="AB25" i="5" s="1"/>
  <c r="AB94" i="5"/>
  <c r="S11" i="6"/>
  <c r="Y11" i="6" s="1"/>
  <c r="S35" i="6"/>
  <c r="Y35" i="6" s="1"/>
  <c r="M58" i="6"/>
  <c r="AB58" i="6" s="1"/>
  <c r="L42" i="3"/>
  <c r="AA42" i="3" s="1"/>
  <c r="L25" i="3"/>
  <c r="Z27" i="6"/>
  <c r="AA27" i="6" s="1"/>
  <c r="S40" i="6"/>
  <c r="Y40" i="6" s="1"/>
  <c r="L29" i="4"/>
  <c r="AA29" i="4" s="1"/>
  <c r="Z23" i="6"/>
  <c r="AA23" i="6" s="1"/>
  <c r="Y33" i="3"/>
  <c r="Z33" i="3" s="1"/>
  <c r="H21" i="7"/>
  <c r="H34" i="7" s="1"/>
  <c r="L31" i="7"/>
  <c r="L102" i="5"/>
  <c r="Z102" i="5" s="1"/>
  <c r="G32" i="7"/>
  <c r="E16" i="7"/>
  <c r="E20" i="7" s="1"/>
  <c r="Y46" i="6"/>
  <c r="Z4" i="6"/>
  <c r="AA4" i="6" s="1"/>
  <c r="E14" i="7"/>
  <c r="D26" i="7"/>
  <c r="P26" i="7" s="1"/>
  <c r="E24" i="7"/>
  <c r="Z13" i="5"/>
  <c r="AA13" i="5" s="1"/>
  <c r="Z81" i="5"/>
  <c r="AA81" i="5" s="1"/>
  <c r="S23" i="6"/>
  <c r="Y23" i="6" s="1"/>
  <c r="Z83" i="5"/>
  <c r="AA83" i="5" s="1"/>
  <c r="F20" i="7"/>
  <c r="F33" i="7" s="1"/>
  <c r="K32" i="7"/>
  <c r="N32" i="7"/>
  <c r="D19" i="7"/>
  <c r="P19" i="7" s="1"/>
  <c r="L60" i="6"/>
  <c r="Z60" i="6" s="1"/>
  <c r="M51" i="6"/>
  <c r="AB51" i="6" s="1"/>
  <c r="Z88" i="5"/>
  <c r="AA88" i="5" s="1"/>
  <c r="Z11" i="6"/>
  <c r="AA11" i="6" s="1"/>
  <c r="M3" i="6"/>
  <c r="AB3" i="6" s="1"/>
  <c r="Y25" i="3"/>
  <c r="Z25" i="3" s="1"/>
  <c r="L23" i="4"/>
  <c r="AA23" i="4" s="1"/>
  <c r="Y13" i="5"/>
  <c r="AB81" i="5"/>
  <c r="L40" i="3"/>
  <c r="AA40" i="3" s="1"/>
  <c r="H30" i="7"/>
  <c r="AA49" i="3"/>
  <c r="Z90" i="5"/>
  <c r="AA90" i="5" s="1"/>
  <c r="Z93" i="5"/>
  <c r="AA93" i="5" s="1"/>
  <c r="M17" i="5"/>
  <c r="AB17" i="5" s="1"/>
  <c r="Y17" i="5"/>
  <c r="S88" i="5"/>
  <c r="Y88" i="5" s="1"/>
  <c r="S70" i="5"/>
  <c r="Y70" i="5" s="1"/>
  <c r="AB46" i="6"/>
  <c r="R54" i="3"/>
  <c r="X54" i="3" s="1"/>
  <c r="R47" i="3"/>
  <c r="X47" i="3" s="1"/>
  <c r="K28" i="4"/>
  <c r="Y28" i="4" s="1"/>
  <c r="S12" i="6"/>
  <c r="Y12" i="6" s="1"/>
  <c r="S3" i="6"/>
  <c r="Y3" i="6" s="1"/>
  <c r="Y23" i="4"/>
  <c r="Z23" i="4" s="1"/>
  <c r="R4" i="4"/>
  <c r="X4" i="4" s="1"/>
  <c r="AB13" i="5"/>
  <c r="I30" i="7"/>
  <c r="C21" i="7"/>
  <c r="C34" i="7" s="1"/>
  <c r="Q15" i="7"/>
  <c r="AA46" i="3"/>
  <c r="AB83" i="5"/>
  <c r="X41" i="3"/>
  <c r="K60" i="3"/>
  <c r="Y60" i="3" s="1"/>
  <c r="L61" i="3"/>
  <c r="AA61" i="3" s="1"/>
  <c r="AA47" i="3"/>
  <c r="Y40" i="3"/>
  <c r="Z40" i="3" s="1"/>
  <c r="Y3" i="4"/>
  <c r="Z3" i="4" s="1"/>
  <c r="Z12" i="6"/>
  <c r="AA12" i="6" s="1"/>
  <c r="X16" i="4"/>
  <c r="E13" i="7"/>
  <c r="Q13" i="7" s="1"/>
  <c r="E23" i="7"/>
  <c r="L61" i="6"/>
  <c r="L22" i="7"/>
  <c r="B31" i="7"/>
  <c r="B35" i="7" s="1"/>
  <c r="L11" i="3"/>
  <c r="L13" i="3"/>
  <c r="AA13" i="3" s="1"/>
  <c r="F21" i="7"/>
  <c r="F34" i="7" s="1"/>
  <c r="O21" i="7"/>
  <c r="O34" i="7" s="1"/>
  <c r="N21" i="7"/>
  <c r="N34" i="7" s="1"/>
  <c r="Y103" i="5"/>
  <c r="K21" i="7"/>
  <c r="K34" i="7" s="1"/>
  <c r="N22" i="7"/>
  <c r="B21" i="7"/>
  <c r="B34" i="7" s="1"/>
  <c r="J21" i="7"/>
  <c r="J34" i="7" s="1"/>
  <c r="K22" i="7"/>
  <c r="M22" i="7"/>
  <c r="K23" i="7"/>
  <c r="L23" i="7"/>
  <c r="Y24" i="5"/>
  <c r="AA8" i="3"/>
  <c r="K59" i="3"/>
  <c r="K58" i="3"/>
  <c r="M23" i="5"/>
  <c r="Y23" i="5"/>
  <c r="Z23" i="5"/>
  <c r="AA23" i="5" s="1"/>
  <c r="M24" i="5"/>
  <c r="AB24" i="5" s="1"/>
  <c r="M28" i="6"/>
  <c r="AB28" i="6" s="1"/>
  <c r="H23" i="7"/>
  <c r="Q19" i="7"/>
  <c r="Y29" i="4"/>
  <c r="S48" i="6"/>
  <c r="Y48" i="6" s="1"/>
  <c r="AB48" i="6"/>
  <c r="Y8" i="6"/>
  <c r="L59" i="6"/>
  <c r="AB16" i="6"/>
  <c r="Z16" i="6"/>
  <c r="AA16" i="6" s="1"/>
  <c r="M31" i="6"/>
  <c r="AB31" i="6" s="1"/>
  <c r="S31" i="6"/>
  <c r="Y31" i="6" s="1"/>
  <c r="Z49" i="6"/>
  <c r="AA49" i="6" s="1"/>
  <c r="S49" i="6"/>
  <c r="Y49" i="6" s="1"/>
  <c r="L101" i="5"/>
  <c r="Z28" i="6"/>
  <c r="AA28" i="6" s="1"/>
  <c r="E28" i="7"/>
  <c r="B12" i="7"/>
  <c r="M84" i="5"/>
  <c r="AB84" i="5" s="1"/>
  <c r="E18" i="7"/>
  <c r="L8" i="4"/>
  <c r="AA8" i="4" s="1"/>
  <c r="B24" i="7"/>
  <c r="R8" i="4"/>
  <c r="X8" i="4" s="1"/>
  <c r="Z21" i="6"/>
  <c r="AA21" i="6" s="1"/>
  <c r="AB21" i="6"/>
  <c r="J23" i="7"/>
  <c r="AB12" i="5"/>
  <c r="E27" i="7"/>
  <c r="F32" i="7"/>
  <c r="Q26" i="7"/>
  <c r="L100" i="5"/>
  <c r="Y28" i="6"/>
  <c r="Y22" i="5"/>
  <c r="I16" i="7"/>
  <c r="I20" i="7" s="1"/>
  <c r="R15" i="4"/>
  <c r="X15" i="4" s="1"/>
  <c r="Y15" i="4"/>
  <c r="Z15" i="4" s="1"/>
  <c r="L15" i="4"/>
  <c r="AA15" i="4" s="1"/>
  <c r="M45" i="6"/>
  <c r="AB45" i="6" s="1"/>
  <c r="X35" i="3"/>
  <c r="Z16" i="5"/>
  <c r="AA16" i="5" s="1"/>
  <c r="Y16" i="5"/>
  <c r="S10" i="6"/>
  <c r="M62" i="5"/>
  <c r="S62" i="5"/>
  <c r="Y24" i="4"/>
  <c r="Z24" i="4" s="1"/>
  <c r="R24" i="4"/>
  <c r="X24" i="4" s="1"/>
  <c r="AA24" i="4"/>
  <c r="C23" i="7"/>
  <c r="L21" i="7"/>
  <c r="L34" i="7" s="1"/>
  <c r="B32" i="7"/>
  <c r="X5" i="4"/>
  <c r="K27" i="4"/>
  <c r="R11" i="4"/>
  <c r="Y11" i="4"/>
  <c r="Z11" i="4" s="1"/>
  <c r="AA11" i="4"/>
  <c r="M52" i="6"/>
  <c r="AB52" i="6" s="1"/>
  <c r="Z94" i="5"/>
  <c r="AA94" i="5" s="1"/>
  <c r="S94" i="5"/>
  <c r="Y94" i="5" s="1"/>
  <c r="S57" i="6"/>
  <c r="Y57" i="6" s="1"/>
  <c r="H22" i="7"/>
  <c r="X17" i="4"/>
  <c r="AB12" i="6"/>
  <c r="M93" i="5"/>
  <c r="AB93" i="5" s="1"/>
  <c r="X40" i="3"/>
  <c r="AA38" i="3"/>
  <c r="X26" i="3"/>
  <c r="X7" i="4"/>
  <c r="X3" i="4"/>
  <c r="AB20" i="6"/>
  <c r="X53" i="3"/>
  <c r="O36" i="7" l="1"/>
  <c r="G36" i="7"/>
  <c r="Q17" i="7"/>
  <c r="M36" i="7"/>
  <c r="J36" i="7"/>
  <c r="D13" i="7"/>
  <c r="P13" i="7" s="1"/>
  <c r="L59" i="3"/>
  <c r="AA59" i="3" s="1"/>
  <c r="L58" i="3"/>
  <c r="AA58" i="3" s="1"/>
  <c r="O35" i="7"/>
  <c r="H35" i="7"/>
  <c r="N35" i="7"/>
  <c r="M33" i="7"/>
  <c r="K33" i="7"/>
  <c r="R27" i="4"/>
  <c r="L36" i="7"/>
  <c r="M35" i="7"/>
  <c r="H36" i="7"/>
  <c r="D29" i="7"/>
  <c r="D32" i="7" s="1"/>
  <c r="H33" i="7"/>
  <c r="O33" i="7"/>
  <c r="N36" i="7"/>
  <c r="K35" i="7"/>
  <c r="AB15" i="6"/>
  <c r="S60" i="6"/>
  <c r="Y60" i="6" s="1"/>
  <c r="I33" i="7"/>
  <c r="L35" i="7"/>
  <c r="G35" i="7"/>
  <c r="N33" i="7"/>
  <c r="K36" i="7"/>
  <c r="F35" i="7"/>
  <c r="B36" i="7"/>
  <c r="C33" i="7"/>
  <c r="R58" i="3"/>
  <c r="X58" i="3" s="1"/>
  <c r="J14" i="7"/>
  <c r="Q14" i="7" s="1"/>
  <c r="D23" i="7"/>
  <c r="P23" i="7" s="1"/>
  <c r="E21" i="7"/>
  <c r="E34" i="7" s="1"/>
  <c r="Q34" i="7" s="1"/>
  <c r="AA25" i="3"/>
  <c r="L60" i="3"/>
  <c r="AA60" i="3" s="1"/>
  <c r="J12" i="7"/>
  <c r="Q12" i="7" s="1"/>
  <c r="R60" i="3"/>
  <c r="X60" i="3" s="1"/>
  <c r="AB61" i="6"/>
  <c r="D14" i="7"/>
  <c r="P14" i="7" s="1"/>
  <c r="E32" i="7"/>
  <c r="E36" i="7" s="1"/>
  <c r="Q29" i="7"/>
  <c r="D28" i="7"/>
  <c r="P28" i="7" s="1"/>
  <c r="D12" i="7"/>
  <c r="P12" i="7" s="1"/>
  <c r="AA11" i="3"/>
  <c r="Y61" i="6"/>
  <c r="Z61" i="6"/>
  <c r="B30" i="7"/>
  <c r="M60" i="6"/>
  <c r="AB60" i="6" s="1"/>
  <c r="Z59" i="6"/>
  <c r="X27" i="4"/>
  <c r="Y27" i="4"/>
  <c r="M59" i="6"/>
  <c r="AB59" i="6" s="1"/>
  <c r="Z100" i="5"/>
  <c r="J28" i="7"/>
  <c r="Q28" i="7" s="1"/>
  <c r="D27" i="7"/>
  <c r="P27" i="7" s="1"/>
  <c r="Y10" i="6"/>
  <c r="J25" i="7"/>
  <c r="J24" i="7"/>
  <c r="R28" i="4"/>
  <c r="X28" i="4" s="1"/>
  <c r="B20" i="7"/>
  <c r="D17" i="7"/>
  <c r="P17" i="7" s="1"/>
  <c r="M101" i="5"/>
  <c r="AB101" i="5" s="1"/>
  <c r="Y58" i="3"/>
  <c r="S100" i="5"/>
  <c r="Y100" i="5" s="1"/>
  <c r="J18" i="7"/>
  <c r="Y62" i="5"/>
  <c r="S102" i="5"/>
  <c r="Y102" i="5" s="1"/>
  <c r="J16" i="7"/>
  <c r="Q16" i="7" s="1"/>
  <c r="S59" i="6"/>
  <c r="Y59" i="6" s="1"/>
  <c r="E30" i="7"/>
  <c r="D16" i="7"/>
  <c r="P16" i="7" s="1"/>
  <c r="Y59" i="3"/>
  <c r="X59" i="3"/>
  <c r="X11" i="4"/>
  <c r="C36" i="7"/>
  <c r="AB62" i="5"/>
  <c r="D18" i="7"/>
  <c r="P18" i="7" s="1"/>
  <c r="M102" i="5"/>
  <c r="AB102" i="5" s="1"/>
  <c r="D24" i="7"/>
  <c r="L27" i="4"/>
  <c r="AA27" i="4" s="1"/>
  <c r="L28" i="4"/>
  <c r="AA28" i="4" s="1"/>
  <c r="D25" i="7"/>
  <c r="Q23" i="7"/>
  <c r="M100" i="5"/>
  <c r="AB100" i="5" s="1"/>
  <c r="F36" i="7"/>
  <c r="E22" i="7"/>
  <c r="E31" i="7"/>
  <c r="Z101" i="5"/>
  <c r="Y101" i="5"/>
  <c r="J27" i="7"/>
  <c r="Q27" i="7" s="1"/>
  <c r="AB23" i="5"/>
  <c r="P29" i="7" l="1"/>
  <c r="Q32" i="7"/>
  <c r="Q36" i="7"/>
  <c r="P32" i="7"/>
  <c r="J22" i="7"/>
  <c r="Q22" i="7" s="1"/>
  <c r="J20" i="7"/>
  <c r="Q20" i="7" s="1"/>
  <c r="Q21" i="7"/>
  <c r="B33" i="7"/>
  <c r="Q18" i="7"/>
  <c r="E35" i="7"/>
  <c r="D21" i="7"/>
  <c r="P24" i="7"/>
  <c r="D30" i="7"/>
  <c r="P30" i="7" s="1"/>
  <c r="D22" i="7"/>
  <c r="D20" i="7"/>
  <c r="D31" i="7"/>
  <c r="P31" i="7" s="1"/>
  <c r="P25" i="7"/>
  <c r="D36" i="7"/>
  <c r="P36" i="7" s="1"/>
  <c r="E33" i="7"/>
  <c r="Q24" i="7"/>
  <c r="J30" i="7"/>
  <c r="Q30" i="7" s="1"/>
  <c r="Q25" i="7"/>
  <c r="J31" i="7"/>
  <c r="Q31" i="7" s="1"/>
  <c r="J33" i="7" l="1"/>
  <c r="Q33" i="7" s="1"/>
  <c r="D35" i="7"/>
  <c r="P35" i="7" s="1"/>
  <c r="P22" i="7"/>
  <c r="J35" i="7"/>
  <c r="Q35" i="7" s="1"/>
  <c r="D33" i="7"/>
  <c r="P33" i="7" s="1"/>
  <c r="P20" i="7"/>
  <c r="D34" i="7"/>
  <c r="P34" i="7" s="1"/>
  <c r="P21" i="7"/>
</calcChain>
</file>

<file path=xl/sharedStrings.xml><?xml version="1.0" encoding="utf-8"?>
<sst xmlns="http://schemas.openxmlformats.org/spreadsheetml/2006/main" count="1934" uniqueCount="828">
  <si>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</si>
  <si>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</si>
  <si>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</si>
  <si>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</si>
  <si>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</si>
  <si>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</si>
  <si>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</si>
  <si>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</si>
  <si>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</si>
  <si>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</si>
  <si>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</si>
  <si>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</si>
  <si>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</si>
  <si>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</si>
  <si>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</si>
  <si>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</si>
  <si>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</si>
  <si>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</si>
  <si>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ZATWIERDZAM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</si>
  <si>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</si>
  <si>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</si>
  <si>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</si>
  <si>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</si>
  <si>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</si>
  <si>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</si>
  <si>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</si>
  <si>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</si>
  <si>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indexed="8"/>
        <rFont val="Arial"/>
        <family val="2"/>
        <charset val="238"/>
      </rPr>
      <t/>
    </r>
  </si>
  <si>
    <t>spr-lata</t>
  </si>
  <si>
    <t>spr-procent</t>
  </si>
  <si>
    <t>spr-dof</t>
  </si>
  <si>
    <t>spr-montaż</t>
  </si>
  <si>
    <t>TERC</t>
  </si>
  <si>
    <t>RAZEM listy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</si>
  <si>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</si>
  <si>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</si>
  <si>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</si>
  <si>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</si>
  <si>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</si>
  <si>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</si>
  <si>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</si>
  <si>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</si>
  <si>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</si>
  <si>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</si>
  <si>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</si>
  <si>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</si>
  <si>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Lista zadań rekomendowanych do dofinansowania w ramach Rządowego Funduszu Rozwoju Dróg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</si>
  <si>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</si>
  <si>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2807</t>
  </si>
  <si>
    <t>2812</t>
  </si>
  <si>
    <t>2806</t>
  </si>
  <si>
    <t>2817</t>
  </si>
  <si>
    <t>2814</t>
  </si>
  <si>
    <t>2810</t>
  </si>
  <si>
    <t>2815</t>
  </si>
  <si>
    <t>2805</t>
  </si>
  <si>
    <t>2811</t>
  </si>
  <si>
    <t>2818</t>
  </si>
  <si>
    <t>2803</t>
  </si>
  <si>
    <t>2813</t>
  </si>
  <si>
    <t>2816</t>
  </si>
  <si>
    <t>2809</t>
  </si>
  <si>
    <t>2804</t>
  </si>
  <si>
    <t>2801</t>
  </si>
  <si>
    <t>2819</t>
  </si>
  <si>
    <t>2808</t>
  </si>
  <si>
    <t>2802</t>
  </si>
  <si>
    <t>28/2019/B/126</t>
  </si>
  <si>
    <t>K</t>
  </si>
  <si>
    <t xml:space="preserve">Powiat Braniewski </t>
  </si>
  <si>
    <t xml:space="preserve">Poprawa warunków komunikacyjnych w ciągu drogi powiatowej Nr 1342N odc. Pakosze - Pieniężno </t>
  </si>
  <si>
    <t>R</t>
  </si>
  <si>
    <t>05.2019-11.2023</t>
  </si>
  <si>
    <t>28/2019/B/128</t>
  </si>
  <si>
    <t xml:space="preserve">Poprawa warunków komunikacyjnych w ciągu drogi powiatowej Nr 1385N odc. Płoskinia - Pakosze </t>
  </si>
  <si>
    <t>11.2019-07.2023</t>
  </si>
  <si>
    <t>28/2021/A/277</t>
  </si>
  <si>
    <t>Gmina Miasto Elbląg</t>
  </si>
  <si>
    <t>2861</t>
  </si>
  <si>
    <t>Budowa odcinka drogi powiatowej ulicy Wschodniej w Elblągu - Etap I: ul. Wschodnia Bis</t>
  </si>
  <si>
    <t>B</t>
  </si>
  <si>
    <t>18.06.2021-30.06.2023</t>
  </si>
  <si>
    <t>28/2021/A/215</t>
  </si>
  <si>
    <t>Powiat Bartoszycki</t>
  </si>
  <si>
    <t>Przebudowa DP 1390N dr. woj.. Nr 512 (Leginy) - Liski - Sępopol - Ostre Bardo - Szczurkowo na odcinku Turcz - Sępopol</t>
  </si>
  <si>
    <t>P</t>
  </si>
  <si>
    <t>29.09.2021-31.12.2024</t>
  </si>
  <si>
    <t>28/2021/A/49</t>
  </si>
  <si>
    <t>Powiat Olecki</t>
  </si>
  <si>
    <t>Przebudowa dróg powiatowych: Nr 1820N Połom-Sulejki w km 3+600 - 3+ 997 oraz Nr 1822N Sulejki-Krzywe-Rydzewo-dr. kraj. Nr 65 w km 0+00 - 5+415 w formie zaprojektuj i zbuduj</t>
  </si>
  <si>
    <t>09.06.2021-08.09.2023</t>
  </si>
  <si>
    <t>28/2021/A/217</t>
  </si>
  <si>
    <t>Przebudowa DP 1354N Glądy - Pieszkowo - Tolko na odcinku Kicina (skrzyżowanie z DP 1386N) - Pieszkowo (skrzyżowanie z DW 511)</t>
  </si>
  <si>
    <t>28/2021/A/41</t>
  </si>
  <si>
    <t>Powiat Nidzicki</t>
  </si>
  <si>
    <t>Remont drogi powiatowej Nr 1603N Czarny Piec - Napiwoda</t>
  </si>
  <si>
    <t>17.05.2021-30.11.2023</t>
  </si>
  <si>
    <t>28/2021/A/40</t>
  </si>
  <si>
    <t>Remont drogi powiatowej Nr 1587N na odcinku od m. Szkotowo do Dw 538 (Sławka Wielka)</t>
  </si>
  <si>
    <t>17.05.2021-15.10.2023</t>
  </si>
  <si>
    <t>28/2021/A/216</t>
  </si>
  <si>
    <t>Przebudowa DP 1956N dr. woj.. Nr 592 (Kowalewo) - Łędławki na odcinku Grzęda - Łędławki</t>
  </si>
  <si>
    <t>11.10.2021-31.12.2024</t>
  </si>
  <si>
    <t>28/2021/A/118</t>
  </si>
  <si>
    <t>Powiat Olsztyński</t>
  </si>
  <si>
    <t>Przebudowa skrzyżowania ulic Bartąskiej, Złotej i Stawigudzkiej w miejscowości Jaroty w ciągu drogi powiatowej 1372N</t>
  </si>
  <si>
    <t>10.06.2021-31.12.2023</t>
  </si>
  <si>
    <t>28/2021/A/121</t>
  </si>
  <si>
    <t>Przebudowa drogi powiatowej nr 1467N, na odcinku od kanału Kiermas do km około 3+700</t>
  </si>
  <si>
    <t>01.02.2022-31.12.2023</t>
  </si>
  <si>
    <t>28/2022/A/195</t>
  </si>
  <si>
    <t>W</t>
  </si>
  <si>
    <t>Powiat Iławski</t>
  </si>
  <si>
    <t>Rozbudowa drogi powiatowej nr 1329N Boreczno - Iława na odcinku Urowo - Iława od km 4+910 do km 16+910</t>
  </si>
  <si>
    <t>04.07.2022-30.10.2023</t>
  </si>
  <si>
    <t>20*</t>
  </si>
  <si>
    <t>28/2022/A/169</t>
  </si>
  <si>
    <t>Powiat Kętrzyński</t>
  </si>
  <si>
    <t>Przebudowa drogi powiatowej Nr 1618N Szestno - Nakomiady w msc. Langanki</t>
  </si>
  <si>
    <t>20.06.2022-30.11.2023</t>
  </si>
  <si>
    <t>28/2022/A/135</t>
  </si>
  <si>
    <t>Przebudowa DP 2583N ul. Orzeszkowej w Bisztynku</t>
  </si>
  <si>
    <t>01.05.2022-31.10.2023</t>
  </si>
  <si>
    <t>28/2022/A/107</t>
  </si>
  <si>
    <t>Powiat Węgorzewski</t>
  </si>
  <si>
    <t>Zaprojektowanie i wykonanie przebudowy drogi powiatowej nr 1758N na odcinku Pawłowo-Wężówko-Olszewo Węgorzewskie-Góry</t>
  </si>
  <si>
    <t>01.04.2022-30.11.2023</t>
  </si>
  <si>
    <t>28/2022/A/70</t>
  </si>
  <si>
    <t>Powiat Ełcki</t>
  </si>
  <si>
    <t xml:space="preserve">Przebudowa drogi powiatowej nr 1878N w obrębie m. Romoty  </t>
  </si>
  <si>
    <t>11.04.2022-30.11.2023</t>
  </si>
  <si>
    <t>28/2022/A/134</t>
  </si>
  <si>
    <t>Przebudowa DP 2587N ul. Stare Osiedle w Bisztynku</t>
  </si>
  <si>
    <t>28/2022/A/132</t>
  </si>
  <si>
    <t>Przebudowa DP 1420N Tolniki Wielkie - Księżno - Troszkowo - Unikowo na odcinku Prosity - Księżno i DP 1485N Księżno - Żardeniki na odcinku Księżno - granica powiatu</t>
  </si>
  <si>
    <t>01.05.2022-31.12.2024</t>
  </si>
  <si>
    <t>28/2022/A/168</t>
  </si>
  <si>
    <t>Przebudowa dróg powiatowych nr 3929N ul. Zientary-Malewskiej i nr 3900N ul. Gałczyńskiego w Reszlu</t>
  </si>
  <si>
    <t>01.07.2022-31.12.2023</t>
  </si>
  <si>
    <t>28/2022/A/133</t>
  </si>
  <si>
    <t>Remont drogi powiatowej Nr 2596N ul. Krasickiego i drogi powiatowej Nr 1320N ul. Sikorskiego w Górowie Iławeckim</t>
  </si>
  <si>
    <t>17*</t>
  </si>
  <si>
    <t>28/2019/B/310</t>
  </si>
  <si>
    <t>Gmina Purda</t>
  </si>
  <si>
    <t>Przebudowa drogi gminnej w miejscowości Szczęsne, gmina Purda</t>
  </si>
  <si>
    <t>12.2019-08.2023</t>
  </si>
  <si>
    <t>28/2019/B/311</t>
  </si>
  <si>
    <t>Przebudowa drogi gminnej w Marcinkowie, gmina Purda</t>
  </si>
  <si>
    <t>12.2019-06.2025</t>
  </si>
  <si>
    <t>28/2020/A/84</t>
  </si>
  <si>
    <t>Gmina Biskupiec (olsztyński)</t>
  </si>
  <si>
    <t>Rozbudowa drogi w ciągu ul. Mikołaja Reja w Biskupcu</t>
  </si>
  <si>
    <t>28.10.2020 - 31.12.2023</t>
  </si>
  <si>
    <t>28/2020/A/19</t>
  </si>
  <si>
    <t xml:space="preserve">Gmina Jeziorany </t>
  </si>
  <si>
    <t>Budowa obwodnicy miasta Jeziorany ze ścieżką pieszo - jezdną</t>
  </si>
  <si>
    <t>02.01.2020 - 31.12.2023</t>
  </si>
  <si>
    <t>28/2020/A/231</t>
  </si>
  <si>
    <t>Gmina Ełk</t>
  </si>
  <si>
    <t>Przebudowa drogi gminnej Tracze Karbowskie Rostki Bajtkowskie</t>
  </si>
  <si>
    <t>22.12.2020 - 31.12.2023</t>
  </si>
  <si>
    <t>28/2020/A/229</t>
  </si>
  <si>
    <t>Przebudowa drogi gminnej w miejscowości Mrozy Wielkie</t>
  </si>
  <si>
    <t>28/2020/A/146</t>
  </si>
  <si>
    <t xml:space="preserve">Przebudowa dróg gminnych w miejscowości Purda, gmina Purda </t>
  </si>
  <si>
    <t>12.11.2020 - 28.04.2023</t>
  </si>
  <si>
    <t>28/2020/A/230</t>
  </si>
  <si>
    <t>Przebudowa drogi gminnej Sordachy Regielnica</t>
  </si>
  <si>
    <t>29.12.2020 - 31.12.2023</t>
  </si>
  <si>
    <t>28/2021/A/337</t>
  </si>
  <si>
    <t>Rozbudowa drogi gminnej nr 177098N na odcinku od drogi powiatowej nr 1872N do miejscowości Regiel</t>
  </si>
  <si>
    <t>30.11.2021-31.12.2024</t>
  </si>
  <si>
    <t>28/2021/A/338</t>
  </si>
  <si>
    <t>Rozbudowa i przebudowa drogi gminnej nr 177035N na odcinku Lega Chełchy</t>
  </si>
  <si>
    <t>26.11.2021-31.12.2024</t>
  </si>
  <si>
    <t>28/2021/A/343</t>
  </si>
  <si>
    <t>Gmina Gietrzwałd</t>
  </si>
  <si>
    <t>Przebudowa drogi gminnej - Gietrzwałd - Woryty gm. Gietrzwałd z częściowym remontem</t>
  </si>
  <si>
    <t>15.07.2021-31.12.2023</t>
  </si>
  <si>
    <t>28/2021/A/154</t>
  </si>
  <si>
    <t>Gmina Olecko</t>
  </si>
  <si>
    <t>Budowa ulicy na odcinku od ulicy 11-go Listopada do ul. Produkcyjnej w Olecku</t>
  </si>
  <si>
    <t>10.08.2021-29.11.2024</t>
  </si>
  <si>
    <t>28/2021/A/148</t>
  </si>
  <si>
    <t>Gmina Rybno</t>
  </si>
  <si>
    <t>Powiat Działdowski</t>
  </si>
  <si>
    <t xml:space="preserve">Budowa drogi nr 1 relacji ul. Lubawska - ul. Sportowa, drogi nr 2 relacji droga nr 1 - ul. Wyzwolenia, drogi nr 3 relacji droga nr 1 - Szkoła Podstawowa w Rybnie wraz z budową i przebudową infrastruktury technicznej </t>
  </si>
  <si>
    <t>08.06.2021-21.06.2025</t>
  </si>
  <si>
    <t>28/2021/A/292</t>
  </si>
  <si>
    <t>Gmina Kurzętnik</t>
  </si>
  <si>
    <t>Powiat Nowomiejski</t>
  </si>
  <si>
    <t>Przebudowa drogi relacji Krzemieniewo - Jarzębowo - Mroczno</t>
  </si>
  <si>
    <t>28.05.2021-30.07.2023</t>
  </si>
  <si>
    <t>28/2021/A/334</t>
  </si>
  <si>
    <t>Powia Ełcki</t>
  </si>
  <si>
    <t>Budowa drogi gminnej nr 177046N oraz przebudowa drogi gminnej nr 177043N w miejscowości Straduny</t>
  </si>
  <si>
    <t>28/2021/A/94</t>
  </si>
  <si>
    <t>Gmina Sępopol</t>
  </si>
  <si>
    <t>Budowa drogi gminnej na działce nr 328 w msc. Wiatrowiec wraz z budową kanalizacji deszczowej</t>
  </si>
  <si>
    <t>14.09.2021-31.03.2023</t>
  </si>
  <si>
    <t>28/2021/A/150</t>
  </si>
  <si>
    <t>Przebudowa drogi gminnej Butryny - Stara Kaletka nr 165016N</t>
  </si>
  <si>
    <t>10.09.2021-31.12.2024</t>
  </si>
  <si>
    <t>28/2021/A/335</t>
  </si>
  <si>
    <t>Budowa drogi gminnej łączącej miejscowości Chruściele i Barany</t>
  </si>
  <si>
    <t>28/2021/A/229</t>
  </si>
  <si>
    <t>Gmina Stawiguda</t>
  </si>
  <si>
    <t>Budowa ulicy Zachodniej w Jarotach</t>
  </si>
  <si>
    <t>04.08.2021-30.06.2023</t>
  </si>
  <si>
    <t>28/2021/A/303</t>
  </si>
  <si>
    <t xml:space="preserve">Budowa drogi w Unieszewie na odcinku od drogi powiatowej nr 1370N Tomaszkowo - Gietrzwałd (obok stacji PKP) do rozwidlenia dróg (styk działek drogowych: nr 135, 145) </t>
  </si>
  <si>
    <t>01.10.2021-31.12.2023</t>
  </si>
  <si>
    <t>28/2021/A/336</t>
  </si>
  <si>
    <t>Budowa drogi gminnej nr 177049N ul. Słoneczna w miejscowości Straduny</t>
  </si>
  <si>
    <t>28/2021/A/305</t>
  </si>
  <si>
    <t>Przebudowa dróg gminnych - ulic Brzozowa; Klonowa; Jaworowa; Kasztanowa; Pogodna i Wesoła w Sząbruku gm. Gietrzwałd wraz z przebudową zjazdu na drogę powiatową</t>
  </si>
  <si>
    <t>06.12.2021-31.12.2023</t>
  </si>
  <si>
    <t>28/2021/A/149</t>
  </si>
  <si>
    <t>Przebudowa drogi gminnej w miejscowości Klewki</t>
  </si>
  <si>
    <t>30.11.2021-30.06.2023</t>
  </si>
  <si>
    <t>28/2021/A/151</t>
  </si>
  <si>
    <t>Przebudowa drogi gminnej w miejscowości Giławy nr 165034N</t>
  </si>
  <si>
    <t>07.12.2021-31.03.2024</t>
  </si>
  <si>
    <t>28/2021/A/31</t>
  </si>
  <si>
    <t>Gmina Dywity</t>
  </si>
  <si>
    <t>Wyrównanie potencjału społeczno-gospodarczego poprzez przebudowę drogi gminnej Kieźliny - Dągi</t>
  </si>
  <si>
    <t>21.03.2021-31.12.2024</t>
  </si>
  <si>
    <t>28/2021/A/302</t>
  </si>
  <si>
    <t>Przebudowa dróg gminnych - ulicy Dionizosa; Ariadny; Heliosa i Ateny w Naterkach gm. Gietrzwałd</t>
  </si>
  <si>
    <t>03.12.2021-31.12.2023</t>
  </si>
  <si>
    <t>28/2022/A/242</t>
  </si>
  <si>
    <t>Gmina Pisz</t>
  </si>
  <si>
    <t>Powiat Piski</t>
  </si>
  <si>
    <t>Rozbudowa drogi nr 174025N prowadzącej do terenów inwestycyjnych w gminie Pisz</t>
  </si>
  <si>
    <t>31.10.2022-30.12.2024</t>
  </si>
  <si>
    <t>28/2022/A/74</t>
  </si>
  <si>
    <t>Rozbudowa drogi gminnej Nr 161005N Spręcowo-Rozgity</t>
  </si>
  <si>
    <t>01.04.2022-31.12.2024</t>
  </si>
  <si>
    <t>28/2022/A/244</t>
  </si>
  <si>
    <t xml:space="preserve">Rozbudowa drogi gminnej Maldanin - Imionek wraz z budową oświetlenia drogowego </t>
  </si>
  <si>
    <t>28/2022/A/10</t>
  </si>
  <si>
    <t>Gmina Biskupiec</t>
  </si>
  <si>
    <t xml:space="preserve">Przebudowa ul. Grunwaldzkiej nr 167553N w mieście Biskupiec </t>
  </si>
  <si>
    <t>18.07.2022-31.12.2023</t>
  </si>
  <si>
    <t>28/2022/A/278</t>
  </si>
  <si>
    <t xml:space="preserve">Budowa odcinków dróg gminnych w Lesku - odcinek drogi gminnej nr 141040N od km 0+960 do km 2+042 i nr 141054N od km 0+000 do km 1+345  </t>
  </si>
  <si>
    <t>18.07.2022-20.12.2023</t>
  </si>
  <si>
    <t>28/2022/A/14</t>
  </si>
  <si>
    <t xml:space="preserve">Przebudowa dróg publicznych nr 167560N, 167608N na terenie miasta i gminy Biskupiec oraz dróg gminnych na działkach nr 85/92 i 661 w obrębie 3 miasta Biskupiec  </t>
  </si>
  <si>
    <t>Budowa ulicy Polnej w Kurzętniku</t>
  </si>
  <si>
    <t>28/2022/A/53</t>
  </si>
  <si>
    <t>Gmina Miejska Bartoszyce</t>
  </si>
  <si>
    <t xml:space="preserve">Przebudowa  ul. Andersa  w  Bartoszycach   </t>
  </si>
  <si>
    <t>03.01.2022-30.09.2023</t>
  </si>
  <si>
    <t>28/2022/A/129</t>
  </si>
  <si>
    <t>Przebudowa drogi gminnej publicznej nr 165009N w miejscowości Nowa Wieś</t>
  </si>
  <si>
    <t>28/2022/A/162</t>
  </si>
  <si>
    <t>Gmina Ostróda</t>
  </si>
  <si>
    <t>Powiat Ostródzki</t>
  </si>
  <si>
    <t>Przebudowa drogi gminnej nr 153083N Samborowo (ul. Długa) - Tyrowo oraz drogi gminnej nr 153044N - ul. Leśna w m. Samborowo</t>
  </si>
  <si>
    <t>01.06.2022-30.09.2023</t>
  </si>
  <si>
    <t>28/2022/A/51</t>
  </si>
  <si>
    <t>Gmina Barciany</t>
  </si>
  <si>
    <t>Przebudowa drogi gminnej nr 125028N Asuny-Duje</t>
  </si>
  <si>
    <t>10.02.2022-30.05.2023</t>
  </si>
  <si>
    <t>28/2022/A/76</t>
  </si>
  <si>
    <t xml:space="preserve">Wyrównanie potencjału społeczno-gospodarczego poprzez przebudowę drogi gminnej Dągi-Różnowo </t>
  </si>
  <si>
    <t>10.04.2022-30.10.2025</t>
  </si>
  <si>
    <t>28/2022/A/136</t>
  </si>
  <si>
    <t>Gmina Kowale Oleckie</t>
  </si>
  <si>
    <t xml:space="preserve">Przebudowa odcinka drogi gminnej Nr 138010N Szeszki - Golubie Wężewskie  </t>
  </si>
  <si>
    <t>03.01.2022-29.07.2023</t>
  </si>
  <si>
    <t>28/2022/A/88</t>
  </si>
  <si>
    <t>Gmina Miejska Ostróda</t>
  </si>
  <si>
    <t>Przebudowa drogi gminnej nr 213062N (ul. Sosnkowskiego) w Ostródzie</t>
  </si>
  <si>
    <t>01.09.2022-30.12.2023</t>
  </si>
  <si>
    <t>28/2022/A/49</t>
  </si>
  <si>
    <t xml:space="preserve">Przebudowa  drogi  wewnętrznej do miejscowości Czaczek </t>
  </si>
  <si>
    <t>28/2022/A/20</t>
  </si>
  <si>
    <t>Gmina Lidzbark</t>
  </si>
  <si>
    <t>Przebudowa drogi Nowy Dwór- Wielki Łęck</t>
  </si>
  <si>
    <t>15.02.2022-30.06.2023</t>
  </si>
  <si>
    <t>28/2022/A/119</t>
  </si>
  <si>
    <t>Gmina Jedwabno</t>
  </si>
  <si>
    <t>Powiat Szczycieński</t>
  </si>
  <si>
    <t>Przebudowa drogi gminnej publicznej nr 194016N oraz dróg wewnętrznych wjazdowych w miejscowości Jedwabno</t>
  </si>
  <si>
    <t>01.06.2022-30.11.2023</t>
  </si>
  <si>
    <t>28/2022/A/183</t>
  </si>
  <si>
    <t>Przebudowa odcinka drogi gminnej w msc. Smolanka, gmina Sępopol</t>
  </si>
  <si>
    <t>01.06.2022-30.06.2023</t>
  </si>
  <si>
    <t>28/2022/A/161</t>
  </si>
  <si>
    <t xml:space="preserve">Przebudowa drogi gminnej w Worytach - Etap II </t>
  </si>
  <si>
    <t>01.06.2022-31.10.2023</t>
  </si>
  <si>
    <t>28/2022/A/25</t>
  </si>
  <si>
    <t>Gmina Jeziorany</t>
  </si>
  <si>
    <t>Remont drogi gminnej Wójtówko-Modliny</t>
  </si>
  <si>
    <t>01.06.2022-20.12.2024</t>
  </si>
  <si>
    <t>28/2022/A/333</t>
  </si>
  <si>
    <t>Przebudowa odcinka drogi gminnej Nr 138007N w miejscowości Zawady Oleckie i Cicha Wólka</t>
  </si>
  <si>
    <t>03.01.2022-31.07.2023</t>
  </si>
  <si>
    <t>28/2022/A/280</t>
  </si>
  <si>
    <t>Budowa odcinków dróg gminnych nr G141022N długości 0,704 km i G141023N długości 3,030 km Judziki - Granica Gminy</t>
  </si>
  <si>
    <t>28/2022/A/268</t>
  </si>
  <si>
    <t>Gmina Kętrzyn</t>
  </si>
  <si>
    <t>Przebudowa dróg gminnych obejmujących drogę gminną nr 126012N oraz drogę wewnętrzną wraz z budową sieci kanalizacji deszczowej i przebudową sieci gazowej w miejscowości Trzy Lipy</t>
  </si>
  <si>
    <t>28/2022/A/164</t>
  </si>
  <si>
    <t>Przebudowa nawierzchni dróg gminnych wraz z budową kanalizacji deszczowej w m. Kątno</t>
  </si>
  <si>
    <t>28/2022/A/128</t>
  </si>
  <si>
    <t>Przebudowa drogi gminnej w Klebarku Małym</t>
  </si>
  <si>
    <t>28/2022/A/279</t>
  </si>
  <si>
    <t xml:space="preserve">Budowa drogi gminnej nr G141026N długości 2,830 km Babki Oleckie - Pieńki - Droga Wojewódzka nr 653 </t>
  </si>
  <si>
    <t>28/2022/A/139</t>
  </si>
  <si>
    <t xml:space="preserve">Zaprojektowanie i wykonanie rozbudowy ul. Os. Cegielnia, ul. Wiejskiej i drogi wew. w miejscowości Kowale Oleckie </t>
  </si>
  <si>
    <t>28/2022/A/241</t>
  </si>
  <si>
    <t>Budowa (rozbudowa) drogi gminnej nr 174011N Zdory - Kwik wraz z przebudową oświetlenia drogowego</t>
  </si>
  <si>
    <t>N</t>
  </si>
  <si>
    <t>01.04.2023-31.10.2023</t>
  </si>
  <si>
    <t>Powiat Giżycki</t>
  </si>
  <si>
    <t>01.04.2023-30.11.2023</t>
  </si>
  <si>
    <t>01.06.2023-31.05.2024</t>
  </si>
  <si>
    <t>28/2023/A/5</t>
  </si>
  <si>
    <t>Gmina Nidzica</t>
  </si>
  <si>
    <t>Rozbudowa z przebudową drogi gminnej nr 190585N (ul. Rataja) w Nidzicy</t>
  </si>
  <si>
    <t>03.04.2023-29.09.2023</t>
  </si>
  <si>
    <t>Przebudowa drogi gminnej pomiędzy ul. Ludową a ul. Aleja Broni w Biskupcu</t>
  </si>
  <si>
    <t>01.03.2023-31.12.2023</t>
  </si>
  <si>
    <t>28/2023/A/15</t>
  </si>
  <si>
    <t>Przebudowa drogi powiatowej nr 1872N na odcinku Kałęczyny - granica województwa - etap I</t>
  </si>
  <si>
    <t>27.03.2023-31.10.2024</t>
  </si>
  <si>
    <t>28/2023/A/16</t>
  </si>
  <si>
    <t>Przebudowa drogi powiatowej nr 1857N na odcinku Piaski - Straduny</t>
  </si>
  <si>
    <t>28/2023/A/17</t>
  </si>
  <si>
    <t>Przebudowa ulic powiatowych w mieście Olecko, etap III ul. 11 Listopada</t>
  </si>
  <si>
    <t>11.04.2023-30.10.2023</t>
  </si>
  <si>
    <t>28/2023/A/18</t>
  </si>
  <si>
    <t>Gmina Kalinowo</t>
  </si>
  <si>
    <t>Przebudowa drogi gminnej wewnętrznej w miejscowości Golubka</t>
  </si>
  <si>
    <t>01.04.2023-30.09.2023</t>
  </si>
  <si>
    <t>28/2023/A/20</t>
  </si>
  <si>
    <t>Remont drogi powiatowej nr 1288N na odcinku od miejscowości Skurpie do miejscowości Burkat</t>
  </si>
  <si>
    <t>03.04.2023-15.12.2023</t>
  </si>
  <si>
    <t>28/2023/A/21</t>
  </si>
  <si>
    <t>Remont drogi powiatowej nr 1363N Działdowo - Księży Dwór</t>
  </si>
  <si>
    <t>28/2023/A/22</t>
  </si>
  <si>
    <t>Przebudowa ulicy Lipowej w Płośnicy w ciągu drogi powiatowej nr 1288N</t>
  </si>
  <si>
    <t>28/2023/A/23</t>
  </si>
  <si>
    <t>Remont drogi powiatowej nr 1274N od granicy powiatu do skrzyżowania z drogą powiatową nr 1349N w miejscowości Gronowo</t>
  </si>
  <si>
    <t>28/2023/A/26</t>
  </si>
  <si>
    <t>Przebudowa drogi gminnej w msc. Szczepankowo</t>
  </si>
  <si>
    <t>Gmina Lubawa</t>
  </si>
  <si>
    <t>01.06.2023-01.05.2024</t>
  </si>
  <si>
    <t>28/2023/A/30</t>
  </si>
  <si>
    <t>01.09.2023-30.08.2024</t>
  </si>
  <si>
    <t>01.09.2023-31.08.2024</t>
  </si>
  <si>
    <t>01.03.2023-30.11.2023</t>
  </si>
  <si>
    <t>28/2023/A/36</t>
  </si>
  <si>
    <t>Gmina Iława</t>
  </si>
  <si>
    <t>Przebudowa drogi gminnej Franciszkowo Dolne - Borek</t>
  </si>
  <si>
    <t>01.03.2023-31.10.2023</t>
  </si>
  <si>
    <t>28/2023/A/37</t>
  </si>
  <si>
    <t>Przebudowa drogi gminnej Wiewiórki - Prasneta</t>
  </si>
  <si>
    <t>28/2023/A/38</t>
  </si>
  <si>
    <t>Przebudowa drogi gminnej Urwisko - Rudzienice</t>
  </si>
  <si>
    <t>28/2023/A/39</t>
  </si>
  <si>
    <t>Przebudowa drogi gminnej we Frednowach</t>
  </si>
  <si>
    <t>28/2023/A/40</t>
  </si>
  <si>
    <t>Przebudowa drogi gminnej nr 146252N w Ząbrowie, ul. Łąkowa</t>
  </si>
  <si>
    <t>28/2023/A/41</t>
  </si>
  <si>
    <t>Przebudowa drogi gminnej nr 146030N w Stradomnie</t>
  </si>
  <si>
    <t>28/2023/A/43</t>
  </si>
  <si>
    <t>Remont drogi powiatowej Nr 1211N na odcinku Kamionka - Nowy Dwór</t>
  </si>
  <si>
    <t>01.04.2023-15.12.2023</t>
  </si>
  <si>
    <t>28/2023/A/44</t>
  </si>
  <si>
    <t>Budowa drogi gminnej nr 162135N ulicy Uroczej w Bartągu wraz z kanalizacją deszczową i modernizacją oświetlenia</t>
  </si>
  <si>
    <t>01.06.2023-30.11.2023</t>
  </si>
  <si>
    <t>28/2023/A/45</t>
  </si>
  <si>
    <t>Kontynuacja budowy drogi gminnej nr 162013N w miejscowości Stawiguda</t>
  </si>
  <si>
    <t>28/2023/A/46</t>
  </si>
  <si>
    <t>Przebudowa drogi gminnej - ulicy Małgorzaty w miejscowości Majdy</t>
  </si>
  <si>
    <t>28/2023/A/47</t>
  </si>
  <si>
    <t>Przebudowa drogi gminnej nr 162026N - ulicy Grzybowej w Gryźlinach</t>
  </si>
  <si>
    <t>28/2023/A/48</t>
  </si>
  <si>
    <t>Kontynuacja przebudowy dróg gminnych - ulic: Nagietkowej, Akacjowej i Kwiatowej w Bartągu</t>
  </si>
  <si>
    <t>28/2023/A/49</t>
  </si>
  <si>
    <t>Gmina Miejska Lidzbark Warmiński</t>
  </si>
  <si>
    <t>Powiat Lidzbarski</t>
  </si>
  <si>
    <t>Budowa nowej drogi wraz z infrastrukturą techniczną przy ulicy Warmińskiej w Lidzbarku Warmińskim</t>
  </si>
  <si>
    <t>01.03.2023-29.02.2024</t>
  </si>
  <si>
    <t>28/2023/A/50</t>
  </si>
  <si>
    <t>Budowa nowej drogi wraz z infrastrukturą techniczną przy ulicy Mazurskiej w Lidzbarku Warmińskim</t>
  </si>
  <si>
    <t>Gmina Miejska Szczytno</t>
  </si>
  <si>
    <t>14.07.2022-13.07.2023</t>
  </si>
  <si>
    <t>28/2023/A/52</t>
  </si>
  <si>
    <t>Przebudowa drogi gminnej nr 214088N - ul. Broniewskiego w Szczytnie</t>
  </si>
  <si>
    <t>15.07.2022-14.07.2023</t>
  </si>
  <si>
    <t>28/2023/A/55</t>
  </si>
  <si>
    <t>Przebudowa drogi gminnej nr 214042N - ul. Orzeszkowej w Szczytnie</t>
  </si>
  <si>
    <t>28/2023/A/56</t>
  </si>
  <si>
    <t>Gmina Barczewo</t>
  </si>
  <si>
    <t>Przebudowa odcinka drogi wewnętrznej na osiedlu Zielone Wzgórze, Miasto Barczewo, Gmina Barczewo</t>
  </si>
  <si>
    <t>01.01.2023-30.12.2023</t>
  </si>
  <si>
    <t>28/2023/A/58</t>
  </si>
  <si>
    <t xml:space="preserve"> Przebudowa odcinka drogi gminnej Nr 164024N w miejscowości Ruszajny oraz odcinka drogi wewnętrznej położonej na działkach nr 131, 89 obręb Ruszajny, gmina Barczewo</t>
  </si>
  <si>
    <t>28/2023/A/59</t>
  </si>
  <si>
    <t>Powiat Elbląski</t>
  </si>
  <si>
    <t>Remont ul. Szfirowej w Gronowie Górnym</t>
  </si>
  <si>
    <t>28/2023/A/60</t>
  </si>
  <si>
    <t>Remont DP nr 1120N na odcinku Jasionno - DP nr 1119N</t>
  </si>
  <si>
    <t>15.04.2023-15.12.2023</t>
  </si>
  <si>
    <t>28/2023/A/61</t>
  </si>
  <si>
    <t>Remont DP nr 1185N Śliwica - Rychliki na odcinku Śliwica - Liszki</t>
  </si>
  <si>
    <t>15.04.2023-30.11.2023</t>
  </si>
  <si>
    <t>28/2023/A/62</t>
  </si>
  <si>
    <t>Remont DP nr 1126N Złotnica - Stalewo gm. Markusy. Etap I</t>
  </si>
  <si>
    <t>28/2023/A/65</t>
  </si>
  <si>
    <t>Przebudowa drogi powiatowej nr 1592N na odcinku Barciany - Pastwiska - etap IV</t>
  </si>
  <si>
    <t>03.04.2023-30.10.2023</t>
  </si>
  <si>
    <t>28/2023/A/66</t>
  </si>
  <si>
    <t>Rozbudowa drogi powiatowej nr 1509N na odcinku Borki Wielkie - Kobułty wraz z budową chodnika</t>
  </si>
  <si>
    <t>01.03.2023-15.12.2024</t>
  </si>
  <si>
    <t>28/2023/A/67</t>
  </si>
  <si>
    <t>Remont drogi powiatowej nr 1201N na odc. od DW530 do granicy powiatu olsztyńskiego w km 1+450 do 2+400</t>
  </si>
  <si>
    <t>01.03.2023-15.12.2023</t>
  </si>
  <si>
    <t>28/2023/A/68</t>
  </si>
  <si>
    <t>Remont drogi powiatowej nr 1201N na odc. od DW 530 do granicy powiatu olsztyńskiego w km 0+000 do 0+850</t>
  </si>
  <si>
    <t>28/2023/A/69</t>
  </si>
  <si>
    <t>Remont drogi powiatowej nr 1201N na odc. od DW530 do granicy powiatu olsztyńskiego w km 3+450 do 4+400</t>
  </si>
  <si>
    <t>28/2023/A/70</t>
  </si>
  <si>
    <t>Przebudowa odcinka drogi powiatowej nr 1449N od msc. Słupy do skrzyżowania z ul. Ks. Jakuba Jagałły w msc. Wadąg</t>
  </si>
  <si>
    <t>28/2023/A/71</t>
  </si>
  <si>
    <t>Przebudowa mostu w ciągu drogi powiatowej Nr 1270N na rzece Drwęca w miejscowości Pustki z dojazdem - w zakresie obejmującym dojazd w km od 0+000 do 1+976</t>
  </si>
  <si>
    <t>28/2023/A/74</t>
  </si>
  <si>
    <t>Gmina Morąg</t>
  </si>
  <si>
    <t>Budowa drogi gminnej w Żabim Rogu</t>
  </si>
  <si>
    <t>01.03.2023-28.02.2024</t>
  </si>
  <si>
    <t>28/2023/A/75</t>
  </si>
  <si>
    <t>Przebudowa drogi gminnej we wsi Maliniak</t>
  </si>
  <si>
    <t>28/2023/A/76</t>
  </si>
  <si>
    <t>Przebudowa drogi gminnej w ciągu ulicy Akacjowej w Morągu</t>
  </si>
  <si>
    <t>02.03.2023-28.02.2024</t>
  </si>
  <si>
    <t>28/2023/A/77</t>
  </si>
  <si>
    <t>Budowa drogi gminnej w ciągu ulicy Fiołkowej z dokończeniem ulicy Bursztynowej w Silinie - Gmina Morąg</t>
  </si>
  <si>
    <t>28/2023/A/85</t>
  </si>
  <si>
    <t>Przebudowa nawierzchni dróg gminnych wraz z budową kanalizacji deszczowej w m. Kątno oraz przebudowa drogi gminnej Stare Jabłonki - Kątno</t>
  </si>
  <si>
    <t>28/2023/A/86</t>
  </si>
  <si>
    <t>Przebudowa drogi powiatowej nr 1480N na odcinku Waplewo - Dźwiersztyny. Etap II od km 4+041 do km 4+561</t>
  </si>
  <si>
    <t>01.07.2023-28.06.2024</t>
  </si>
  <si>
    <t>28/2023/A/87</t>
  </si>
  <si>
    <t>Przebudowa drogi powiatowej nr 1512N Wielbark - Rozogi od km 23+360 do km 28+200</t>
  </si>
  <si>
    <t>28/2023/A/88</t>
  </si>
  <si>
    <t>Przebudowa drogi powiatowej nr 1671N Lejkowo - Kipary - dr. nr 1512N od km 0+000 do 2+440</t>
  </si>
  <si>
    <t>28/2023/A/89</t>
  </si>
  <si>
    <t>Przebudowa ciągu dróg powiatowych nr 1659N i 1482N od m. Wólka Szczycieńska do m. Leśny Dwór</t>
  </si>
  <si>
    <t>28/2023/A/90</t>
  </si>
  <si>
    <t>Powiat Braniewski</t>
  </si>
  <si>
    <t>Przebudowa drogi powiatowej Nr 1165N odcinek Frombork - Bogdany. Etap 2</t>
  </si>
  <si>
    <t>28/2023/A/91</t>
  </si>
  <si>
    <t>Przebudowa drogi powiatowej Nr 1387N w m. Szyleny</t>
  </si>
  <si>
    <t>28/2023/A/93</t>
  </si>
  <si>
    <t>Przebudowa drogi powiatowej nr 1691N na odcinku dr. woj. 592 Tołkiny - Babieniec (od km 0+010 do km 1+300) - etap I</t>
  </si>
  <si>
    <t>30.05.2023-30.11.2023</t>
  </si>
  <si>
    <t>28/2023/A/94</t>
  </si>
  <si>
    <t>Przebudowa drogi powiatowej nr 1614N na odcinku od DW 591 do miejscowości Pręgowo</t>
  </si>
  <si>
    <t>01.04.2023-31.12.2023</t>
  </si>
  <si>
    <t>28/2023/A/95</t>
  </si>
  <si>
    <t>Przebudowa dróg gminnych w miejscowości Sząbruk - ulica Dębowa, Sosnowa i Akacjowa do skrzyżowania z ulicą Kasztanową</t>
  </si>
  <si>
    <t>01.08.2023-30.06.2024</t>
  </si>
  <si>
    <t>01.07.2023-30.06.2024</t>
  </si>
  <si>
    <t>28/2023/A/97</t>
  </si>
  <si>
    <t>28/2023/A/101</t>
  </si>
  <si>
    <t>Remont drogi powiatowej Nr 1264N na odcinku Koniuszyn - Moczysko</t>
  </si>
  <si>
    <t>05.05.2023-30.11.2023</t>
  </si>
  <si>
    <t>28/2023/A/102</t>
  </si>
  <si>
    <t>Remont drogi powiatowej Nr 1585N na odcinku Januszkowo - Michałki - Rączki</t>
  </si>
  <si>
    <t>28/2023/A/103</t>
  </si>
  <si>
    <t>Przebudowa drogi powiatowej Nr 1932N Janowo - Ryki Borkowo (gr. woj.)</t>
  </si>
  <si>
    <t>28/2023/A/104</t>
  </si>
  <si>
    <t>Remont drogi powiatowej Nr 1613N na odcinku Bielawy - Nowa Wieś Wlk.</t>
  </si>
  <si>
    <t>10.05.2023-30.11.2023</t>
  </si>
  <si>
    <t>28/2023/A/105</t>
  </si>
  <si>
    <t>Remont drogi powiatowej Nr 1560N na odcinku Janowiec Kościelny - Bukowiec (dr. nr 1619N)</t>
  </si>
  <si>
    <t>28/2023/A/106</t>
  </si>
  <si>
    <t>Gmina Elbląg</t>
  </si>
  <si>
    <t>Remont odcinków dróg gminnych nr 101027N - ul. Agatowa, nr 101018N - ul. Diamentowa, 101025N - ul. Szmaragdowa w miejscowości Gronowo Górne, gmina Elbląg</t>
  </si>
  <si>
    <t>01.06.2023-31.12.2023</t>
  </si>
  <si>
    <t>28/2023/A/108</t>
  </si>
  <si>
    <t>Przebudowa dróg powiatowych nr 1408N i 1551N na odcinku Kiersnowo - Połapin - Kiwity</t>
  </si>
  <si>
    <t>01.02.2023-15.12.2023</t>
  </si>
  <si>
    <t>28/2023/A/109</t>
  </si>
  <si>
    <t>Przebudowa dróg powiatowych 1543N i 1541N na odcinku Koniewo - Budniki - Kotowo - Rogóż</t>
  </si>
  <si>
    <t>28/2023/A/110</t>
  </si>
  <si>
    <t>Przebudowa drogi powiatowej nr 1412N na odcinku Łaniewo - Wróblik - granica powiatu</t>
  </si>
  <si>
    <t>28/2023/A/111</t>
  </si>
  <si>
    <t>Przebudowa dróg powiatowych nr 1356N i 1403N na odcinku Łaniewo - Lubomino</t>
  </si>
  <si>
    <t>28/2023/A/112</t>
  </si>
  <si>
    <t>Przebudowa drogi powiatowej nr 1413N na odcinku Różyn - Gronowo</t>
  </si>
  <si>
    <t>28/2023/A/113</t>
  </si>
  <si>
    <t>Przebudowa drogi powiatowej nr 2755N - ul. Piaskowa w Ornecie</t>
  </si>
  <si>
    <t>28/2023/A/117</t>
  </si>
  <si>
    <t>Przebudowa ul. Ogrodowej w Bartoszycach</t>
  </si>
  <si>
    <t>03.01.2023-30.11.2023</t>
  </si>
  <si>
    <t>28/2023/A/120</t>
  </si>
  <si>
    <t>Przebudowa ul. Lelewela w Bartoszycach</t>
  </si>
  <si>
    <t>28/2023/A/121</t>
  </si>
  <si>
    <t>Przebudowa ul. Brzozowej, ul. Kwiatowej, ul. Zielonej w Bartoszycach</t>
  </si>
  <si>
    <t>28/2023/A/122</t>
  </si>
  <si>
    <t xml:space="preserve"> Przebudowa drogi gminnej na osiedlu Bolesława Chrobrego w Biskupcu - dz. 17/51, 17/54, 123 obręb 1 Miasto Biskupiec </t>
  </si>
  <si>
    <t>28/2023/A/127</t>
  </si>
  <si>
    <t>Gmina Miasto Ełk</t>
  </si>
  <si>
    <t>Budowa ciągu dróg gminnych: ul. Pileckiego i ul. Fieldorfa Nila w Ełku</t>
  </si>
  <si>
    <t>10.04.2023-10.12.2023</t>
  </si>
  <si>
    <t>28/2023/A/128</t>
  </si>
  <si>
    <t>Przebudowa drogi powiatowej Nr 2848N - ul. Sienkiewicza w Zalewie wraz z zbudową kanalizacji deszczowej</t>
  </si>
  <si>
    <t>30.03.2023-30.11.2023</t>
  </si>
  <si>
    <t>28/2023/A/129</t>
  </si>
  <si>
    <t>Przebudowa drogi powiatowej nr 1295N Kamieniec - Ulnowo na odcinku Kamieniec - Rudniki</t>
  </si>
  <si>
    <t>28/2023/A/130</t>
  </si>
  <si>
    <t>Gmina Miasto Działdowo</t>
  </si>
  <si>
    <t>Przebudowa ul. Kościuszki (203039N) i części ul. Jagiełły (203026N) w Działdowie.</t>
  </si>
  <si>
    <t>28/2023/A/131</t>
  </si>
  <si>
    <t>Przebudowa drogi powiatowej nr 1684N w m. Włosty</t>
  </si>
  <si>
    <t>28/2023/A/132</t>
  </si>
  <si>
    <t>Przebudowa ul. Mazurskiej w Piszu wraz ze skrzyżowaniem z ulicą Wojska Polskiego</t>
  </si>
  <si>
    <t>28/2023/A/133</t>
  </si>
  <si>
    <t>Przebudowa mostu wraz z dojazdami w ciagu drogi pow. Nr 1861N Skomack Wlk. - Rostki Skomackie- Ogródek w km 2+440 k/m Rostki Skomackie</t>
  </si>
  <si>
    <t>28/2023/A/134</t>
  </si>
  <si>
    <t>Przebudowa drogi powiatowej Nr 4681N - ul. Słonecznej w Białej Piskiej</t>
  </si>
  <si>
    <t>28/2023/A/135</t>
  </si>
  <si>
    <t>Przebudowa DP 1515N Robity - Kandyty - Worławki na odcinku Kandyty - Sągnity o długości 998 m</t>
  </si>
  <si>
    <t>01.05.2023-30.04.2024</t>
  </si>
  <si>
    <t>28/2023/A/136</t>
  </si>
  <si>
    <t>Remont DP 1541N Kosty - Wajsnory - Rodnowo - Kotowo - Rogóż na odcinku od skrzyżowania z DP 1386N do skrzyżowania z DP 1354N</t>
  </si>
  <si>
    <t>28/2023/A/137</t>
  </si>
  <si>
    <t>Remont DP 1555N Kiertyny Małe - Dąbrowa - Bartoszyce na odcinku od msc. Kiertyny Małe do końca msc. Kiertyny  Wielkie</t>
  </si>
  <si>
    <t>02.01.2023-31.12.2023</t>
  </si>
  <si>
    <t>28/2023/A/138</t>
  </si>
  <si>
    <t>Remont DP 1555N na odcinku Dąbrowa - Wipławki</t>
  </si>
  <si>
    <t>28/2023/A/139</t>
  </si>
  <si>
    <t>Remont DP 2580N ul. Nowe Osiedle w Bisztynku</t>
  </si>
  <si>
    <t>28/2023/A/140</t>
  </si>
  <si>
    <t>Przebudowa z rozbudową drogi gminnej nr 165020N Marcinkowo - Purdka</t>
  </si>
  <si>
    <t>01.04.2023-31.03.2024</t>
  </si>
  <si>
    <t>28/2023/A/142</t>
  </si>
  <si>
    <t>28/2023/A/143</t>
  </si>
  <si>
    <t>28/2023/A/146</t>
  </si>
  <si>
    <t>Gmina Dobre Miasto</t>
  </si>
  <si>
    <t>Remont drogi dojazdowej do terenów rolniczych na odcinku Orzechowo - Jesionowo</t>
  </si>
  <si>
    <t>31.05.2023-30.05.2024</t>
  </si>
  <si>
    <t>01.01.2023-31.12.2023</t>
  </si>
  <si>
    <t>28/2023/A/153</t>
  </si>
  <si>
    <t>Gmina Górowo Iławeckie</t>
  </si>
  <si>
    <t>08.05.2023-20.12.2024</t>
  </si>
  <si>
    <t>28/2023/A/154</t>
  </si>
  <si>
    <t>Przebudowa drogi gminnej nr 119019N pomiędzy miejscowościami Wokiele i Wojmiany w gminie Górowo Iławeckie</t>
  </si>
  <si>
    <t>28/2023/A/155</t>
  </si>
  <si>
    <t>Przebudowa drogi gminnej nr 119021N pomiędzy miejscowościami Czyprki i Woryny w gminie Górowo Iławeckie</t>
  </si>
  <si>
    <t>28/2023/A/157</t>
  </si>
  <si>
    <t>Gmina Susz</t>
  </si>
  <si>
    <t>Przebudowa drogi gminnej nr 143530N relacji Karolewo - Susz - budowa chodnika dla pieszych na działkach nr 97/11, 97/16, 23 - obr. 0021 Karolewo i dz. nr 245, 244/9, 244/10, 246/1, 151/23 - obr. 0001 Susz oraz ciągu pieszo-jezdnego na dz. nr 36 - obr. 0021 Karolewo w granicach pasa drogowego</t>
  </si>
  <si>
    <t>01.01.2023-30.11.2023</t>
  </si>
  <si>
    <t>28/2023/A/158</t>
  </si>
  <si>
    <t>Powiat Gołdapski</t>
  </si>
  <si>
    <t>Remont drogi powiatowej nr 1974N</t>
  </si>
  <si>
    <t>01.04.2023-30.03.2024</t>
  </si>
  <si>
    <t>28/2023/A/165</t>
  </si>
  <si>
    <t>Gmina Grodziczno</t>
  </si>
  <si>
    <t>Przebudowa drogi gminnej nr 183001N Tylice - Zajączkowo na odcinku Zajączkowo - Jakubkowo</t>
  </si>
  <si>
    <t>01.05.2023-30.11.2023</t>
  </si>
  <si>
    <t>28/2023/A/166</t>
  </si>
  <si>
    <t>Przebudowa drogi wewnętrznej Mroczenko - Krzemieniewo</t>
  </si>
  <si>
    <t>28/2023/A/167</t>
  </si>
  <si>
    <t>Przebudowa drogi gminnej nr 183026N Montowo - Białobłoty - Zwiniarz</t>
  </si>
  <si>
    <t>01.05.2023-30.11.2024</t>
  </si>
  <si>
    <t>28/2023/A/168</t>
  </si>
  <si>
    <t>Przebudowa ulicy Suwalskiej w Giżycku</t>
  </si>
  <si>
    <t>28/2023/A/169</t>
  </si>
  <si>
    <t>Przebudowa odcinka drogi powiatowej nr 1736N oraz drogi powiatowej nr 1734N w miejscowości Kruklanki - Etap I</t>
  </si>
  <si>
    <t>28/2023/A/170</t>
  </si>
  <si>
    <t>Przebudowa drogi powiatowej nr 1728N w msc. Tros</t>
  </si>
  <si>
    <t>28/2023/A/171</t>
  </si>
  <si>
    <t>Przebudowa odcinka drogi powiatowej nr 1823N Sulimy - Kożuchy Wielkie w miejscowości Kruklin - Etap II</t>
  </si>
  <si>
    <t>28/2023/A/173</t>
  </si>
  <si>
    <t>Powiat Mrągowski</t>
  </si>
  <si>
    <t>Przebudowa ciągu komunikacyjnego, odcinek granica powiatu - Burszewo - Warpuny - Zyndaki</t>
  </si>
  <si>
    <t>01.03.2023-31.10.2024</t>
  </si>
  <si>
    <t>28/2023/A/174</t>
  </si>
  <si>
    <t>Gmina Miejska Giżycko</t>
  </si>
  <si>
    <t>Remont drogi gminnej nr 205069N ul. Polna w Giżycku</t>
  </si>
  <si>
    <t>08.05.2023-30.04.2024</t>
  </si>
  <si>
    <t>28/2023/A/175</t>
  </si>
  <si>
    <t>Remont drogi gminnej nr 205073N ul. Wiejska w Giżycku</t>
  </si>
  <si>
    <t>28/2023/A/177</t>
  </si>
  <si>
    <t>Remont drogi gminnej nr 205060N ul. Kwiatowa oraz 205076N ul. Zakole w Giżycku</t>
  </si>
  <si>
    <t>28/2023/A/178</t>
  </si>
  <si>
    <t>Gmina Kisielice</t>
  </si>
  <si>
    <t>Przebudowa drogi gminnej nr 144008N na działce nr 401 obręb 0006 w Jędrychowie</t>
  </si>
  <si>
    <t>28/2023/A/179</t>
  </si>
  <si>
    <t>Przebudowa ulicy Słonecznej w Lidzbarku</t>
  </si>
  <si>
    <t>28/2023/A/180</t>
  </si>
  <si>
    <t>Przebudowa ulicy Polnej w Lidzbarku</t>
  </si>
  <si>
    <t>28/2023/A/183</t>
  </si>
  <si>
    <t>Przebudowa ulicy Jarzębinowej w Lidzbarku</t>
  </si>
  <si>
    <t>01.06.2023-15.11.2023</t>
  </si>
  <si>
    <t>28/2023/A/184</t>
  </si>
  <si>
    <t>Gmina Miejska Iława</t>
  </si>
  <si>
    <t>Budowa głównych ciągów komunikacyjnych na Osiedlu Żołnierzy Wyklętych - ul. Rotmistrza Pileckiego, Hieronima Dekutowskiego, Łukasza Cieplińskiego oraz odcinek ul. Usługowej w Iławie</t>
  </si>
  <si>
    <t>01.04.2023-30.09.2024</t>
  </si>
  <si>
    <t>28/2023/A/186</t>
  </si>
  <si>
    <t xml:space="preserve"> Budowa ronda na skrzyżowaniu ulic Jagiełły - Kazimierza Wielkiego - Przemysłowej w Giżycku wraz z budową oświetlenia i odwodnienia oraz przebudową kolizji z infrastrukturą</t>
  </si>
  <si>
    <t>Gmina Działdowo</t>
  </si>
  <si>
    <t>02.05.2023-15.11.2023</t>
  </si>
  <si>
    <t>28/2023/A/193</t>
  </si>
  <si>
    <t>Przebudowa dróg gminnych w miejscowości Zakrzewo, gmina Działdowo</t>
  </si>
  <si>
    <t>28/2023/A/199</t>
  </si>
  <si>
    <t>Gmina Nowe Miasto Lubawskie</t>
  </si>
  <si>
    <t>Rozbudowa drogi gminnej nr 181055N Bratian - Mszanowo</t>
  </si>
  <si>
    <t>30.11.2023-29.11.2024</t>
  </si>
  <si>
    <t>28/2023/A/203</t>
  </si>
  <si>
    <t>Remont ulicy Trzcinowej w Piszu</t>
  </si>
  <si>
    <t>28/2023/A/204</t>
  </si>
  <si>
    <t>Przebudowa ul. Tęczowej w m. Pisz oraz w m. Jagodne na działkach o nr geod. 1149/39 (obręb Pisz 1) i nr geod. 10 (obręb Jagodne)</t>
  </si>
  <si>
    <t>28/2028/A/206</t>
  </si>
  <si>
    <t>Gmina Orzysz</t>
  </si>
  <si>
    <t>Rozbudowa i przebudowa drogi gminnej - ul. Ogrodowa w Orzyszu</t>
  </si>
  <si>
    <t>28/2023/A/207</t>
  </si>
  <si>
    <t>Przebudowa drogi gminnej w miejscowości Kamieniec w kierunku osady Piaski na dz. Nr 2 obręb 0020 - Kamieniec i dz. Nr 261/9 obręb 0010 - Dolina, gm. Susz</t>
  </si>
  <si>
    <t>28/2023/A/209</t>
  </si>
  <si>
    <t>Gmina Mikołajki</t>
  </si>
  <si>
    <t>Przebudowa drogi gminnej zlokalizowanej w miejscowości Grabówek gm. Mikołajki</t>
  </si>
  <si>
    <t>28/2023/A/212</t>
  </si>
  <si>
    <t>Przebudowa drogi powiatowej nr 2122N ul. Związku Jaszczurczego w Elblągu w ramach budowy połączenia tej drogi z drogą wojewódzką nr 500</t>
  </si>
  <si>
    <t>30.12.2022-30.11.2023</t>
  </si>
  <si>
    <t>28/2023/A/213</t>
  </si>
  <si>
    <t>Gmina Węgorzewo</t>
  </si>
  <si>
    <t>Przebudowa ul. M. Kopernika</t>
  </si>
  <si>
    <t>03.04.2023-30.11.2023</t>
  </si>
  <si>
    <t>28/2023/A/219</t>
  </si>
  <si>
    <t>Gmina Młynary</t>
  </si>
  <si>
    <t xml:space="preserve"> Przebudowa i rozbudowa nawierzchni dróg gminnych: Sąpy - Warszewo nr 107010N i Borzynowo - Warszewo - Zastawno nr 107004N (rozbudowa odcinka Warszewo - Zastawno)</t>
  </si>
  <si>
    <t>28/2023/A/227</t>
  </si>
  <si>
    <t>Gmina Gołdap</t>
  </si>
  <si>
    <t>Przebudowa drogi gminnej nr 137049N przebiegającej przez miejscowość Bronisze</t>
  </si>
  <si>
    <t>01.09.2023-31.08.2025</t>
  </si>
  <si>
    <t>28/2023/A/229</t>
  </si>
  <si>
    <t>Przebudowa wraz z rozbudową ulicy Wczasowej w Gołdapi (odcinek od km 0+0,00 do km 0+909,25 oraz od kmm 0+997,34 do km 1+376,88)</t>
  </si>
  <si>
    <t>28/2023/A/231</t>
  </si>
  <si>
    <t>Remont DP nr 1185N Śliwica - Rychliki na odcinku Barzyna - Domki</t>
  </si>
  <si>
    <t>2811043</t>
  </si>
  <si>
    <t>2815083</t>
  </si>
  <si>
    <t>2814102</t>
  </si>
  <si>
    <t>2807011</t>
  </si>
  <si>
    <t>2814112</t>
  </si>
  <si>
    <t>2807032</t>
  </si>
  <si>
    <t>2816033</t>
  </si>
  <si>
    <t>2803011</t>
  </si>
  <si>
    <t>2809011</t>
  </si>
  <si>
    <t>2807063</t>
  </si>
  <si>
    <t>2815092</t>
  </si>
  <si>
    <t>2804012</t>
  </si>
  <si>
    <t>2818033</t>
  </si>
  <si>
    <t>2819033</t>
  </si>
  <si>
    <t>2812032</t>
  </si>
  <si>
    <t>2815011</t>
  </si>
  <si>
    <t>2814013</t>
  </si>
  <si>
    <t>2817011</t>
  </si>
  <si>
    <t>2805011</t>
  </si>
  <si>
    <t>2803043</t>
  </si>
  <si>
    <t>2803022</t>
  </si>
  <si>
    <t>2814033</t>
  </si>
  <si>
    <t>2812042</t>
  </si>
  <si>
    <t>2807052</t>
  </si>
  <si>
    <t>2816023</t>
  </si>
  <si>
    <t>2806011</t>
  </si>
  <si>
    <t>2807043</t>
  </si>
  <si>
    <t>2804063</t>
  </si>
  <si>
    <t>2801011</t>
  </si>
  <si>
    <t>2814023</t>
  </si>
  <si>
    <t>2805032</t>
  </si>
  <si>
    <t>2810023</t>
  </si>
  <si>
    <t>2817062</t>
  </si>
  <si>
    <t>2806102</t>
  </si>
  <si>
    <t>2813032</t>
  </si>
  <si>
    <t>2808062</t>
  </si>
  <si>
    <t>2801032</t>
  </si>
  <si>
    <t>2817043</t>
  </si>
  <si>
    <t>2814052</t>
  </si>
  <si>
    <t>2815052</t>
  </si>
  <si>
    <t>2804032</t>
  </si>
  <si>
    <t>2807073</t>
  </si>
  <si>
    <t>2806083</t>
  </si>
  <si>
    <t>16.03.2022-31.12.2023</t>
  </si>
  <si>
    <t>18.07.2022-29.02.2024</t>
  </si>
  <si>
    <t>01.06.2022-30.12.2024</t>
  </si>
  <si>
    <t>29.06.2022-30.06.2024</t>
  </si>
  <si>
    <t>12*</t>
  </si>
  <si>
    <t>13*</t>
  </si>
  <si>
    <t>14*</t>
  </si>
  <si>
    <t>15*</t>
  </si>
  <si>
    <t>16*</t>
  </si>
  <si>
    <t>18*</t>
  </si>
  <si>
    <t>19*</t>
  </si>
  <si>
    <t>34*</t>
  </si>
  <si>
    <t>280105</t>
  </si>
  <si>
    <t>2801052</t>
  </si>
  <si>
    <t>Przebudowa z rozbudową drogi gminnej Ostrzeszewo - Szczęsne</t>
  </si>
  <si>
    <t>28/2023/A/11</t>
  </si>
  <si>
    <t xml:space="preserve"> Przebudowa dróg gminnych w miejscowości Gronity - ul. Na wzgórzu</t>
  </si>
  <si>
    <t>47*</t>
  </si>
  <si>
    <t>52*</t>
  </si>
  <si>
    <t>28/2023/A/24</t>
  </si>
  <si>
    <t>Przebudowa drogi Wąpiersk - Tarczyny</t>
  </si>
  <si>
    <t>28/2023/A/192</t>
  </si>
  <si>
    <t xml:space="preserve"> Przebudowa drogi gminnej w miejscowości Pierławki</t>
  </si>
  <si>
    <t>28/2023/A/119</t>
  </si>
  <si>
    <t>Przebudowa ul. Polnej w Bartoszycach</t>
  </si>
  <si>
    <t>28/2023/A/57</t>
  </si>
  <si>
    <t>28/2023/A/83</t>
  </si>
  <si>
    <t>Gmina Szczytno</t>
  </si>
  <si>
    <t>Przebudowa drogi wewnętrznej w miejscowości Gawrzyjałki (dz. Nr 358 oraz 356/6)</t>
  </si>
  <si>
    <t>03.04.2023-30.09.2023</t>
  </si>
  <si>
    <t>28/2023/A/190</t>
  </si>
  <si>
    <t>28/2023/A/42</t>
  </si>
  <si>
    <t xml:space="preserve"> Budowa drogi gminnej w Piątkach</t>
  </si>
  <si>
    <t>28/2023/A/156</t>
  </si>
  <si>
    <t>Gmina Wydminy</t>
  </si>
  <si>
    <t>Remont nawierzchni drogi gminnej nr 136006N Pamry - Talki</t>
  </si>
  <si>
    <t>03.05.2023-31.10.2023</t>
  </si>
  <si>
    <t>28/2023/A/9</t>
  </si>
  <si>
    <t>28/2023/A/211</t>
  </si>
  <si>
    <t>Przebudowa drogi gminnej Nr 138007N w Zawadach Oleckich</t>
  </si>
  <si>
    <t>28/2023/A/63</t>
  </si>
  <si>
    <t>Gmina Srokowo</t>
  </si>
  <si>
    <t>Remont drogi gminnej w Leśniewie od km 0+000,00 do 0+739,65, dz. Nr 419/2</t>
  </si>
  <si>
    <t>28/2023/A/195</t>
  </si>
  <si>
    <t>Gmina Bartoszyce</t>
  </si>
  <si>
    <t>Remont drogi gminnej w msc. Połęcze poprzez wymianę nawierzchni</t>
  </si>
  <si>
    <t>28/2023/A/80</t>
  </si>
  <si>
    <t>Gmina Pasym</t>
  </si>
  <si>
    <t>01.05.2023-30.09.2023</t>
  </si>
  <si>
    <t>28/2023/A/99</t>
  </si>
  <si>
    <t>Przebudowa dróg gminnych w miejscowości Sząbruk - ul. Akacjowa od skrzyżowania z ul. Kasztanową do ul. Mikołaja Kopernika wraz z Jarzębinową</t>
  </si>
  <si>
    <t>28/2023/A/226</t>
  </si>
  <si>
    <t>Gmina Małdyty</t>
  </si>
  <si>
    <t xml:space="preserve"> Przebudowa drogi gminnej w miejscowości Szymonowo w granicach istniejącego pasa drogowego na dz. 37, 38 obr. Szymonowo, gm. Małdyty</t>
  </si>
  <si>
    <t>28/2023/A/225</t>
  </si>
  <si>
    <t>Przebudowa drogi gminnej w miejscowości Surzyki Wielkie</t>
  </si>
  <si>
    <t>28/2023/A/96</t>
  </si>
  <si>
    <t>Przebudowa dróg gminnych w miejscowości Sząbruk - ul. Leśna - etap II</t>
  </si>
  <si>
    <t>28/2023/A/33</t>
  </si>
  <si>
    <t>Przebudowa nawierzchni ulicy Sembrzyckiego w Ostródzie</t>
  </si>
  <si>
    <t>01.03.2023-30.12.2023</t>
  </si>
  <si>
    <t>28/2023/A/222</t>
  </si>
  <si>
    <t>Gmina Gronowo Elbląskie</t>
  </si>
  <si>
    <t>01.06.2023-30.05.2024</t>
  </si>
  <si>
    <t>28/2023/A/194</t>
  </si>
  <si>
    <t>28/2023/A/19</t>
  </si>
  <si>
    <t>Przebudowa drogi gminnej we wsi Piętki</t>
  </si>
  <si>
    <t>28/2023/A/32</t>
  </si>
  <si>
    <t>Przebudowa ulicy Szwoleżerów - Kozietulskiego - Traugutta w Ostródzie</t>
  </si>
  <si>
    <t>28/2023/A/1</t>
  </si>
  <si>
    <t>Gmina Zalewo</t>
  </si>
  <si>
    <t>Przebudowa drogi gminnej nr 145015N Dobrzyki - Kolonia (Bujwidowo)</t>
  </si>
  <si>
    <t>Remont drogi gminnej nr 102072N tj. ul. Łączności w miejscowości Gronowo Elbląskie</t>
  </si>
  <si>
    <t>Budowa drogi gminnej w miejscowości Tylkowo</t>
  </si>
  <si>
    <t>Przebudowa drogi gminnej nr 119005N oraz odcinka drogi gminnej nr 119006N pomiędzy miejscowościami Dobrzynka i Stega Mała w gminie Górowo Iławeckie</t>
  </si>
  <si>
    <t>Przebudowa ul. Świerkowej i Parkowej w Nikielkowie</t>
  </si>
  <si>
    <t>Przebudowa drogi gminnej w miejscowości Komorniki, gmina Działdowo</t>
  </si>
  <si>
    <t>Budowa drogi w ciągu ulicy: Lipowej nr 161538N w Biskupcu</t>
  </si>
  <si>
    <t>Remont drogi gminnej w msc. Galiny poprzez wymianę nawierzchni</t>
  </si>
  <si>
    <t>28/2023/A/187</t>
  </si>
  <si>
    <t>Gmina Ryn</t>
  </si>
  <si>
    <t>Przebudowa drogi gminnej nr 130007N do miejscowości Grzybowo</t>
  </si>
  <si>
    <t>28/2023/A/98</t>
  </si>
  <si>
    <t>Przebudowa dróg gminnych w miejscowości Sząbruk - ul. Fiołkowa, Rumiankowa, Makowa, Liliowa i Tulipanowa</t>
  </si>
  <si>
    <t>28/2023/A/182</t>
  </si>
  <si>
    <t>Przebudowa ulicy Klonowej w Lidzbarku</t>
  </si>
  <si>
    <t>01.06.2023-15.05.2024</t>
  </si>
  <si>
    <t>28/2023/A/10</t>
  </si>
  <si>
    <t>Przebudowa drogi gminnej dz. 715 (nr 167609N) oraz drogi na dz. 43/56 (43/69) w obrębie 3 Miasta Biskupiec</t>
  </si>
  <si>
    <t>2812052</t>
  </si>
  <si>
    <t>06.07.2022-30.06.2024</t>
  </si>
  <si>
    <t>28/2022/A/210</t>
  </si>
  <si>
    <t>Przebudowa drogi powiatowej nr 1441N ul. Warszawska w m. Stawiguda na odcinku od DK 51 do skrzyżowania z ulicą Olsztyńską</t>
  </si>
  <si>
    <t>01.03.2022-15.12.2023</t>
  </si>
  <si>
    <t>28/2022/A/77</t>
  </si>
  <si>
    <t xml:space="preserve">Przebudowa drogi powiatowej nr 1671N Lejkowo-Kipary-dr. nr 1512N od km 0+000 do 2+440 i od km 5+700 do 11+883  </t>
  </si>
  <si>
    <t>01.06.2022-30.08.2023</t>
  </si>
  <si>
    <t>21*</t>
  </si>
  <si>
    <t>22*</t>
  </si>
  <si>
    <t>49*</t>
  </si>
  <si>
    <t>54*</t>
  </si>
  <si>
    <t>28/2021/A/157</t>
  </si>
  <si>
    <t>Budowa dróg gminnych w miejscowości Olecko - Kolonia, gm. Olecko</t>
  </si>
  <si>
    <t>15.09.2021-28.04.2023</t>
  </si>
  <si>
    <t>28/2021/A/155</t>
  </si>
  <si>
    <t xml:space="preserve">Przebudowa drogi gminnej Nr 141010N (Rosochackie-Jaśki) od drogi powiatowej 1816N (Dunajek-Świętajno-Olecko) do drogi powiatowej 1814N (Jaśki-Dobki) </t>
  </si>
  <si>
    <t>20.08.2021-28.04.2023</t>
  </si>
  <si>
    <t>28/2021/A/159</t>
  </si>
  <si>
    <t>Przebudowa drogi gminnej Nr 141013N dł. 1,191 km od drogi powiatowej 1992N (ul. Ełcka) do drogi powiatowej 1826N (Kukowo)</t>
  </si>
  <si>
    <t>28/2021/A/156</t>
  </si>
  <si>
    <t>Przebudowa odcinka drogi gminnej Nr 141043N od drogi woj. 655 - do drogi gminnej 141006N oraz budowa drogi gminnej 141006N (droga wewnętrzna) - Gordejki</t>
  </si>
  <si>
    <t>28/2021/A/160</t>
  </si>
  <si>
    <t>Budowa odcinka drogi gminnej Nr 141016N w Gąskach o dł. 0,755 km z wyjazdem na drogę krajową Nr 65 nowym przebiegiem przez działkę Nr 47</t>
  </si>
  <si>
    <t>28/2021/A/195</t>
  </si>
  <si>
    <t>Budowa nawierzchni ul. I Dywizji w Ostródzie</t>
  </si>
  <si>
    <t>24.09.2021-15.05.2023</t>
  </si>
  <si>
    <t>42*</t>
  </si>
  <si>
    <t>43*</t>
  </si>
  <si>
    <t>44*</t>
  </si>
  <si>
    <t>45*</t>
  </si>
  <si>
    <t>46*</t>
  </si>
  <si>
    <t>48*</t>
  </si>
  <si>
    <t>50*</t>
  </si>
  <si>
    <t>51*</t>
  </si>
  <si>
    <t>53*</t>
  </si>
  <si>
    <t>55*</t>
  </si>
  <si>
    <t>56*</t>
  </si>
  <si>
    <t>57*</t>
  </si>
  <si>
    <t>58*</t>
  </si>
  <si>
    <t>59*</t>
  </si>
  <si>
    <t>71*</t>
  </si>
  <si>
    <t>64*</t>
  </si>
  <si>
    <t>70*</t>
  </si>
  <si>
    <t>83*</t>
  </si>
  <si>
    <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[lipiec 2022]</t>
    </r>
  </si>
  <si>
    <t>Województwo: [warmińsko-mazurskie]</t>
  </si>
  <si>
    <t>97*</t>
  </si>
  <si>
    <t>27*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</si>
</sst>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  <numFmt numFmtId="168" formatCode="0.000"/>
  </numFmts>
  <fonts count="37" x14ac:knownFonts="1">
    <font>
      <sz val="11"/>
      <color theme="1"/>
      <name val="Calibri"/>
      <family val="2"/>
      <charset val="238"/>
      <scheme val="minor"/>
    </font>
    <font>
      <b/>
      <vertAlign val="superscript"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9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8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34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6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5" fillId="0" borderId="0" xfId="0" applyNumberFormat="1" applyFont="1"/>
    <xf numFmtId="4" fontId="6" fillId="0" borderId="0" xfId="0" applyNumberFormat="1" applyFont="1"/>
    <xf numFmtId="0" fontId="14" fillId="0" borderId="0" xfId="0" applyFont="1"/>
    <xf numFmtId="4" fontId="6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12" fillId="0" borderId="0" xfId="7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166" fontId="8" fillId="2" borderId="4" xfId="0" applyNumberFormat="1" applyFont="1" applyFill="1" applyBorder="1" applyAlignment="1">
      <alignment vertical="center"/>
    </xf>
    <xf numFmtId="166" fontId="20" fillId="2" borderId="4" xfId="0" applyNumberFormat="1" applyFont="1" applyFill="1" applyBorder="1" applyAlignment="1">
      <alignment vertical="center"/>
    </xf>
    <xf numFmtId="166" fontId="20" fillId="4" borderId="2" xfId="0" applyNumberFormat="1" applyFont="1" applyFill="1" applyBorder="1" applyAlignment="1">
      <alignment vertical="center"/>
    </xf>
    <xf numFmtId="166" fontId="8" fillId="5" borderId="2" xfId="0" applyNumberFormat="1" applyFont="1" applyFill="1" applyBorder="1" applyAlignment="1">
      <alignment vertical="center"/>
    </xf>
    <xf numFmtId="166" fontId="25" fillId="6" borderId="2" xfId="0" applyNumberFormat="1" applyFont="1" applyFill="1" applyBorder="1" applyAlignment="1">
      <alignment vertical="center"/>
    </xf>
    <xf numFmtId="166" fontId="8" fillId="4" borderId="2" xfId="0" applyNumberFormat="1" applyFont="1" applyFill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vertical="center"/>
    </xf>
    <xf numFmtId="166" fontId="8" fillId="5" borderId="7" xfId="0" applyNumberFormat="1" applyFont="1" applyFill="1" applyBorder="1" applyAlignment="1">
      <alignment vertical="center"/>
    </xf>
    <xf numFmtId="0" fontId="20" fillId="4" borderId="8" xfId="0" applyFont="1" applyFill="1" applyBorder="1" applyAlignment="1">
      <alignment vertical="center"/>
    </xf>
    <xf numFmtId="0" fontId="8" fillId="4" borderId="8" xfId="0" applyFont="1" applyFill="1" applyBorder="1" applyAlignment="1">
      <alignment vertical="center"/>
    </xf>
    <xf numFmtId="0" fontId="8" fillId="5" borderId="8" xfId="0" applyFont="1" applyFill="1" applyBorder="1" applyAlignment="1">
      <alignment vertical="center"/>
    </xf>
    <xf numFmtId="0" fontId="25" fillId="6" borderId="8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2"/>
    </xf>
    <xf numFmtId="166" fontId="20" fillId="4" borderId="3" xfId="0" applyNumberFormat="1" applyFont="1" applyFill="1" applyBorder="1" applyAlignment="1">
      <alignment vertical="center"/>
    </xf>
    <xf numFmtId="166" fontId="8" fillId="4" borderId="3" xfId="0" applyNumberFormat="1" applyFont="1" applyFill="1" applyBorder="1" applyAlignment="1">
      <alignment vertical="center"/>
    </xf>
    <xf numFmtId="166" fontId="8" fillId="5" borderId="3" xfId="0" applyNumberFormat="1" applyFont="1" applyFill="1" applyBorder="1" applyAlignment="1">
      <alignment vertical="center"/>
    </xf>
    <xf numFmtId="166" fontId="25" fillId="6" borderId="3" xfId="0" applyNumberFormat="1" applyFont="1" applyFill="1" applyBorder="1" applyAlignment="1">
      <alignment vertical="center"/>
    </xf>
    <xf numFmtId="0" fontId="6" fillId="0" borderId="9" xfId="0" applyFont="1" applyBorder="1" applyAlignment="1">
      <alignment vertical="center"/>
    </xf>
    <xf numFmtId="166" fontId="20" fillId="4" borderId="8" xfId="0" applyNumberFormat="1" applyFont="1" applyFill="1" applyBorder="1" applyAlignment="1">
      <alignment vertical="center"/>
    </xf>
    <xf numFmtId="166" fontId="8" fillId="4" borderId="8" xfId="0" applyNumberFormat="1" applyFont="1" applyFill="1" applyBorder="1" applyAlignment="1">
      <alignment vertical="center"/>
    </xf>
    <xf numFmtId="166" fontId="8" fillId="5" borderId="8" xfId="0" applyNumberFormat="1" applyFont="1" applyFill="1" applyBorder="1" applyAlignment="1">
      <alignment vertical="center"/>
    </xf>
    <xf numFmtId="166" fontId="25" fillId="6" borderId="8" xfId="0" applyNumberFormat="1" applyFont="1" applyFill="1" applyBorder="1" applyAlignment="1">
      <alignment vertical="center"/>
    </xf>
    <xf numFmtId="166" fontId="25" fillId="2" borderId="4" xfId="0" applyNumberFormat="1" applyFont="1" applyFill="1" applyBorder="1" applyAlignme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6" fontId="8" fillId="2" borderId="13" xfId="0" applyNumberFormat="1" applyFont="1" applyFill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166" fontId="8" fillId="0" borderId="16" xfId="0" applyNumberFormat="1" applyFont="1" applyBorder="1" applyAlignment="1">
      <alignment vertical="center"/>
    </xf>
    <xf numFmtId="166" fontId="8" fillId="0" borderId="17" xfId="0" applyNumberFormat="1" applyFont="1" applyBorder="1" applyAlignment="1">
      <alignment vertical="center"/>
    </xf>
    <xf numFmtId="166" fontId="8" fillId="2" borderId="18" xfId="0" applyNumberFormat="1" applyFont="1" applyFill="1" applyBorder="1" applyAlignment="1">
      <alignment vertical="center"/>
    </xf>
    <xf numFmtId="166" fontId="8" fillId="0" borderId="15" xfId="0" applyNumberFormat="1" applyFont="1" applyBorder="1" applyAlignment="1">
      <alignment vertical="center"/>
    </xf>
    <xf numFmtId="166" fontId="8" fillId="0" borderId="19" xfId="0" applyNumberFormat="1" applyFont="1" applyBorder="1" applyAlignment="1">
      <alignment vertical="center"/>
    </xf>
    <xf numFmtId="0" fontId="20" fillId="0" borderId="20" xfId="0" applyFont="1" applyBorder="1" applyAlignment="1">
      <alignment horizontal="left" vertical="center" wrapText="1" indent="2"/>
    </xf>
    <xf numFmtId="0" fontId="8" fillId="0" borderId="20" xfId="0" applyFont="1" applyBorder="1" applyAlignment="1">
      <alignment horizontal="left" vertical="center" indent="2"/>
    </xf>
    <xf numFmtId="0" fontId="20" fillId="0" borderId="21" xfId="0" applyFont="1" applyBorder="1" applyAlignment="1">
      <alignment horizontal="left" vertical="center" indent="2"/>
    </xf>
    <xf numFmtId="166" fontId="20" fillId="2" borderId="22" xfId="0" applyNumberFormat="1" applyFont="1" applyFill="1" applyBorder="1" applyAlignment="1">
      <alignment vertical="center"/>
    </xf>
    <xf numFmtId="0" fontId="26" fillId="4" borderId="14" xfId="0" applyFont="1" applyFill="1" applyBorder="1" applyAlignment="1">
      <alignment vertical="center"/>
    </xf>
    <xf numFmtId="0" fontId="26" fillId="4" borderId="15" xfId="0" applyFont="1" applyFill="1" applyBorder="1" applyAlignment="1">
      <alignment vertical="center"/>
    </xf>
    <xf numFmtId="166" fontId="26" fillId="4" borderId="16" xfId="0" applyNumberFormat="1" applyFont="1" applyFill="1" applyBorder="1" applyAlignment="1">
      <alignment vertical="center"/>
    </xf>
    <xf numFmtId="166" fontId="26" fillId="4" borderId="17" xfId="0" applyNumberFormat="1" applyFont="1" applyFill="1" applyBorder="1" applyAlignment="1">
      <alignment vertical="center"/>
    </xf>
    <xf numFmtId="166" fontId="26" fillId="2" borderId="18" xfId="0" applyNumberFormat="1" applyFont="1" applyFill="1" applyBorder="1" applyAlignment="1">
      <alignment vertical="center"/>
    </xf>
    <xf numFmtId="166" fontId="26" fillId="4" borderId="15" xfId="0" applyNumberFormat="1" applyFont="1" applyFill="1" applyBorder="1" applyAlignment="1">
      <alignment vertical="center"/>
    </xf>
    <xf numFmtId="166" fontId="26" fillId="4" borderId="19" xfId="0" applyNumberFormat="1" applyFont="1" applyFill="1" applyBorder="1" applyAlignment="1">
      <alignment vertical="center"/>
    </xf>
    <xf numFmtId="0" fontId="20" fillId="4" borderId="20" xfId="0" applyFont="1" applyFill="1" applyBorder="1" applyAlignment="1">
      <alignment horizontal="left" vertical="center" wrapText="1" indent="2"/>
    </xf>
    <xf numFmtId="166" fontId="20" fillId="4" borderId="23" xfId="0" applyNumberFormat="1" applyFont="1" applyFill="1" applyBorder="1" applyAlignment="1">
      <alignment vertical="center"/>
    </xf>
    <xf numFmtId="0" fontId="8" fillId="4" borderId="20" xfId="0" applyFont="1" applyFill="1" applyBorder="1" applyAlignment="1">
      <alignment horizontal="left" vertical="center" indent="2"/>
    </xf>
    <xf numFmtId="166" fontId="8" fillId="4" borderId="23" xfId="0" applyNumberFormat="1" applyFont="1" applyFill="1" applyBorder="1" applyAlignment="1">
      <alignment vertical="center"/>
    </xf>
    <xf numFmtId="0" fontId="20" fillId="4" borderId="21" xfId="0" applyFont="1" applyFill="1" applyBorder="1" applyAlignment="1">
      <alignment horizontal="left" vertical="center" indent="2"/>
    </xf>
    <xf numFmtId="0" fontId="20" fillId="4" borderId="24" xfId="0" applyFont="1" applyFill="1" applyBorder="1" applyAlignment="1">
      <alignment vertical="center"/>
    </xf>
    <xf numFmtId="166" fontId="20" fillId="4" borderId="25" xfId="0" applyNumberFormat="1" applyFont="1" applyFill="1" applyBorder="1" applyAlignment="1">
      <alignment vertical="center"/>
    </xf>
    <xf numFmtId="166" fontId="20" fillId="4" borderId="26" xfId="0" applyNumberFormat="1" applyFont="1" applyFill="1" applyBorder="1" applyAlignment="1">
      <alignment vertical="center"/>
    </xf>
    <xf numFmtId="166" fontId="20" fillId="4" borderId="24" xfId="0" applyNumberFormat="1" applyFont="1" applyFill="1" applyBorder="1" applyAlignment="1">
      <alignment vertical="center"/>
    </xf>
    <xf numFmtId="166" fontId="20" fillId="4" borderId="27" xfId="0" applyNumberFormat="1" applyFont="1" applyFill="1" applyBorder="1" applyAlignment="1">
      <alignment vertical="center"/>
    </xf>
    <xf numFmtId="0" fontId="8" fillId="5" borderId="13" xfId="0" applyFont="1" applyFill="1" applyBorder="1" applyAlignment="1">
      <alignment vertical="center"/>
    </xf>
    <xf numFmtId="0" fontId="8" fillId="5" borderId="28" xfId="0" applyFont="1" applyFill="1" applyBorder="1" applyAlignment="1">
      <alignment vertical="center"/>
    </xf>
    <xf numFmtId="166" fontId="8" fillId="5" borderId="29" xfId="0" applyNumberFormat="1" applyFont="1" applyFill="1" applyBorder="1" applyAlignment="1">
      <alignment vertical="center"/>
    </xf>
    <xf numFmtId="166" fontId="8" fillId="5" borderId="30" xfId="0" applyNumberFormat="1" applyFont="1" applyFill="1" applyBorder="1" applyAlignment="1">
      <alignment vertical="center"/>
    </xf>
    <xf numFmtId="166" fontId="8" fillId="5" borderId="28" xfId="0" applyNumberFormat="1" applyFont="1" applyFill="1" applyBorder="1" applyAlignment="1">
      <alignment vertical="center"/>
    </xf>
    <xf numFmtId="166" fontId="8" fillId="5" borderId="31" xfId="0" applyNumberFormat="1" applyFont="1" applyFill="1" applyBorder="1" applyAlignment="1">
      <alignment vertical="center"/>
    </xf>
    <xf numFmtId="0" fontId="20" fillId="5" borderId="32" xfId="0" applyFont="1" applyFill="1" applyBorder="1" applyAlignment="1">
      <alignment horizontal="left" vertical="center" indent="2"/>
    </xf>
    <xf numFmtId="0" fontId="20" fillId="5" borderId="10" xfId="0" applyFont="1" applyFill="1" applyBorder="1" applyAlignment="1">
      <alignment vertical="center"/>
    </xf>
    <xf numFmtId="166" fontId="20" fillId="5" borderId="11" xfId="0" applyNumberFormat="1" applyFont="1" applyFill="1" applyBorder="1" applyAlignment="1">
      <alignment vertical="center"/>
    </xf>
    <xf numFmtId="166" fontId="20" fillId="5" borderId="33" xfId="0" applyNumberFormat="1" applyFont="1" applyFill="1" applyBorder="1" applyAlignment="1">
      <alignment vertical="center"/>
    </xf>
    <xf numFmtId="166" fontId="20" fillId="2" borderId="32" xfId="0" applyNumberFormat="1" applyFont="1" applyFill="1" applyBorder="1" applyAlignment="1">
      <alignment vertical="center"/>
    </xf>
    <xf numFmtId="166" fontId="20" fillId="5" borderId="10" xfId="0" applyNumberFormat="1" applyFont="1" applyFill="1" applyBorder="1" applyAlignment="1">
      <alignment vertical="center"/>
    </xf>
    <xf numFmtId="166" fontId="20" fillId="5" borderId="12" xfId="0" applyNumberFormat="1" applyFont="1" applyFill="1" applyBorder="1" applyAlignment="1">
      <alignment vertical="center"/>
    </xf>
    <xf numFmtId="0" fontId="8" fillId="6" borderId="14" xfId="0" applyFont="1" applyFill="1" applyBorder="1" applyAlignment="1">
      <alignment vertical="center"/>
    </xf>
    <xf numFmtId="0" fontId="25" fillId="6" borderId="15" xfId="0" applyFont="1" applyFill="1" applyBorder="1" applyAlignment="1">
      <alignment vertical="center"/>
    </xf>
    <xf numFmtId="166" fontId="25" fillId="6" borderId="16" xfId="0" applyNumberFormat="1" applyFont="1" applyFill="1" applyBorder="1" applyAlignment="1">
      <alignment vertical="center"/>
    </xf>
    <xf numFmtId="166" fontId="25" fillId="6" borderId="17" xfId="0" applyNumberFormat="1" applyFont="1" applyFill="1" applyBorder="1" applyAlignment="1">
      <alignment vertical="center"/>
    </xf>
    <xf numFmtId="166" fontId="25" fillId="2" borderId="18" xfId="0" applyNumberFormat="1" applyFont="1" applyFill="1" applyBorder="1" applyAlignment="1">
      <alignment vertical="center"/>
    </xf>
    <xf numFmtId="166" fontId="25" fillId="6" borderId="15" xfId="0" applyNumberFormat="1" applyFont="1" applyFill="1" applyBorder="1" applyAlignment="1">
      <alignment vertical="center"/>
    </xf>
    <xf numFmtId="166" fontId="25" fillId="6" borderId="19" xfId="0" applyNumberFormat="1" applyFont="1" applyFill="1" applyBorder="1" applyAlignment="1">
      <alignment vertical="center"/>
    </xf>
    <xf numFmtId="0" fontId="8" fillId="6" borderId="20" xfId="0" applyFont="1" applyFill="1" applyBorder="1" applyAlignment="1">
      <alignment horizontal="left" vertical="center" indent="2"/>
    </xf>
    <xf numFmtId="166" fontId="25" fillId="6" borderId="23" xfId="0" applyNumberFormat="1" applyFont="1" applyFill="1" applyBorder="1" applyAlignment="1">
      <alignment vertical="center"/>
    </xf>
    <xf numFmtId="0" fontId="20" fillId="6" borderId="21" xfId="0" applyFont="1" applyFill="1" applyBorder="1" applyAlignment="1">
      <alignment horizontal="left" vertical="center" indent="2"/>
    </xf>
    <xf numFmtId="0" fontId="20" fillId="6" borderId="24" xfId="0" applyFont="1" applyFill="1" applyBorder="1" applyAlignment="1">
      <alignment vertical="center"/>
    </xf>
    <xf numFmtId="166" fontId="20" fillId="6" borderId="25" xfId="0" applyNumberFormat="1" applyFont="1" applyFill="1" applyBorder="1" applyAlignment="1">
      <alignment vertical="center"/>
    </xf>
    <xf numFmtId="166" fontId="20" fillId="6" borderId="26" xfId="0" applyNumberFormat="1" applyFont="1" applyFill="1" applyBorder="1" applyAlignment="1">
      <alignment vertical="center"/>
    </xf>
    <xf numFmtId="166" fontId="20" fillId="6" borderId="24" xfId="0" applyNumberFormat="1" applyFont="1" applyFill="1" applyBorder="1" applyAlignment="1">
      <alignment vertical="center"/>
    </xf>
    <xf numFmtId="166" fontId="20" fillId="6" borderId="27" xfId="0" applyNumberFormat="1" applyFont="1" applyFill="1" applyBorder="1" applyAlignment="1">
      <alignment vertical="center"/>
    </xf>
    <xf numFmtId="0" fontId="20" fillId="3" borderId="8" xfId="0" applyFont="1" applyFill="1" applyBorder="1" applyAlignment="1">
      <alignment vertical="center"/>
    </xf>
    <xf numFmtId="166" fontId="20" fillId="3" borderId="2" xfId="0" applyNumberFormat="1" applyFont="1" applyFill="1" applyBorder="1" applyAlignment="1">
      <alignment vertical="center"/>
    </xf>
    <xf numFmtId="166" fontId="20" fillId="3" borderId="3" xfId="0" applyNumberFormat="1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166" fontId="8" fillId="3" borderId="2" xfId="0" applyNumberFormat="1" applyFont="1" applyFill="1" applyBorder="1" applyAlignment="1">
      <alignment vertical="center"/>
    </xf>
    <xf numFmtId="166" fontId="8" fillId="3" borderId="3" xfId="0" applyNumberFormat="1" applyFont="1" applyFill="1" applyBorder="1" applyAlignment="1">
      <alignment vertical="center"/>
    </xf>
    <xf numFmtId="0" fontId="20" fillId="3" borderId="24" xfId="0" applyFont="1" applyFill="1" applyBorder="1" applyAlignment="1">
      <alignment vertical="center"/>
    </xf>
    <xf numFmtId="166" fontId="20" fillId="3" borderId="25" xfId="0" applyNumberFormat="1" applyFont="1" applyFill="1" applyBorder="1" applyAlignment="1">
      <alignment vertical="center"/>
    </xf>
    <xf numFmtId="166" fontId="20" fillId="3" borderId="26" xfId="0" applyNumberFormat="1" applyFont="1" applyFill="1" applyBorder="1" applyAlignment="1">
      <alignment vertical="center"/>
    </xf>
    <xf numFmtId="166" fontId="20" fillId="3" borderId="8" xfId="0" applyNumberFormat="1" applyFont="1" applyFill="1" applyBorder="1" applyAlignment="1">
      <alignment vertical="center"/>
    </xf>
    <xf numFmtId="166" fontId="20" fillId="3" borderId="23" xfId="0" applyNumberFormat="1" applyFont="1" applyFill="1" applyBorder="1" applyAlignment="1">
      <alignment vertical="center"/>
    </xf>
    <xf numFmtId="166" fontId="8" fillId="3" borderId="8" xfId="0" applyNumberFormat="1" applyFont="1" applyFill="1" applyBorder="1" applyAlignment="1">
      <alignment vertical="center"/>
    </xf>
    <xf numFmtId="166" fontId="8" fillId="3" borderId="23" xfId="0" applyNumberFormat="1" applyFont="1" applyFill="1" applyBorder="1" applyAlignment="1">
      <alignment vertical="center"/>
    </xf>
    <xf numFmtId="166" fontId="20" fillId="3" borderId="24" xfId="0" applyNumberFormat="1" applyFont="1" applyFill="1" applyBorder="1" applyAlignment="1">
      <alignment vertical="center"/>
    </xf>
    <xf numFmtId="166" fontId="20" fillId="3" borderId="27" xfId="0" applyNumberFormat="1" applyFont="1" applyFill="1" applyBorder="1" applyAlignment="1">
      <alignment vertical="center"/>
    </xf>
    <xf numFmtId="166" fontId="8" fillId="3" borderId="15" xfId="0" applyNumberFormat="1" applyFont="1" applyFill="1" applyBorder="1" applyAlignment="1">
      <alignment vertical="center"/>
    </xf>
    <xf numFmtId="166" fontId="8" fillId="3" borderId="16" xfId="0" applyNumberFormat="1" applyFont="1" applyFill="1" applyBorder="1" applyAlignment="1">
      <alignment vertical="center"/>
    </xf>
    <xf numFmtId="166" fontId="8" fillId="3" borderId="19" xfId="0" applyNumberFormat="1" applyFont="1" applyFill="1" applyBorder="1" applyAlignment="1">
      <alignment vertical="center"/>
    </xf>
    <xf numFmtId="0" fontId="20" fillId="6" borderId="20" xfId="0" applyFont="1" applyFill="1" applyBorder="1" applyAlignment="1">
      <alignment horizontal="left" vertical="center" wrapText="1" indent="2"/>
    </xf>
    <xf numFmtId="0" fontId="20" fillId="6" borderId="28" xfId="0" applyFont="1" applyFill="1" applyBorder="1" applyAlignment="1">
      <alignment vertical="center"/>
    </xf>
    <xf numFmtId="166" fontId="20" fillId="6" borderId="2" xfId="0" applyNumberFormat="1" applyFont="1" applyFill="1" applyBorder="1" applyAlignment="1">
      <alignment vertical="center"/>
    </xf>
    <xf numFmtId="166" fontId="20" fillId="6" borderId="3" xfId="0" applyNumberFormat="1" applyFont="1" applyFill="1" applyBorder="1" applyAlignment="1">
      <alignment vertical="center"/>
    </xf>
    <xf numFmtId="166" fontId="20" fillId="6" borderId="8" xfId="0" applyNumberFormat="1" applyFont="1" applyFill="1" applyBorder="1" applyAlignment="1">
      <alignment vertical="center"/>
    </xf>
    <xf numFmtId="166" fontId="20" fillId="6" borderId="23" xfId="0" applyNumberFormat="1" applyFont="1" applyFill="1" applyBorder="1" applyAlignment="1">
      <alignment vertical="center"/>
    </xf>
    <xf numFmtId="4" fontId="30" fillId="0" borderId="2" xfId="2" applyNumberFormat="1" applyFont="1" applyFill="1" applyBorder="1" applyAlignment="1">
      <alignment horizontal="right" vertical="center" wrapText="1"/>
    </xf>
    <xf numFmtId="4" fontId="28" fillId="0" borderId="2" xfId="2" applyNumberFormat="1" applyFont="1" applyFill="1" applyBorder="1" applyAlignment="1">
      <alignment horizontal="right" vertical="center" wrapText="1"/>
    </xf>
    <xf numFmtId="164" fontId="30" fillId="0" borderId="2" xfId="2" applyFont="1" applyFill="1" applyBorder="1" applyAlignment="1">
      <alignment horizontal="right" vertical="center" wrapText="1"/>
    </xf>
    <xf numFmtId="164" fontId="28" fillId="0" borderId="2" xfId="2" applyFont="1" applyFill="1" applyBorder="1" applyAlignment="1">
      <alignment horizontal="right" vertical="center" wrapText="1"/>
    </xf>
    <xf numFmtId="43" fontId="28" fillId="0" borderId="2" xfId="1" applyFont="1" applyFill="1" applyBorder="1" applyAlignment="1">
      <alignment horizontal="right" vertical="center" wrapText="1"/>
    </xf>
    <xf numFmtId="43" fontId="28" fillId="0" borderId="2" xfId="1" applyFont="1" applyFill="1" applyBorder="1" applyAlignment="1">
      <alignment horizontal="right" vertical="center"/>
    </xf>
    <xf numFmtId="9" fontId="30" fillId="0" borderId="2" xfId="6" applyFont="1" applyFill="1" applyBorder="1" applyAlignment="1">
      <alignment horizontal="center" vertical="center" wrapText="1"/>
    </xf>
    <xf numFmtId="43" fontId="30" fillId="0" borderId="2" xfId="1" applyFont="1" applyFill="1" applyBorder="1" applyAlignment="1">
      <alignment horizontal="right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0" fillId="7" borderId="0" xfId="0" applyFill="1" applyAlignment="1">
      <alignment horizontal="center" vertical="center"/>
    </xf>
    <xf numFmtId="9" fontId="12" fillId="7" borderId="0" xfId="7" applyFont="1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4" fontId="19" fillId="7" borderId="0" xfId="0" applyNumberFormat="1" applyFont="1" applyFill="1" applyAlignment="1">
      <alignment vertical="center"/>
    </xf>
    <xf numFmtId="0" fontId="19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1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29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4" fontId="30" fillId="0" borderId="2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 indent="1"/>
    </xf>
    <xf numFmtId="9" fontId="3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0" fillId="0" borderId="2" xfId="0" applyNumberFormat="1" applyFont="1" applyFill="1" applyBorder="1" applyAlignment="1">
      <alignment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167" fontId="30" fillId="0" borderId="2" xfId="0" applyNumberFormat="1" applyFont="1" applyFill="1" applyBorder="1" applyAlignment="1">
      <alignment horizontal="center" vertical="center"/>
    </xf>
    <xf numFmtId="165" fontId="30" fillId="0" borderId="2" xfId="0" applyNumberFormat="1" applyFont="1" applyFill="1" applyBorder="1" applyAlignment="1">
      <alignment horizontal="center" vertical="center" wrapText="1"/>
    </xf>
    <xf numFmtId="4" fontId="28" fillId="0" borderId="2" xfId="0" applyNumberFormat="1" applyFont="1" applyFill="1" applyBorder="1" applyAlignment="1">
      <alignment horizontal="right" vertical="center"/>
    </xf>
    <xf numFmtId="4" fontId="28" fillId="0" borderId="3" xfId="0" applyNumberFormat="1" applyFont="1" applyFill="1" applyBorder="1" applyAlignment="1">
      <alignment horizontal="right" vertical="center"/>
    </xf>
    <xf numFmtId="4" fontId="28" fillId="0" borderId="2" xfId="0" applyNumberFormat="1" applyFont="1" applyFill="1" applyBorder="1" applyAlignment="1">
      <alignment horizontal="right" vertical="center" wrapText="1"/>
    </xf>
    <xf numFmtId="9" fontId="30" fillId="0" borderId="2" xfId="0" applyNumberFormat="1" applyFont="1" applyFill="1" applyBorder="1" applyAlignment="1">
      <alignment horizontal="center" vertical="center"/>
    </xf>
    <xf numFmtId="4" fontId="30" fillId="0" borderId="3" xfId="0" applyNumberFormat="1" applyFont="1" applyFill="1" applyBorder="1" applyAlignment="1">
      <alignment horizontal="right" vertical="center"/>
    </xf>
    <xf numFmtId="4" fontId="30" fillId="0" borderId="2" xfId="0" applyNumberFormat="1" applyFont="1" applyFill="1" applyBorder="1" applyAlignment="1">
      <alignment horizontal="right" vertical="center" wrapText="1"/>
    </xf>
    <xf numFmtId="49" fontId="30" fillId="0" borderId="2" xfId="0" applyNumberFormat="1" applyFont="1" applyFill="1" applyBorder="1" applyAlignment="1">
      <alignment horizontal="left" vertical="center" wrapText="1"/>
    </xf>
    <xf numFmtId="0" fontId="27" fillId="0" borderId="29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horizontal="left" vertical="center" wrapText="1"/>
    </xf>
    <xf numFmtId="49" fontId="27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167" fontId="27" fillId="0" borderId="2" xfId="0" applyNumberFormat="1" applyFont="1" applyFill="1" applyBorder="1" applyAlignment="1">
      <alignment horizontal="center" vertical="center"/>
    </xf>
    <xf numFmtId="165" fontId="27" fillId="0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right" vertical="center"/>
    </xf>
    <xf numFmtId="4" fontId="33" fillId="0" borderId="3" xfId="0" applyNumberFormat="1" applyFont="1" applyFill="1" applyBorder="1" applyAlignment="1">
      <alignment horizontal="right" vertical="center"/>
    </xf>
    <xf numFmtId="4" fontId="33" fillId="0" borderId="2" xfId="0" applyNumberFormat="1" applyFont="1" applyFill="1" applyBorder="1" applyAlignment="1">
      <alignment horizontal="right" vertical="center" wrapText="1"/>
    </xf>
    <xf numFmtId="9" fontId="27" fillId="0" borderId="2" xfId="0" applyNumberFormat="1" applyFont="1" applyFill="1" applyBorder="1" applyAlignment="1">
      <alignment horizontal="center" vertical="center"/>
    </xf>
    <xf numFmtId="4" fontId="27" fillId="0" borderId="3" xfId="0" applyNumberFormat="1" applyFont="1" applyFill="1" applyBorder="1" applyAlignment="1">
      <alignment horizontal="right" vertical="center"/>
    </xf>
    <xf numFmtId="2" fontId="27" fillId="0" borderId="2" xfId="2" applyNumberFormat="1" applyFont="1" applyFill="1" applyBorder="1" applyAlignment="1">
      <alignment horizontal="right" vertical="center" wrapText="1"/>
    </xf>
    <xf numFmtId="164" fontId="33" fillId="0" borderId="2" xfId="2" applyFont="1" applyFill="1" applyBorder="1" applyAlignment="1">
      <alignment horizontal="right" vertical="center" wrapText="1"/>
    </xf>
    <xf numFmtId="164" fontId="27" fillId="0" borderId="2" xfId="2" applyFont="1" applyFill="1" applyBorder="1" applyAlignment="1">
      <alignment horizontal="right" vertical="center" wrapText="1"/>
    </xf>
    <xf numFmtId="0" fontId="27" fillId="0" borderId="3" xfId="0" applyFont="1" applyFill="1" applyBorder="1" applyAlignment="1">
      <alignment horizontal="center" vertical="center" wrapText="1"/>
    </xf>
    <xf numFmtId="49" fontId="27" fillId="0" borderId="2" xfId="0" applyNumberFormat="1" applyFont="1" applyFill="1" applyBorder="1" applyAlignment="1">
      <alignment vertical="center" wrapText="1"/>
    </xf>
    <xf numFmtId="0" fontId="27" fillId="0" borderId="2" xfId="0" applyFont="1" applyFill="1" applyBorder="1" applyAlignment="1">
      <alignment vertical="center" wrapText="1"/>
    </xf>
    <xf numFmtId="2" fontId="33" fillId="0" borderId="2" xfId="1" applyNumberFormat="1" applyFont="1" applyFill="1" applyBorder="1" applyAlignment="1">
      <alignment horizontal="right" vertical="center" wrapText="1"/>
    </xf>
    <xf numFmtId="43" fontId="33" fillId="0" borderId="2" xfId="1" applyFont="1" applyFill="1" applyBorder="1" applyAlignment="1">
      <alignment horizontal="right" vertical="center" wrapText="1"/>
    </xf>
    <xf numFmtId="0" fontId="30" fillId="0" borderId="2" xfId="0" applyFont="1" applyFill="1" applyBorder="1" applyAlignment="1">
      <alignment vertical="center" wrapText="1"/>
    </xf>
    <xf numFmtId="2" fontId="30" fillId="0" borderId="2" xfId="2" applyNumberFormat="1" applyFont="1" applyFill="1" applyBorder="1" applyAlignment="1">
      <alignment horizontal="right" vertical="center" wrapText="1"/>
    </xf>
    <xf numFmtId="2" fontId="28" fillId="0" borderId="2" xfId="2" applyNumberFormat="1" applyFont="1" applyFill="1" applyBorder="1" applyAlignment="1">
      <alignment horizontal="right" vertical="center" wrapText="1"/>
    </xf>
    <xf numFmtId="2" fontId="30" fillId="0" borderId="2" xfId="1" applyNumberFormat="1" applyFont="1" applyFill="1" applyBorder="1" applyAlignment="1">
      <alignment horizontal="right" vertical="center" wrapText="1"/>
    </xf>
    <xf numFmtId="2" fontId="27" fillId="0" borderId="2" xfId="1" applyNumberFormat="1" applyFont="1" applyFill="1" applyBorder="1" applyAlignment="1">
      <alignment horizontal="right" vertical="center" wrapText="1"/>
    </xf>
    <xf numFmtId="2" fontId="33" fillId="0" borderId="2" xfId="2" applyNumberFormat="1" applyFont="1" applyFill="1" applyBorder="1" applyAlignment="1">
      <alignment horizontal="right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49" fontId="32" fillId="0" borderId="11" xfId="0" applyNumberFormat="1" applyFont="1" applyFill="1" applyBorder="1" applyAlignment="1">
      <alignment horizontal="left" vertical="center" wrapText="1"/>
    </xf>
    <xf numFmtId="49" fontId="32" fillId="0" borderId="11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left" vertical="center" wrapText="1"/>
    </xf>
    <xf numFmtId="167" fontId="32" fillId="0" borderId="2" xfId="0" applyNumberFormat="1" applyFont="1" applyFill="1" applyBorder="1" applyAlignment="1">
      <alignment horizontal="center" vertical="center"/>
    </xf>
    <xf numFmtId="165" fontId="32" fillId="0" borderId="2" xfId="0" applyNumberFormat="1" applyFont="1" applyFill="1" applyBorder="1" applyAlignment="1">
      <alignment horizontal="center" vertical="center" wrapText="1"/>
    </xf>
    <xf numFmtId="4" fontId="29" fillId="0" borderId="11" xfId="0" applyNumberFormat="1" applyFont="1" applyFill="1" applyBorder="1" applyAlignment="1">
      <alignment horizontal="right" vertical="center"/>
    </xf>
    <xf numFmtId="4" fontId="3" fillId="0" borderId="3" xfId="0" applyNumberFormat="1" applyFont="1" applyFill="1" applyBorder="1" applyAlignment="1">
      <alignment vertical="center"/>
    </xf>
    <xf numFmtId="4" fontId="3" fillId="0" borderId="2" xfId="0" applyNumberFormat="1" applyFont="1" applyFill="1" applyBorder="1" applyAlignment="1">
      <alignment vertical="center" wrapText="1"/>
    </xf>
    <xf numFmtId="9" fontId="32" fillId="0" borderId="2" xfId="0" applyNumberFormat="1" applyFont="1" applyFill="1" applyBorder="1" applyAlignment="1">
      <alignment horizontal="center" vertical="center"/>
    </xf>
    <xf numFmtId="43" fontId="29" fillId="0" borderId="2" xfId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center" vertical="center" wrapText="1"/>
    </xf>
    <xf numFmtId="49" fontId="30" fillId="0" borderId="11" xfId="0" applyNumberFormat="1" applyFont="1" applyFill="1" applyBorder="1" applyAlignment="1">
      <alignment horizontal="left" vertical="center" wrapText="1"/>
    </xf>
    <xf numFmtId="49" fontId="30" fillId="0" borderId="11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left" vertical="center" wrapText="1"/>
    </xf>
    <xf numFmtId="4" fontId="28" fillId="0" borderId="11" xfId="0" applyNumberFormat="1" applyFont="1" applyFill="1" applyBorder="1" applyAlignment="1">
      <alignment horizontal="right" vertical="center"/>
    </xf>
    <xf numFmtId="4" fontId="28" fillId="0" borderId="3" xfId="0" applyNumberFormat="1" applyFont="1" applyFill="1" applyBorder="1" applyAlignment="1">
      <alignment vertical="center"/>
    </xf>
    <xf numFmtId="4" fontId="28" fillId="0" borderId="2" xfId="0" applyNumberFormat="1" applyFont="1" applyFill="1" applyBorder="1" applyAlignment="1">
      <alignment vertical="center" wrapText="1"/>
    </xf>
    <xf numFmtId="43" fontId="28" fillId="0" borderId="2" xfId="1" applyFont="1" applyFill="1" applyBorder="1" applyAlignment="1">
      <alignment vertical="center" wrapText="1"/>
    </xf>
    <xf numFmtId="43" fontId="30" fillId="0" borderId="2" xfId="1" applyFont="1" applyFill="1" applyBorder="1" applyAlignment="1">
      <alignment vertical="center" wrapText="1"/>
    </xf>
    <xf numFmtId="0" fontId="28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4" fontId="29" fillId="0" borderId="3" xfId="0" applyNumberFormat="1" applyFont="1" applyFill="1" applyBorder="1" applyAlignment="1">
      <alignment vertical="center"/>
    </xf>
    <xf numFmtId="4" fontId="29" fillId="0" borderId="2" xfId="0" applyNumberFormat="1" applyFont="1" applyFill="1" applyBorder="1" applyAlignment="1">
      <alignment vertical="center" wrapText="1"/>
    </xf>
    <xf numFmtId="2" fontId="28" fillId="0" borderId="2" xfId="1" applyNumberFormat="1" applyFont="1" applyFill="1" applyBorder="1" applyAlignment="1">
      <alignment horizontal="right" vertical="center" wrapText="1"/>
    </xf>
    <xf numFmtId="49" fontId="32" fillId="0" borderId="2" xfId="0" applyNumberFormat="1" applyFont="1" applyFill="1" applyBorder="1" applyAlignment="1">
      <alignment horizontal="left" vertical="center" wrapText="1"/>
    </xf>
    <xf numFmtId="49" fontId="32" fillId="0" borderId="2" xfId="0" applyNumberFormat="1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left" vertical="center" wrapText="1"/>
    </xf>
    <xf numFmtId="4" fontId="29" fillId="0" borderId="2" xfId="0" applyNumberFormat="1" applyFont="1" applyFill="1" applyBorder="1" applyAlignment="1">
      <alignment horizontal="right" vertical="center"/>
    </xf>
    <xf numFmtId="4" fontId="28" fillId="0" borderId="2" xfId="1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vertical="center" wrapText="1"/>
    </xf>
    <xf numFmtId="167" fontId="10" fillId="0" borderId="2" xfId="0" applyNumberFormat="1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vertical="center"/>
    </xf>
    <xf numFmtId="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/>
    </xf>
    <xf numFmtId="167" fontId="11" fillId="0" borderId="2" xfId="0" applyNumberFormat="1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right" vertical="center" wrapText="1"/>
    </xf>
    <xf numFmtId="9" fontId="11" fillId="0" borderId="2" xfId="0" applyNumberFormat="1" applyFont="1" applyFill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right" vertical="center"/>
    </xf>
    <xf numFmtId="167" fontId="24" fillId="0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9" fontId="24" fillId="0" borderId="2" xfId="0" applyNumberFormat="1" applyFont="1" applyFill="1" applyBorder="1" applyAlignment="1">
      <alignment horizontal="center" vertical="center"/>
    </xf>
    <xf numFmtId="4" fontId="24" fillId="0" borderId="2" xfId="0" applyNumberFormat="1" applyFont="1" applyFill="1" applyBorder="1" applyAlignment="1">
      <alignment horizontal="right" vertic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9" fillId="0" borderId="0" xfId="5" applyFont="1" applyFill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vertical="center" wrapText="1"/>
    </xf>
    <xf numFmtId="0" fontId="17" fillId="0" borderId="0" xfId="5" applyFont="1" applyFill="1" applyAlignment="1">
      <alignment vertical="center"/>
    </xf>
    <xf numFmtId="0" fontId="18" fillId="0" borderId="0" xfId="0" applyFont="1" applyFill="1"/>
    <xf numFmtId="0" fontId="30" fillId="0" borderId="2" xfId="0" applyFont="1" applyFill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21" fillId="0" borderId="2" xfId="0" applyFont="1" applyFill="1" applyBorder="1" applyAlignment="1">
      <alignment vertical="center"/>
    </xf>
    <xf numFmtId="9" fontId="12" fillId="0" borderId="0" xfId="7" applyFont="1" applyFill="1" applyAlignment="1">
      <alignment horizontal="center" vertical="center"/>
    </xf>
    <xf numFmtId="0" fontId="30" fillId="0" borderId="34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center" vertical="center" wrapText="1"/>
    </xf>
    <xf numFmtId="168" fontId="30" fillId="0" borderId="36" xfId="0" applyNumberFormat="1" applyFont="1" applyFill="1" applyBorder="1" applyAlignment="1">
      <alignment horizontal="center" vertical="center" wrapText="1"/>
    </xf>
    <xf numFmtId="4" fontId="28" fillId="0" borderId="36" xfId="0" applyNumberFormat="1" applyFont="1" applyFill="1" applyBorder="1" applyAlignment="1">
      <alignment horizontal="right" vertical="center" wrapText="1"/>
    </xf>
    <xf numFmtId="43" fontId="28" fillId="0" borderId="36" xfId="1" applyFont="1" applyFill="1" applyBorder="1" applyAlignment="1">
      <alignment horizontal="right" vertical="center" wrapText="1"/>
    </xf>
    <xf numFmtId="43" fontId="28" fillId="0" borderId="3" xfId="1" applyFont="1" applyFill="1" applyBorder="1" applyAlignment="1">
      <alignment horizontal="right" vertical="center"/>
    </xf>
    <xf numFmtId="43" fontId="30" fillId="0" borderId="2" xfId="1" applyFont="1" applyFill="1" applyBorder="1" applyAlignment="1">
      <alignment horizontal="right" vertical="center" wrapText="1"/>
    </xf>
    <xf numFmtId="0" fontId="30" fillId="0" borderId="37" xfId="0" applyFont="1" applyFill="1" applyBorder="1" applyAlignment="1">
      <alignment horizontal="center" vertical="center" wrapText="1"/>
    </xf>
    <xf numFmtId="0" fontId="30" fillId="0" borderId="38" xfId="0" applyFont="1" applyFill="1" applyBorder="1" applyAlignment="1">
      <alignment horizontal="center" vertical="center" wrapText="1"/>
    </xf>
    <xf numFmtId="2" fontId="30" fillId="0" borderId="3" xfId="1" applyNumberFormat="1" applyFont="1" applyFill="1" applyBorder="1" applyAlignment="1">
      <alignment horizontal="right" vertical="center"/>
    </xf>
    <xf numFmtId="43" fontId="10" fillId="0" borderId="2" xfId="1" applyFont="1" applyFill="1" applyBorder="1" applyAlignment="1">
      <alignment horizontal="right" vertical="center"/>
    </xf>
    <xf numFmtId="0" fontId="27" fillId="0" borderId="2" xfId="0" applyFont="1" applyFill="1" applyBorder="1" applyAlignment="1">
      <alignment horizontal="center" vertical="center"/>
    </xf>
    <xf numFmtId="43" fontId="33" fillId="0" borderId="2" xfId="1" applyFont="1" applyFill="1" applyBorder="1" applyAlignment="1">
      <alignment horizontal="right" vertical="center"/>
    </xf>
    <xf numFmtId="43" fontId="33" fillId="0" borderId="3" xfId="1" applyFont="1" applyFill="1" applyBorder="1" applyAlignment="1">
      <alignment horizontal="right" vertical="center"/>
    </xf>
    <xf numFmtId="2" fontId="27" fillId="0" borderId="3" xfId="1" applyNumberFormat="1" applyFont="1" applyFill="1" applyBorder="1" applyAlignment="1">
      <alignment horizontal="right" vertical="center"/>
    </xf>
    <xf numFmtId="43" fontId="27" fillId="0" borderId="2" xfId="1" applyFont="1" applyFill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/>
    </xf>
    <xf numFmtId="43" fontId="30" fillId="0" borderId="2" xfId="1" applyFont="1" applyFill="1" applyBorder="1" applyAlignment="1">
      <alignment horizontal="right" vertical="center" indent="1"/>
    </xf>
    <xf numFmtId="0" fontId="30" fillId="0" borderId="29" xfId="0" applyFont="1" applyFill="1" applyBorder="1" applyAlignment="1">
      <alignment horizontal="center" vertical="center"/>
    </xf>
    <xf numFmtId="43" fontId="30" fillId="0" borderId="3" xfId="1" applyFont="1" applyFill="1" applyBorder="1" applyAlignment="1">
      <alignment horizontal="right" vertical="center"/>
    </xf>
    <xf numFmtId="43" fontId="3" fillId="0" borderId="2" xfId="1" applyFont="1" applyFill="1" applyBorder="1" applyAlignment="1">
      <alignment horizontal="right" vertical="center" wrapText="1"/>
    </xf>
    <xf numFmtId="167" fontId="27" fillId="0" borderId="2" xfId="0" applyNumberFormat="1" applyFont="1" applyFill="1" applyBorder="1" applyAlignment="1">
      <alignment horizontal="center" vertical="center" wrapText="1"/>
    </xf>
    <xf numFmtId="43" fontId="27" fillId="0" borderId="2" xfId="1" applyFont="1" applyFill="1" applyBorder="1" applyAlignment="1">
      <alignment horizontal="right" vertical="center"/>
    </xf>
    <xf numFmtId="2" fontId="28" fillId="0" borderId="2" xfId="1" applyNumberFormat="1" applyFont="1" applyFill="1" applyBorder="1" applyAlignment="1">
      <alignment horizontal="right" vertical="center"/>
    </xf>
    <xf numFmtId="2" fontId="33" fillId="0" borderId="2" xfId="1" applyNumberFormat="1" applyFont="1" applyFill="1" applyBorder="1" applyAlignment="1">
      <alignment horizontal="right" vertical="center"/>
    </xf>
    <xf numFmtId="2" fontId="28" fillId="0" borderId="3" xfId="1" applyNumberFormat="1" applyFont="1" applyFill="1" applyBorder="1" applyAlignment="1">
      <alignment horizontal="right" vertical="center"/>
    </xf>
    <xf numFmtId="2" fontId="3" fillId="0" borderId="2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center" vertical="center"/>
    </xf>
    <xf numFmtId="165" fontId="10" fillId="0" borderId="2" xfId="0" applyNumberFormat="1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165" fontId="30" fillId="0" borderId="2" xfId="0" applyNumberFormat="1" applyFont="1" applyFill="1" applyBorder="1" applyAlignment="1">
      <alignment vertical="center" wrapText="1"/>
    </xf>
    <xf numFmtId="4" fontId="28" fillId="0" borderId="2" xfId="0" applyNumberFormat="1" applyFont="1" applyFill="1" applyBorder="1" applyAlignment="1">
      <alignment vertical="center"/>
    </xf>
    <xf numFmtId="2" fontId="28" fillId="0" borderId="2" xfId="1" applyNumberFormat="1" applyFont="1" applyFill="1" applyBorder="1" applyAlignment="1">
      <alignment vertical="center"/>
    </xf>
    <xf numFmtId="43" fontId="30" fillId="0" borderId="2" xfId="1" applyFont="1" applyFill="1" applyBorder="1" applyAlignment="1">
      <alignment vertical="center"/>
    </xf>
    <xf numFmtId="0" fontId="30" fillId="0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0" fillId="0" borderId="0" xfId="0" applyFill="1" applyAlignment="1">
      <alignment wrapText="1" shrinkToFit="1"/>
    </xf>
    <xf numFmtId="0" fontId="15" fillId="0" borderId="1" xfId="0" applyFont="1" applyFill="1" applyBorder="1" applyAlignment="1">
      <alignment vertical="center" wrapText="1"/>
    </xf>
    <xf numFmtId="4" fontId="23" fillId="0" borderId="2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vertical="center" wrapText="1"/>
    </xf>
    <xf numFmtId="0" fontId="0" fillId="0" borderId="0" xfId="0" applyFill="1" applyAlignment="1">
      <alignment vertical="center" wrapText="1" shrinkToFit="1"/>
    </xf>
    <xf numFmtId="0" fontId="18" fillId="0" borderId="0" xfId="0" applyFont="1" applyFill="1" applyAlignment="1">
      <alignment vertical="center"/>
    </xf>
    <xf numFmtId="43" fontId="28" fillId="0" borderId="2" xfId="1" applyFont="1" applyFill="1" applyBorder="1" applyAlignment="1">
      <alignment vertical="center"/>
    </xf>
    <xf numFmtId="14" fontId="10" fillId="0" borderId="2" xfId="0" applyNumberFormat="1" applyFont="1" applyFill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3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 shrinkToFit="1"/>
    </xf>
    <xf numFmtId="0" fontId="22" fillId="0" borderId="2" xfId="0" applyFont="1" applyFill="1" applyBorder="1" applyAlignment="1">
      <alignment horizontal="center" vertical="center" wrapText="1" shrinkToFit="1"/>
    </xf>
    <xf numFmtId="0" fontId="15" fillId="0" borderId="3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24" fillId="0" borderId="49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23" fillId="0" borderId="49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</cellXfs>
  <cellStyles count="8">
    <cellStyle name="Dziesiętny" xfId="1" builtinId="3"/>
    <cellStyle name="Dziesiętny 2" xfId="2"/>
    <cellStyle name="Normalny" xfId="0" builtinId="0"/>
    <cellStyle name="Normalny 2" xfId="3"/>
    <cellStyle name="Normalny 2 2" xfId="4"/>
    <cellStyle name="Normalny 3" xfId="5"/>
    <cellStyle name="Procentowy" xfId="6" builtinId="5"/>
    <cellStyle name="Procentowy 2" xfId="7"/>
  </cellStyles>
  <dxfs count="5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37"/>
  <sheetViews>
    <sheetView tabSelected="1" view="pageBreakPreview" topLeftCell="A4" zoomScaleNormal="100" zoomScaleSheetLayoutView="100" workbookViewId="0">
      <selection activeCell="B19" sqref="B19"/>
    </sheetView>
  </sheetViews>
  <sheetFormatPr defaultRowHeight="14.4" x14ac:dyDescent="0.3"/>
  <cols>
    <col min="1" max="1" width="32.109375" style="8" customWidth="1"/>
    <col min="2" max="2" width="10.6640625" style="8" customWidth="1"/>
    <col min="3" max="5" width="20.6640625" style="8" customWidth="1"/>
    <col min="6" max="15" width="15.6640625" style="8" customWidth="1"/>
    <col min="16" max="16" width="9.109375" style="8" customWidth="1"/>
    <col min="17" max="17" width="11.6640625" style="8" bestFit="1" customWidth="1"/>
    <col min="18" max="18" width="12" bestFit="1" customWidth="1"/>
  </cols>
  <sheetData>
    <row r="1" spans="1:24" s="5" customFormat="1" ht="30" customHeight="1" thickBot="1" x14ac:dyDescent="0.4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4"/>
      <c r="X1" s="4"/>
    </row>
    <row r="2" spans="1:24" x14ac:dyDescent="0.3">
      <c r="A2" s="140"/>
      <c r="B2" s="140"/>
      <c r="C2" s="140"/>
      <c r="D2" s="6"/>
      <c r="E2" s="6"/>
      <c r="F2" s="309" t="s">
        <v>18</v>
      </c>
      <c r="G2" s="310"/>
      <c r="H2" s="310"/>
      <c r="I2" s="310"/>
      <c r="J2" s="310"/>
      <c r="K2" s="310"/>
      <c r="L2" s="310"/>
      <c r="M2" s="310"/>
      <c r="N2" s="311"/>
      <c r="O2" s="6"/>
      <c r="P2" s="6"/>
      <c r="Q2" s="6"/>
      <c r="R2" s="7"/>
      <c r="S2" s="7"/>
      <c r="T2" s="7"/>
      <c r="U2" s="7"/>
      <c r="V2" s="7"/>
      <c r="W2" s="7"/>
      <c r="X2" s="7"/>
    </row>
    <row r="3" spans="1:24" x14ac:dyDescent="0.3">
      <c r="A3" s="141"/>
      <c r="B3" s="140"/>
      <c r="C3" s="140"/>
      <c r="D3" s="6"/>
      <c r="E3" s="6"/>
      <c r="F3" s="312"/>
      <c r="G3" s="313"/>
      <c r="H3" s="313"/>
      <c r="I3" s="313"/>
      <c r="J3" s="313"/>
      <c r="K3" s="313"/>
      <c r="L3" s="313"/>
      <c r="M3" s="313"/>
      <c r="N3" s="314"/>
      <c r="X3" s="7"/>
    </row>
    <row r="4" spans="1:24" x14ac:dyDescent="0.3">
      <c r="A4" s="142" t="s">
        <v>824</v>
      </c>
      <c r="B4" s="140"/>
      <c r="C4" s="140"/>
      <c r="D4" s="6"/>
      <c r="E4" s="6"/>
      <c r="F4" s="312"/>
      <c r="G4" s="313"/>
      <c r="H4" s="313"/>
      <c r="I4" s="313"/>
      <c r="J4" s="313"/>
      <c r="K4" s="313"/>
      <c r="L4" s="313"/>
      <c r="M4" s="313"/>
      <c r="N4" s="314"/>
      <c r="X4" s="10"/>
    </row>
    <row r="5" spans="1:24" x14ac:dyDescent="0.3">
      <c r="A5" s="140"/>
      <c r="B5" s="140"/>
      <c r="C5" s="140"/>
      <c r="D5" s="6"/>
      <c r="E5" s="6"/>
      <c r="F5" s="312"/>
      <c r="G5" s="313"/>
      <c r="H5" s="313"/>
      <c r="I5" s="313"/>
      <c r="J5" s="313"/>
      <c r="K5" s="313"/>
      <c r="L5" s="313"/>
      <c r="M5" s="313"/>
      <c r="N5" s="314"/>
      <c r="X5" s="7"/>
    </row>
    <row r="6" spans="1:24" x14ac:dyDescent="0.3">
      <c r="A6" s="142" t="s">
        <v>825</v>
      </c>
      <c r="B6" s="140"/>
      <c r="C6" s="140"/>
      <c r="D6" s="6"/>
      <c r="E6" s="6"/>
      <c r="F6" s="312"/>
      <c r="G6" s="313"/>
      <c r="H6" s="313"/>
      <c r="I6" s="313"/>
      <c r="J6" s="313"/>
      <c r="K6" s="313"/>
      <c r="L6" s="313"/>
      <c r="M6" s="313"/>
      <c r="N6" s="314"/>
      <c r="X6" s="10"/>
    </row>
    <row r="7" spans="1:24" ht="15" thickBot="1" x14ac:dyDescent="0.35">
      <c r="A7" s="140"/>
      <c r="B7" s="140"/>
      <c r="C7" s="140"/>
      <c r="D7" s="6"/>
      <c r="E7" s="6"/>
      <c r="F7" s="315"/>
      <c r="G7" s="316"/>
      <c r="H7" s="316"/>
      <c r="I7" s="316"/>
      <c r="J7" s="316"/>
      <c r="K7" s="316"/>
      <c r="L7" s="316"/>
      <c r="M7" s="316"/>
      <c r="N7" s="317"/>
      <c r="X7" s="7"/>
    </row>
    <row r="8" spans="1:24" x14ac:dyDescent="0.3">
      <c r="A8" s="140"/>
      <c r="B8" s="140"/>
      <c r="C8" s="140"/>
      <c r="D8" s="6"/>
      <c r="E8" s="6"/>
      <c r="F8" s="11"/>
      <c r="G8" s="11"/>
      <c r="H8" s="11"/>
      <c r="I8" s="11"/>
      <c r="J8" s="11"/>
      <c r="K8" s="11"/>
      <c r="L8" s="11"/>
      <c r="M8" s="11"/>
      <c r="N8" s="11"/>
      <c r="X8" s="7"/>
    </row>
    <row r="9" spans="1:24" ht="20.100000000000001" customHeight="1" thickBot="1" x14ac:dyDescent="0.35">
      <c r="A9" s="9" t="s">
        <v>0</v>
      </c>
      <c r="B9" s="6"/>
      <c r="C9" s="6"/>
      <c r="D9" s="6"/>
      <c r="E9" s="6"/>
      <c r="F9" s="11"/>
      <c r="G9" s="11"/>
      <c r="H9" s="11"/>
      <c r="I9" s="11"/>
      <c r="J9" s="11"/>
      <c r="K9" s="11"/>
      <c r="L9" s="11"/>
      <c r="M9" s="11"/>
      <c r="N9" s="11"/>
      <c r="X9" s="7"/>
    </row>
    <row r="10" spans="1:24" ht="20.100000000000001" customHeight="1" x14ac:dyDescent="0.3">
      <c r="A10" s="318" t="s">
        <v>1</v>
      </c>
      <c r="B10" s="320" t="s">
        <v>34</v>
      </c>
      <c r="C10" s="322" t="s">
        <v>19</v>
      </c>
      <c r="D10" s="324" t="s">
        <v>20</v>
      </c>
      <c r="E10" s="326" t="s">
        <v>21</v>
      </c>
      <c r="F10" s="42"/>
      <c r="G10" s="29"/>
      <c r="H10" s="30"/>
      <c r="I10" s="29"/>
      <c r="J10" s="30" t="s">
        <v>12</v>
      </c>
      <c r="K10" s="29"/>
      <c r="L10" s="29"/>
      <c r="M10" s="29"/>
      <c r="N10" s="30"/>
      <c r="O10" s="31"/>
      <c r="X10" s="7"/>
    </row>
    <row r="11" spans="1:24" s="1" customFormat="1" ht="20.100000000000001" customHeight="1" thickBot="1" x14ac:dyDescent="0.35">
      <c r="A11" s="319"/>
      <c r="B11" s="321"/>
      <c r="C11" s="323"/>
      <c r="D11" s="325"/>
      <c r="E11" s="327"/>
      <c r="F11" s="48">
        <v>2019</v>
      </c>
      <c r="G11" s="49">
        <v>2020</v>
      </c>
      <c r="H11" s="49">
        <v>2021</v>
      </c>
      <c r="I11" s="49">
        <v>2022</v>
      </c>
      <c r="J11" s="49">
        <v>2023</v>
      </c>
      <c r="K11" s="49">
        <v>2024</v>
      </c>
      <c r="L11" s="49">
        <v>2025</v>
      </c>
      <c r="M11" s="49">
        <v>2026</v>
      </c>
      <c r="N11" s="49">
        <v>2027</v>
      </c>
      <c r="O11" s="50">
        <v>2028</v>
      </c>
      <c r="P11" s="11"/>
      <c r="Q11" s="11"/>
      <c r="R11" s="11"/>
      <c r="S11" s="11"/>
      <c r="T11" s="11"/>
      <c r="U11" s="11"/>
      <c r="V11" s="11"/>
      <c r="W11" s="11"/>
      <c r="X11" s="11"/>
    </row>
    <row r="12" spans="1:24" ht="39.9" customHeight="1" thickTop="1" x14ac:dyDescent="0.3">
      <c r="A12" s="52" t="s">
        <v>36</v>
      </c>
      <c r="B12" s="53">
        <f>COUNTA('pow podst'!K3:K57)</f>
        <v>55</v>
      </c>
      <c r="C12" s="54">
        <f>SUM('pow podst'!J3:J57)</f>
        <v>277019120.17000002</v>
      </c>
      <c r="D12" s="55">
        <f>SUM('pow podst'!L3:L57)</f>
        <v>155170400.80999997</v>
      </c>
      <c r="E12" s="56">
        <f>SUM('pow podst'!K3:K57)</f>
        <v>121848719.36000001</v>
      </c>
      <c r="F12" s="57">
        <f>SUM('pow podst'!N3:N57)</f>
        <v>255000</v>
      </c>
      <c r="G12" s="54">
        <f>SUM('pow podst'!O3:O57)</f>
        <v>60000</v>
      </c>
      <c r="H12" s="54">
        <f>SUM('pow podst'!P3:P57)</f>
        <v>4113418.78</v>
      </c>
      <c r="I12" s="54">
        <f>SUM('pow podst'!Q3:Q57)</f>
        <v>9599045.5</v>
      </c>
      <c r="J12" s="54">
        <f>SUM('pow podst'!R3:R57)</f>
        <v>84423220.379999995</v>
      </c>
      <c r="K12" s="54">
        <f>SUM('pow podst'!S3:S57)</f>
        <v>23398034.699999999</v>
      </c>
      <c r="L12" s="54">
        <f>SUM('pow podst'!T3:T57)</f>
        <v>0</v>
      </c>
      <c r="M12" s="54">
        <f>SUM('pow podst'!U3:U57)</f>
        <v>0</v>
      </c>
      <c r="N12" s="54">
        <f>SUM('pow podst'!V3:V57)</f>
        <v>0</v>
      </c>
      <c r="O12" s="58">
        <f>SUM('pow podst'!W3:W57)</f>
        <v>0</v>
      </c>
      <c r="P12" s="12" t="b">
        <f>C12=(D12+E12)</f>
        <v>1</v>
      </c>
      <c r="Q12" s="17" t="b">
        <f>E12=SUM(F12:O12)</f>
        <v>1</v>
      </c>
      <c r="R12" s="13"/>
      <c r="S12" s="13"/>
      <c r="T12" s="13"/>
      <c r="U12" s="13"/>
      <c r="V12" s="7"/>
      <c r="W12" s="7"/>
      <c r="X12" s="7"/>
    </row>
    <row r="13" spans="1:24" ht="39.9" customHeight="1" x14ac:dyDescent="0.3">
      <c r="A13" s="59" t="s">
        <v>37</v>
      </c>
      <c r="B13" s="108">
        <f>COUNTIF('pow podst'!C3:C57,"K")</f>
        <v>22</v>
      </c>
      <c r="C13" s="109">
        <f>SUMIF('pow podst'!C3:C57,"K",'pow podst'!J3:J57)</f>
        <v>126913999.17</v>
      </c>
      <c r="D13" s="110">
        <f>SUMIF('pow podst'!C3:C57,"K",'pow podst'!L3:L57)</f>
        <v>67518568.399999991</v>
      </c>
      <c r="E13" s="24">
        <f>SUMIF('pow podst'!C3:C57,"K",'pow podst'!K3:K57)</f>
        <v>59395430.770000003</v>
      </c>
      <c r="F13" s="117">
        <f>SUMIF('pow podst'!C3:C57,"K",'pow podst'!N3:N57)</f>
        <v>255000</v>
      </c>
      <c r="G13" s="109">
        <f>SUMIF('pow podst'!C3:C57,"K",'pow podst'!O3:O57)</f>
        <v>60000</v>
      </c>
      <c r="H13" s="109">
        <f>SUMIF('pow podst'!C3:C57,"K",'pow podst'!P3:P57)</f>
        <v>4113418.78</v>
      </c>
      <c r="I13" s="109">
        <f>SUMIF('pow podst'!C3:C57,"K",'pow podst'!Q3:Q57)</f>
        <v>9599045.5</v>
      </c>
      <c r="J13" s="109">
        <f>SUMIF('pow podst'!C3:C57,"K",'pow podst'!R3:R57)</f>
        <v>33505378.189999998</v>
      </c>
      <c r="K13" s="109">
        <f>SUMIF('pow podst'!C3:C57,"K",'pow podst'!S3:S57)</f>
        <v>11862588.300000001</v>
      </c>
      <c r="L13" s="109">
        <f>SUMIF('pow podst'!C3:C57,"K",'pow podst'!T3:T57)</f>
        <v>0</v>
      </c>
      <c r="M13" s="109">
        <f>SUMIF('pow podst'!C3:C57,"K",'pow podst'!U3:U57)</f>
        <v>0</v>
      </c>
      <c r="N13" s="109">
        <f>SUMIF('pow podst'!C3:C57,"K",'pow podst'!V3:V57)</f>
        <v>0</v>
      </c>
      <c r="O13" s="118">
        <f>SUMIF('pow podst'!C3:C57,"K",'pow podst'!W3:W57)</f>
        <v>0</v>
      </c>
      <c r="P13" s="12" t="b">
        <f t="shared" ref="P13:P22" si="0">C13=(D13+E13)</f>
        <v>1</v>
      </c>
      <c r="Q13" s="17" t="b">
        <f t="shared" ref="Q13:Q19" si="1">E13=SUM(F13:O13)</f>
        <v>1</v>
      </c>
      <c r="R13" s="13"/>
      <c r="S13" s="13"/>
      <c r="T13" s="13"/>
      <c r="U13" s="13"/>
      <c r="V13" s="7"/>
      <c r="W13" s="7"/>
      <c r="X13" s="7"/>
    </row>
    <row r="14" spans="1:24" ht="39.9" customHeight="1" x14ac:dyDescent="0.3">
      <c r="A14" s="60" t="s">
        <v>38</v>
      </c>
      <c r="B14" s="111">
        <f>COUNTIF('pow podst'!C3:C57,"N")</f>
        <v>30</v>
      </c>
      <c r="C14" s="112">
        <f>SUMIF('pow podst'!C3:C57,"N",'pow podst'!J3:J57)</f>
        <v>107432865</v>
      </c>
      <c r="D14" s="113">
        <f>SUMIF('pow podst'!C3:C57,"N",'pow podst'!L3:L57)</f>
        <v>59263193.810000002</v>
      </c>
      <c r="E14" s="23">
        <f>SUMIF('pow podst'!C3:C57,"N",'pow podst'!K3:K57)</f>
        <v>48169671.189999998</v>
      </c>
      <c r="F14" s="119">
        <f>SUMIF('pow podst'!C3:C57,"N",'pow podst'!N3:N57)</f>
        <v>0</v>
      </c>
      <c r="G14" s="112">
        <f>SUMIF('pow podst'!C3:C57,"N",'pow podst'!O3:O57)</f>
        <v>0</v>
      </c>
      <c r="H14" s="112">
        <f>SUMIF('pow podst'!C3:C57,"N",'pow podst'!P3:P57)</f>
        <v>0</v>
      </c>
      <c r="I14" s="112">
        <f>SUMIF('pow podst'!C3:C57,"N",'pow podst'!Q3:Q57)</f>
        <v>0</v>
      </c>
      <c r="J14" s="112">
        <f>SUMIF('pow podst'!C3:C57,"N",'pow podst'!R3:R57)</f>
        <v>48169671.189999998</v>
      </c>
      <c r="K14" s="112">
        <f>SUMIF('pow podst'!C3:C57,"N",'pow podst'!S3:S57)</f>
        <v>0</v>
      </c>
      <c r="L14" s="112">
        <f>SUMIF('pow podst'!C3:C57,"N",'pow podst'!T3:T57)</f>
        <v>0</v>
      </c>
      <c r="M14" s="112">
        <f>SUMIF('pow podst'!C3:C57,"N",'pow podst'!U3:U57)</f>
        <v>0</v>
      </c>
      <c r="N14" s="112">
        <f>SUMIF('pow podst'!C3:C57,"N",'pow podst'!V3:V57)</f>
        <v>0</v>
      </c>
      <c r="O14" s="120">
        <f>SUMIF('pow podst'!C3:C57,"N",'pow podst'!W3:W57)</f>
        <v>0</v>
      </c>
      <c r="P14" s="12" t="b">
        <f t="shared" si="0"/>
        <v>1</v>
      </c>
      <c r="Q14" s="17" t="b">
        <f t="shared" si="1"/>
        <v>1</v>
      </c>
      <c r="R14" s="13"/>
      <c r="S14" s="13"/>
      <c r="T14" s="13"/>
      <c r="U14" s="13"/>
      <c r="V14" s="7"/>
      <c r="W14" s="7"/>
      <c r="X14" s="7"/>
    </row>
    <row r="15" spans="1:24" ht="39.9" customHeight="1" thickBot="1" x14ac:dyDescent="0.35">
      <c r="A15" s="61" t="s">
        <v>39</v>
      </c>
      <c r="B15" s="114">
        <f>COUNTIF('pow podst'!C3:C57,"W")</f>
        <v>3</v>
      </c>
      <c r="C15" s="115">
        <f>SUMIF('pow podst'!C3:C57,"W",'pow podst'!J3:J57)</f>
        <v>42672256</v>
      </c>
      <c r="D15" s="116">
        <f>SUMIF('pow podst'!C3:C57,"W",'pow podst'!L3:L57)</f>
        <v>28388638.600000001</v>
      </c>
      <c r="E15" s="62">
        <f>SUMIF('pow podst'!C3:C57,"W",'pow podst'!K3:K57)</f>
        <v>14283617.4</v>
      </c>
      <c r="F15" s="121">
        <f>SUMIF('pow podst'!C3:C57,"W",'pow podst'!N3:N57)</f>
        <v>0</v>
      </c>
      <c r="G15" s="115">
        <f>SUMIF('pow podst'!C3:C57,"W",'pow podst'!O3:O57)</f>
        <v>0</v>
      </c>
      <c r="H15" s="115">
        <f>SUMIF('pow podst'!C3:C57,"W",'pow podst'!P3:P57)</f>
        <v>0</v>
      </c>
      <c r="I15" s="115">
        <f>SUMIF('pow podst'!C3:C57,"W",'pow podst'!Q3:Q57)</f>
        <v>0</v>
      </c>
      <c r="J15" s="115">
        <f>SUMIF('pow podst'!C3:C57,"W",'pow podst'!R3:R57)</f>
        <v>2748171</v>
      </c>
      <c r="K15" s="115">
        <f>SUMIF('pow podst'!C3:C57,"W",'pow podst'!S3:S57)</f>
        <v>11535446.399999999</v>
      </c>
      <c r="L15" s="115">
        <f>SUMIF('pow podst'!C3:C57,"W",'pow podst'!T3:T57)</f>
        <v>0</v>
      </c>
      <c r="M15" s="115">
        <f>SUMIF('pow podst'!C3:C57,"W",'pow podst'!U3:U57)</f>
        <v>0</v>
      </c>
      <c r="N15" s="115">
        <f>SUMIF('pow podst'!C3:C57,"W",'pow podst'!V3:V57)</f>
        <v>0</v>
      </c>
      <c r="O15" s="122">
        <f>SUMIF('pow podst'!C3:C57,"W",'pow podst'!W3:W57)</f>
        <v>0</v>
      </c>
      <c r="P15" s="12" t="b">
        <f t="shared" si="0"/>
        <v>1</v>
      </c>
      <c r="Q15" s="17" t="b">
        <f t="shared" si="1"/>
        <v>1</v>
      </c>
      <c r="R15" s="13"/>
      <c r="S15" s="13"/>
      <c r="T15" s="13"/>
      <c r="U15" s="13"/>
      <c r="V15" s="7"/>
      <c r="W15" s="7"/>
      <c r="X15" s="7"/>
    </row>
    <row r="16" spans="1:24" ht="39.9" customHeight="1" thickTop="1" x14ac:dyDescent="0.3">
      <c r="A16" s="52" t="s">
        <v>40</v>
      </c>
      <c r="B16" s="53">
        <f>COUNTA('gm podst'!L3:L99)</f>
        <v>97</v>
      </c>
      <c r="C16" s="54">
        <f>SUM('gm podst'!K3:K99)</f>
        <v>339205929.10999995</v>
      </c>
      <c r="D16" s="55">
        <f>SUM('gm podst'!M3:M99)</f>
        <v>176426003.50999996</v>
      </c>
      <c r="E16" s="56">
        <f>SUM('gm podst'!L3:L99)</f>
        <v>162779925.60000002</v>
      </c>
      <c r="F16" s="123">
        <f>SUM('gm podst'!O3:O99)</f>
        <v>44884.24</v>
      </c>
      <c r="G16" s="124">
        <f>SUM('gm podst'!P3:P99)</f>
        <v>749134</v>
      </c>
      <c r="H16" s="124">
        <f>SUM('gm podst'!Q3:Q99)</f>
        <v>16424301.849999998</v>
      </c>
      <c r="I16" s="124">
        <f>SUM('gm podst'!R3:R99)</f>
        <v>29844572.530000001</v>
      </c>
      <c r="J16" s="124">
        <f>SUM('gm podst'!S3:S99)</f>
        <v>84562292.950000003</v>
      </c>
      <c r="K16" s="124">
        <f>SUM('gm podst'!T3:T99)</f>
        <v>29876766.73</v>
      </c>
      <c r="L16" s="124">
        <f>SUM('gm podst'!U3:U99)</f>
        <v>1277973.3</v>
      </c>
      <c r="M16" s="124">
        <f>SUM('gm podst'!V3:V99)</f>
        <v>0</v>
      </c>
      <c r="N16" s="124">
        <f>SUM('gm podst'!W3:W99)</f>
        <v>0</v>
      </c>
      <c r="O16" s="125">
        <f>SUM('gm podst'!X3:X99)</f>
        <v>0</v>
      </c>
      <c r="P16" s="12" t="b">
        <f t="shared" si="0"/>
        <v>1</v>
      </c>
      <c r="Q16" s="17" t="b">
        <f t="shared" si="1"/>
        <v>1</v>
      </c>
      <c r="R16" s="13"/>
      <c r="S16" s="13"/>
      <c r="T16" s="13"/>
      <c r="U16" s="13"/>
      <c r="V16" s="13"/>
      <c r="W16" s="13"/>
      <c r="X16" s="13"/>
    </row>
    <row r="17" spans="1:24" ht="39.9" customHeight="1" x14ac:dyDescent="0.3">
      <c r="A17" s="59" t="s">
        <v>37</v>
      </c>
      <c r="B17" s="108">
        <f>COUNTIF('gm podst'!C3:C88,"K")</f>
        <v>59</v>
      </c>
      <c r="C17" s="109">
        <f>SUMIF('gm podst'!C3:C99,"K",'gm podst'!K3:K99)</f>
        <v>214197038.10999995</v>
      </c>
      <c r="D17" s="110">
        <f>SUMIF('gm podst'!C3:C99,"K",'gm podst'!M3:M99)</f>
        <v>109429311.91</v>
      </c>
      <c r="E17" s="24">
        <f>SUMIF('gm podst'!C3:C99,"K",'gm podst'!L3:L99)</f>
        <v>104767726.2</v>
      </c>
      <c r="F17" s="117">
        <f>SUMIF('gm podst'!C3:C99,"K",'gm podst'!O3:O99)</f>
        <v>44884.24</v>
      </c>
      <c r="G17" s="109">
        <f>SUMIF('gm podst'!C3:C99,"K",'gm podst'!P3:P99)</f>
        <v>749134</v>
      </c>
      <c r="H17" s="109">
        <f>SUMIF('gm podst'!C3:C99,"K",'gm podst'!Q3:Q99)</f>
        <v>16424301.849999998</v>
      </c>
      <c r="I17" s="109">
        <f>SUMIF('gm podst'!C3:C99,"K",'gm podst'!R3:R99)</f>
        <v>29844572.530000001</v>
      </c>
      <c r="J17" s="109">
        <f>SUMIF('gm podst'!C3:C99,"K",'gm podst'!S3:S99)</f>
        <v>34373965.349999994</v>
      </c>
      <c r="K17" s="109">
        <f>SUMIF('gm podst'!C3:C99,"K",'gm podst'!T3:T99)</f>
        <v>22052894.93</v>
      </c>
      <c r="L17" s="109">
        <f>SUMIF('gm podst'!C3:C99,"K",'gm podst'!U3:U99)</f>
        <v>1277973.3</v>
      </c>
      <c r="M17" s="109">
        <f>SUMIF('gm podst'!C3:C99,"K",'gm podst'!V3:V99)</f>
        <v>0</v>
      </c>
      <c r="N17" s="109">
        <f>SUMIF('gm podst'!C3:C99,"K",'gm podst'!W3:W99)</f>
        <v>0</v>
      </c>
      <c r="O17" s="118">
        <f>SUMIF('gm podst'!C3:C99,"K",'gm podst'!X3:X99)</f>
        <v>0</v>
      </c>
      <c r="P17" s="12" t="b">
        <f t="shared" si="0"/>
        <v>1</v>
      </c>
      <c r="Q17" s="17" t="b">
        <f t="shared" si="1"/>
        <v>1</v>
      </c>
      <c r="R17" s="13"/>
      <c r="S17" s="13"/>
      <c r="T17" s="13"/>
      <c r="U17" s="13"/>
      <c r="V17" s="13"/>
      <c r="W17" s="13"/>
      <c r="X17" s="13"/>
    </row>
    <row r="18" spans="1:24" ht="39.9" customHeight="1" x14ac:dyDescent="0.3">
      <c r="A18" s="60" t="s">
        <v>38</v>
      </c>
      <c r="B18" s="111">
        <f>COUNTIF('gm podst'!C3:C99,"N")</f>
        <v>34</v>
      </c>
      <c r="C18" s="112">
        <f>SUMIF('gm podst'!C3:C99,"N",'gm podst'!K3:K99)</f>
        <v>98634602</v>
      </c>
      <c r="D18" s="113">
        <f>SUMIF('gm podst'!C3:C99,"N",'gm podst'!M3:M99)</f>
        <v>48446274.400000006</v>
      </c>
      <c r="E18" s="23">
        <f>SUMIF('gm podst'!C3:C99,"N",'gm podst'!L3:L99)</f>
        <v>50188327.600000001</v>
      </c>
      <c r="F18" s="119">
        <f>SUMIF('gm podst'!C3:C99,"N",'gm podst'!O3:O99)</f>
        <v>0</v>
      </c>
      <c r="G18" s="112">
        <f>SUMIF('gm podst'!C3:C99,"N",'gm podst'!P3:P99)</f>
        <v>0</v>
      </c>
      <c r="H18" s="112">
        <f>SUMIF('gm podst'!C3:C99,"N",'gm podst'!Q3:Q99)</f>
        <v>0</v>
      </c>
      <c r="I18" s="112">
        <f>SUMIF('gm podst'!C3:C99,"N",'gm podst'!R3:R99)</f>
        <v>0</v>
      </c>
      <c r="J18" s="112">
        <f>SUMIF('gm podst'!C3:C99,"N",'gm podst'!S3:S99)</f>
        <v>50188327.600000001</v>
      </c>
      <c r="K18" s="112">
        <f>SUMIF('gm podst'!C3:C99,"N",'gm podst'!T3:T99)</f>
        <v>0</v>
      </c>
      <c r="L18" s="112">
        <f>SUMIF('gm podst'!C3:C99,"N",'gm podst'!U3:U99)</f>
        <v>0</v>
      </c>
      <c r="M18" s="112">
        <f>SUMIF('gm podst'!C3:C99,"N",'gm podst'!V3:V99)</f>
        <v>0</v>
      </c>
      <c r="N18" s="112">
        <f>SUMIF('gm podst'!C3:C99,"N",'gm podst'!W3:W99)</f>
        <v>0</v>
      </c>
      <c r="O18" s="120">
        <f>SUMIF('gm podst'!C3:C99,"N",'gm podst'!X3:X99)</f>
        <v>0</v>
      </c>
      <c r="P18" s="12" t="b">
        <f t="shared" si="0"/>
        <v>1</v>
      </c>
      <c r="Q18" s="17" t="b">
        <f t="shared" si="1"/>
        <v>1</v>
      </c>
      <c r="R18" s="13"/>
      <c r="S18" s="13"/>
      <c r="T18" s="13"/>
      <c r="U18" s="13"/>
      <c r="V18" s="13"/>
      <c r="W18" s="13"/>
      <c r="X18" s="13"/>
    </row>
    <row r="19" spans="1:24" ht="39.9" customHeight="1" thickBot="1" x14ac:dyDescent="0.35">
      <c r="A19" s="61" t="s">
        <v>39</v>
      </c>
      <c r="B19" s="114">
        <f>COUNTIF('gm podst'!C3:C88,"W")</f>
        <v>4</v>
      </c>
      <c r="C19" s="115">
        <f>SUMIF('gm podst'!C3:C99,"W",'gm podst'!K3:K99)</f>
        <v>26374289</v>
      </c>
      <c r="D19" s="116">
        <f>SUMIF('gm podst'!C3:C99,"W",'gm podst'!M3:M99)</f>
        <v>18550417.199999999</v>
      </c>
      <c r="E19" s="62">
        <f>SUMIF('gm podst'!C3:C99,"W",'gm podst'!L3:L99)</f>
        <v>7823871.7999999998</v>
      </c>
      <c r="F19" s="121">
        <f>SUMIF('gm podst'!C3:C99,"W",'gm podst'!O3:O99)</f>
        <v>0</v>
      </c>
      <c r="G19" s="115">
        <f>SUMIF('gm podst'!C3:C99,"W",'gm podst'!P3:P99)</f>
        <v>0</v>
      </c>
      <c r="H19" s="115">
        <f>SUMIF('gm podst'!C3:C99,"W",'gm podst'!Q3:Q99)</f>
        <v>0</v>
      </c>
      <c r="I19" s="115">
        <f>SUMIF('gm podst'!C3:C99,"W",'gm podst'!R3:R99)</f>
        <v>0</v>
      </c>
      <c r="J19" s="115">
        <f>SUMIF('gm podst'!C3:C99,"W",'gm podst'!S3:S99)</f>
        <v>0</v>
      </c>
      <c r="K19" s="115">
        <f>SUMIF('gm podst'!C3:C99,"W",'gm podst'!T3:T99)</f>
        <v>7823871.7999999998</v>
      </c>
      <c r="L19" s="115">
        <f>SUMIF('gm podst'!C3:C99,"W",'gm podst'!U3:U99)</f>
        <v>0</v>
      </c>
      <c r="M19" s="115">
        <f>SUMIF('gm podst'!C3:C99,"W",'gm podst'!V3:V99)</f>
        <v>0</v>
      </c>
      <c r="N19" s="115">
        <f>SUMIF('gm podst'!C3:C99,"W",'gm podst'!W3:W99)</f>
        <v>0</v>
      </c>
      <c r="O19" s="122">
        <f>SUMIF('gm podst'!C3:C99,"W",'gm podst'!X3:X99)</f>
        <v>0</v>
      </c>
      <c r="P19" s="12" t="b">
        <f t="shared" si="0"/>
        <v>1</v>
      </c>
      <c r="Q19" s="17" t="b">
        <f t="shared" si="1"/>
        <v>1</v>
      </c>
      <c r="R19" s="13"/>
      <c r="S19" s="13"/>
      <c r="T19" s="13"/>
      <c r="U19" s="13"/>
      <c r="V19" s="13"/>
      <c r="W19" s="13"/>
      <c r="X19" s="13"/>
    </row>
    <row r="20" spans="1:24" s="15" customFormat="1" ht="39.9" customHeight="1" thickTop="1" x14ac:dyDescent="0.3">
      <c r="A20" s="63" t="s">
        <v>41</v>
      </c>
      <c r="B20" s="64">
        <f>B12+B16</f>
        <v>152</v>
      </c>
      <c r="C20" s="65">
        <f>C12+C16</f>
        <v>616225049.27999997</v>
      </c>
      <c r="D20" s="66">
        <f t="shared" ref="C20:O22" si="2">D12+D16</f>
        <v>331596404.31999993</v>
      </c>
      <c r="E20" s="67">
        <f t="shared" si="2"/>
        <v>284628644.96000004</v>
      </c>
      <c r="F20" s="68">
        <f t="shared" si="2"/>
        <v>299884.24</v>
      </c>
      <c r="G20" s="65">
        <f t="shared" si="2"/>
        <v>809134</v>
      </c>
      <c r="H20" s="65">
        <f t="shared" si="2"/>
        <v>20537720.629999999</v>
      </c>
      <c r="I20" s="65">
        <f t="shared" si="2"/>
        <v>39443618.030000001</v>
      </c>
      <c r="J20" s="65">
        <f t="shared" si="2"/>
        <v>168985513.32999998</v>
      </c>
      <c r="K20" s="65">
        <f t="shared" si="2"/>
        <v>53274801.43</v>
      </c>
      <c r="L20" s="65">
        <f t="shared" si="2"/>
        <v>1277973.3</v>
      </c>
      <c r="M20" s="65">
        <f t="shared" si="2"/>
        <v>0</v>
      </c>
      <c r="N20" s="65">
        <f t="shared" si="2"/>
        <v>0</v>
      </c>
      <c r="O20" s="69">
        <f t="shared" si="2"/>
        <v>0</v>
      </c>
      <c r="P20" s="12" t="b">
        <f t="shared" si="0"/>
        <v>1</v>
      </c>
      <c r="Q20" s="17" t="b">
        <f>E20=SUM(F20:O20)</f>
        <v>1</v>
      </c>
      <c r="R20" s="14"/>
      <c r="S20" s="14"/>
      <c r="T20" s="14"/>
      <c r="U20" s="14"/>
      <c r="V20" s="14"/>
      <c r="W20" s="14"/>
      <c r="X20" s="14"/>
    </row>
    <row r="21" spans="1:24" s="15" customFormat="1" ht="39.9" customHeight="1" x14ac:dyDescent="0.3">
      <c r="A21" s="70" t="s">
        <v>37</v>
      </c>
      <c r="B21" s="33">
        <f>B13+B17</f>
        <v>81</v>
      </c>
      <c r="C21" s="25">
        <f t="shared" si="2"/>
        <v>341111037.27999997</v>
      </c>
      <c r="D21" s="38">
        <f t="shared" si="2"/>
        <v>176947880.31</v>
      </c>
      <c r="E21" s="24">
        <f t="shared" si="2"/>
        <v>164163156.97</v>
      </c>
      <c r="F21" s="43">
        <f t="shared" si="2"/>
        <v>299884.24</v>
      </c>
      <c r="G21" s="25">
        <f t="shared" si="2"/>
        <v>809134</v>
      </c>
      <c r="H21" s="25">
        <f t="shared" si="2"/>
        <v>20537720.629999999</v>
      </c>
      <c r="I21" s="25">
        <f t="shared" si="2"/>
        <v>39443618.030000001</v>
      </c>
      <c r="J21" s="25">
        <f t="shared" si="2"/>
        <v>67879343.539999992</v>
      </c>
      <c r="K21" s="25">
        <f t="shared" si="2"/>
        <v>33915483.230000004</v>
      </c>
      <c r="L21" s="25">
        <f t="shared" si="2"/>
        <v>1277973.3</v>
      </c>
      <c r="M21" s="25">
        <f t="shared" si="2"/>
        <v>0</v>
      </c>
      <c r="N21" s="25">
        <f t="shared" si="2"/>
        <v>0</v>
      </c>
      <c r="O21" s="71">
        <f t="shared" si="2"/>
        <v>0</v>
      </c>
      <c r="P21" s="12" t="b">
        <f t="shared" si="0"/>
        <v>1</v>
      </c>
      <c r="Q21" s="17" t="b">
        <f>E21=SUM(F21:O21)</f>
        <v>1</v>
      </c>
      <c r="R21" s="14"/>
      <c r="S21" s="14"/>
      <c r="T21" s="14"/>
      <c r="U21" s="14"/>
      <c r="V21" s="14"/>
      <c r="W21" s="14"/>
      <c r="X21" s="14"/>
    </row>
    <row r="22" spans="1:24" s="15" customFormat="1" ht="39.9" customHeight="1" x14ac:dyDescent="0.3">
      <c r="A22" s="72" t="s">
        <v>38</v>
      </c>
      <c r="B22" s="34">
        <f>B14+B18</f>
        <v>64</v>
      </c>
      <c r="C22" s="28">
        <f t="shared" si="2"/>
        <v>206067467</v>
      </c>
      <c r="D22" s="39">
        <f t="shared" si="2"/>
        <v>107709468.21000001</v>
      </c>
      <c r="E22" s="23">
        <f t="shared" si="2"/>
        <v>98357998.789999992</v>
      </c>
      <c r="F22" s="44">
        <f t="shared" si="2"/>
        <v>0</v>
      </c>
      <c r="G22" s="28">
        <f t="shared" si="2"/>
        <v>0</v>
      </c>
      <c r="H22" s="28">
        <f t="shared" si="2"/>
        <v>0</v>
      </c>
      <c r="I22" s="28">
        <f t="shared" si="2"/>
        <v>0</v>
      </c>
      <c r="J22" s="28">
        <f t="shared" si="2"/>
        <v>98357998.789999992</v>
      </c>
      <c r="K22" s="28">
        <f t="shared" si="2"/>
        <v>0</v>
      </c>
      <c r="L22" s="28">
        <f t="shared" si="2"/>
        <v>0</v>
      </c>
      <c r="M22" s="28">
        <f t="shared" si="2"/>
        <v>0</v>
      </c>
      <c r="N22" s="28">
        <f t="shared" si="2"/>
        <v>0</v>
      </c>
      <c r="O22" s="73">
        <f t="shared" si="2"/>
        <v>0</v>
      </c>
      <c r="P22" s="12" t="b">
        <f t="shared" si="0"/>
        <v>1</v>
      </c>
      <c r="Q22" s="17" t="b">
        <f>E22=SUM(F22:O22)</f>
        <v>1</v>
      </c>
      <c r="R22" s="14"/>
      <c r="S22" s="14"/>
      <c r="T22" s="14"/>
      <c r="U22" s="14"/>
      <c r="V22" s="14"/>
      <c r="W22" s="14"/>
      <c r="X22" s="14"/>
    </row>
    <row r="23" spans="1:24" s="15" customFormat="1" ht="39.9" customHeight="1" thickBot="1" x14ac:dyDescent="0.35">
      <c r="A23" s="74" t="s">
        <v>39</v>
      </c>
      <c r="B23" s="75">
        <f>B15+B19</f>
        <v>7</v>
      </c>
      <c r="C23" s="76">
        <f t="shared" ref="C23:O23" si="3">C15+C19</f>
        <v>69046545</v>
      </c>
      <c r="D23" s="77">
        <f t="shared" si="3"/>
        <v>46939055.799999997</v>
      </c>
      <c r="E23" s="62">
        <f t="shared" si="3"/>
        <v>22107489.199999999</v>
      </c>
      <c r="F23" s="78">
        <f t="shared" si="3"/>
        <v>0</v>
      </c>
      <c r="G23" s="76">
        <f t="shared" si="3"/>
        <v>0</v>
      </c>
      <c r="H23" s="76">
        <f t="shared" si="3"/>
        <v>0</v>
      </c>
      <c r="I23" s="76">
        <f t="shared" si="3"/>
        <v>0</v>
      </c>
      <c r="J23" s="76">
        <f t="shared" si="3"/>
        <v>2748171</v>
      </c>
      <c r="K23" s="76">
        <f t="shared" si="3"/>
        <v>19359318.199999999</v>
      </c>
      <c r="L23" s="76">
        <f t="shared" si="3"/>
        <v>0</v>
      </c>
      <c r="M23" s="76">
        <f t="shared" si="3"/>
        <v>0</v>
      </c>
      <c r="N23" s="76">
        <f t="shared" si="3"/>
        <v>0</v>
      </c>
      <c r="O23" s="79">
        <f t="shared" si="3"/>
        <v>0</v>
      </c>
      <c r="P23" s="12" t="b">
        <f>C23=(D23+E23)</f>
        <v>1</v>
      </c>
      <c r="Q23" s="17" t="b">
        <f>E23=SUM(F23:O23)</f>
        <v>1</v>
      </c>
      <c r="R23" s="14"/>
      <c r="S23" s="14"/>
      <c r="T23" s="14"/>
      <c r="U23" s="14"/>
      <c r="V23" s="14"/>
      <c r="W23" s="14"/>
      <c r="X23" s="14"/>
    </row>
    <row r="24" spans="1:24" ht="39.9" customHeight="1" thickTop="1" x14ac:dyDescent="0.3">
      <c r="A24" s="52" t="s">
        <v>2</v>
      </c>
      <c r="B24" s="53">
        <f>COUNTA('pow rez'!K3:K26)</f>
        <v>24</v>
      </c>
      <c r="C24" s="54">
        <f>SUM('pow rez'!J3:J26)</f>
        <v>107844763</v>
      </c>
      <c r="D24" s="55">
        <f>SUM('pow rez'!L3:L26)</f>
        <v>48774491.400000006</v>
      </c>
      <c r="E24" s="56">
        <f>SUM('pow rez'!K3:K26)</f>
        <v>59070271.599999994</v>
      </c>
      <c r="F24" s="57">
        <f>SUM('pow rez'!N3:N26)</f>
        <v>0</v>
      </c>
      <c r="G24" s="54">
        <f>SUM('pow rez'!O3:O26)</f>
        <v>0</v>
      </c>
      <c r="H24" s="54">
        <f>SUM('pow rez'!P3:P26)</f>
        <v>0</v>
      </c>
      <c r="I24" s="54">
        <f>SUM('pow rez'!Q3:Q26)</f>
        <v>0</v>
      </c>
      <c r="J24" s="54">
        <f>SUM('pow rez'!R3:R26)</f>
        <v>55556200.600000001</v>
      </c>
      <c r="K24" s="54">
        <f>SUM('pow rez'!S3:S26)</f>
        <v>3514071</v>
      </c>
      <c r="L24" s="54">
        <f>SUM('pow rez'!T3:T26)</f>
        <v>0</v>
      </c>
      <c r="M24" s="54">
        <f>SUM('pow rez'!U3:U26)</f>
        <v>0</v>
      </c>
      <c r="N24" s="54">
        <f>SUM('pow rez'!V3:V26)</f>
        <v>0</v>
      </c>
      <c r="O24" s="58">
        <f>SUM('pow rez'!W3:W26)</f>
        <v>0</v>
      </c>
      <c r="P24" s="12" t="b">
        <f t="shared" ref="P24:P36" si="4">C24=(D24+E24)</f>
        <v>1</v>
      </c>
      <c r="Q24" s="17" t="b">
        <f t="shared" ref="Q24:Q36" si="5">E24=SUM(F24:O24)</f>
        <v>1</v>
      </c>
      <c r="R24" s="13"/>
      <c r="S24" s="13"/>
      <c r="T24" s="13"/>
      <c r="U24" s="13"/>
      <c r="V24" s="13"/>
      <c r="W24" s="13"/>
      <c r="X24" s="13"/>
    </row>
    <row r="25" spans="1:24" ht="39.9" customHeight="1" x14ac:dyDescent="0.3">
      <c r="A25" s="60" t="s">
        <v>38</v>
      </c>
      <c r="B25" s="111">
        <f>COUNTIF('pow rez'!C3:C26,"N")</f>
        <v>23</v>
      </c>
      <c r="C25" s="112">
        <f>SUMIF('pow rez'!C3:C26,"N",'pow rez'!J3:J26)</f>
        <v>96159192</v>
      </c>
      <c r="D25" s="113">
        <f>SUMIF('pow rez'!C3:C26,"N",'pow rez'!L3:L26)</f>
        <v>44100263</v>
      </c>
      <c r="E25" s="23">
        <f>SUMIF('pow rez'!C3:C26,"N",'pow rez'!K3:K26)</f>
        <v>52058929</v>
      </c>
      <c r="F25" s="119">
        <f>SUMIF('pow rez'!C3:C26,"N",'pow rez'!N3:N26)</f>
        <v>0</v>
      </c>
      <c r="G25" s="112">
        <f>SUMIF('pow rez'!C3:C26,"N",'pow rez'!O3:O26)</f>
        <v>0</v>
      </c>
      <c r="H25" s="112">
        <f>SUMIF('pow rez'!C3:C26,"N",'pow rez'!P3:P26)</f>
        <v>0</v>
      </c>
      <c r="I25" s="112">
        <f>SUMIF('pow rez'!C3:C26,"N",'pow rez'!Q3:Q26)</f>
        <v>0</v>
      </c>
      <c r="J25" s="112">
        <f>SUMIF('pow rez'!C3:C26,"N",'pow rez'!R3:R26)</f>
        <v>52058929</v>
      </c>
      <c r="K25" s="112">
        <f>SUMIF('pow rez'!C3:C26,"N",'pow rez'!S3:S26)</f>
        <v>0</v>
      </c>
      <c r="L25" s="112">
        <f>SUMIF('pow rez'!C3:C26,"N",'pow rez'!T3:T26)</f>
        <v>0</v>
      </c>
      <c r="M25" s="112">
        <f>SUMIF('pow rez'!C3:C26,"N",'pow rez'!U3:U26)</f>
        <v>0</v>
      </c>
      <c r="N25" s="112">
        <f>SUMIF('pow rez'!C3:C26,"N",'pow rez'!V3:V26)</f>
        <v>0</v>
      </c>
      <c r="O25" s="120">
        <f>SUMIF('pow rez'!C3:C26,"N",'pow rez'!W3:W26)</f>
        <v>0</v>
      </c>
      <c r="P25" s="12" t="b">
        <f t="shared" si="4"/>
        <v>1</v>
      </c>
      <c r="Q25" s="17" t="b">
        <f t="shared" si="5"/>
        <v>1</v>
      </c>
      <c r="R25" s="13"/>
      <c r="S25" s="13"/>
      <c r="T25" s="13"/>
      <c r="U25" s="13"/>
      <c r="V25" s="13"/>
      <c r="W25" s="13"/>
      <c r="X25" s="13"/>
    </row>
    <row r="26" spans="1:24" ht="39.9" customHeight="1" thickBot="1" x14ac:dyDescent="0.35">
      <c r="A26" s="61" t="s">
        <v>39</v>
      </c>
      <c r="B26" s="114">
        <f>COUNTIF('pow rez'!C3:C26,"W")</f>
        <v>1</v>
      </c>
      <c r="C26" s="115">
        <f>SUMIF('pow rez'!C3:C26,"W",'pow rez'!J3:J26)</f>
        <v>11685571</v>
      </c>
      <c r="D26" s="116">
        <f>SUMIF('pow rez'!C3:C26,"W",'pow rez'!L3:L26)</f>
        <v>4674228.4000000004</v>
      </c>
      <c r="E26" s="62">
        <f>SUMIF('pow rez'!C3:C26,"W",'pow rez'!K3:K26)</f>
        <v>7011342.5999999996</v>
      </c>
      <c r="F26" s="121">
        <f>SUMIF('pow rez'!C3:C26,"W",'pow rez'!N3:N26)</f>
        <v>0</v>
      </c>
      <c r="G26" s="115">
        <f>SUMIF('pow rez'!C3:C26,"W",'pow rez'!O3:O26)</f>
        <v>0</v>
      </c>
      <c r="H26" s="115">
        <f>SUMIF('pow rez'!C3:C26,"W",'pow rez'!P3:P26)</f>
        <v>0</v>
      </c>
      <c r="I26" s="115">
        <f>SUMIF('pow rez'!C3:C26,"W",'pow rez'!Q3:Q26)</f>
        <v>0</v>
      </c>
      <c r="J26" s="115">
        <f>SUMIF('pow rez'!C3:C26,"W",'pow rez'!R3:R26)</f>
        <v>3497271.6</v>
      </c>
      <c r="K26" s="115">
        <f>SUMIF('pow rez'!C3:C26,"W",'pow rez'!S3:S26)</f>
        <v>3514071</v>
      </c>
      <c r="L26" s="115">
        <f>SUMIF('pow rez'!C3:C26,"W",'pow rez'!T3:T26)</f>
        <v>0</v>
      </c>
      <c r="M26" s="115">
        <f>SUMIF('pow rez'!C3:C26,"W",'pow rez'!U3:U26)</f>
        <v>0</v>
      </c>
      <c r="N26" s="115">
        <f>SUMIF('pow rez'!C3:C26,"W",'pow rez'!V3:V26)</f>
        <v>0</v>
      </c>
      <c r="O26" s="122">
        <f>SUMIF('pow rez'!C3:C26,"W",'pow rez'!W3:W26)</f>
        <v>0</v>
      </c>
      <c r="P26" s="12" t="b">
        <f t="shared" si="4"/>
        <v>1</v>
      </c>
      <c r="Q26" s="17" t="b">
        <f t="shared" si="5"/>
        <v>1</v>
      </c>
      <c r="R26" s="13"/>
      <c r="S26" s="13"/>
      <c r="T26" s="13"/>
      <c r="U26" s="13"/>
      <c r="V26" s="13"/>
      <c r="W26" s="13"/>
      <c r="X26" s="13"/>
    </row>
    <row r="27" spans="1:24" ht="39.9" customHeight="1" thickTop="1" x14ac:dyDescent="0.3">
      <c r="A27" s="52" t="s">
        <v>3</v>
      </c>
      <c r="B27" s="53">
        <f>COUNTA('gm rez'!L3:L58)</f>
        <v>56</v>
      </c>
      <c r="C27" s="54">
        <f>SUM('gm rez'!K3:K58)</f>
        <v>120858479.25</v>
      </c>
      <c r="D27" s="55">
        <f>SUM('gm rez'!M3:M58)</f>
        <v>55301956.609999992</v>
      </c>
      <c r="E27" s="56">
        <f>SUM('gm rez'!L3:L58)</f>
        <v>65556522.639999993</v>
      </c>
      <c r="F27" s="57">
        <f>SUM('gm rez'!O3:O58)</f>
        <v>0</v>
      </c>
      <c r="G27" s="54">
        <f>SUM('gm rez'!P3:P58)</f>
        <v>0</v>
      </c>
      <c r="H27" s="54">
        <f>SUM('gm rez'!Q3:Q58)</f>
        <v>0</v>
      </c>
      <c r="I27" s="54">
        <f>SUM('gm rez'!R3:R58)</f>
        <v>0</v>
      </c>
      <c r="J27" s="54">
        <f>SUM('gm rez'!S3:S58)</f>
        <v>62207985.139999993</v>
      </c>
      <c r="K27" s="54">
        <f>SUM('gm rez'!T3:T58)</f>
        <v>1591866</v>
      </c>
      <c r="L27" s="54">
        <f>SUM('gm rez'!U3:U58)</f>
        <v>1756671.5</v>
      </c>
      <c r="M27" s="54">
        <f>SUM('gm rez'!V3:V58)</f>
        <v>0</v>
      </c>
      <c r="N27" s="54">
        <f>SUM('gm rez'!W3:W58)</f>
        <v>0</v>
      </c>
      <c r="O27" s="58">
        <f>SUM('gm rez'!X3:X58)</f>
        <v>0</v>
      </c>
      <c r="P27" s="12" t="b">
        <f t="shared" si="4"/>
        <v>1</v>
      </c>
      <c r="Q27" s="17" t="b">
        <f t="shared" si="5"/>
        <v>1</v>
      </c>
      <c r="R27" s="16"/>
      <c r="S27" s="16"/>
      <c r="T27" s="16"/>
      <c r="U27" s="16"/>
      <c r="V27" s="7"/>
      <c r="W27" s="7"/>
      <c r="X27" s="7"/>
    </row>
    <row r="28" spans="1:24" ht="39.9" customHeight="1" x14ac:dyDescent="0.3">
      <c r="A28" s="60" t="s">
        <v>38</v>
      </c>
      <c r="B28" s="111">
        <f>COUNTIF('gm rez'!C3:C58,"N")</f>
        <v>54</v>
      </c>
      <c r="C28" s="112">
        <f>SUMIF('gm rez'!C3:C58,"N",'gm rez'!K3:K58)</f>
        <v>112612495.25</v>
      </c>
      <c r="D28" s="113">
        <f>SUMIF('gm rez'!C3:C58,"N",'gm rez'!M3:M58)</f>
        <v>51178964.609999992</v>
      </c>
      <c r="E28" s="23">
        <f>SUMIF('gm rez'!C3:C58,"N",'gm rez'!L3:L58)</f>
        <v>61433530.639999993</v>
      </c>
      <c r="F28" s="119">
        <f>SUMIF('gm rez'!C3:C58,"N",'gm rez'!O3:O58)</f>
        <v>0</v>
      </c>
      <c r="G28" s="112">
        <f>SUMIF('gm rez'!C3:C58,"N",'gm rez'!P3:P58)</f>
        <v>0</v>
      </c>
      <c r="H28" s="112">
        <f>SUMIF('gm rez'!C3:C58,"N",'gm rez'!Q3:Q58)</f>
        <v>0</v>
      </c>
      <c r="I28" s="112">
        <f>SUMIF('gm rez'!C3:C58,"N",'gm rez'!R3:R58)</f>
        <v>0</v>
      </c>
      <c r="J28" s="112">
        <f>SUMIF('gm rez'!C3:C58,"N",'gm rez'!S3:S58)</f>
        <v>61433530.639999993</v>
      </c>
      <c r="K28" s="112">
        <f>SUMIF('gm rez'!C3:C58,"N",'gm rez'!T3:T58)</f>
        <v>0</v>
      </c>
      <c r="L28" s="112">
        <f>SUMIF('gm rez'!C3:C58,"N",'gm rez'!U3:U58)</f>
        <v>0</v>
      </c>
      <c r="M28" s="112">
        <f>SUMIF('gm rez'!C3:C58,"N",'gm rez'!V3:V58)</f>
        <v>0</v>
      </c>
      <c r="N28" s="112">
        <f>SUMIF('gm rez'!C3:C58,"N",'gm rez'!W3:W58)</f>
        <v>0</v>
      </c>
      <c r="O28" s="120">
        <f>SUMIF('gm rez'!C3:C58,"N",'gm rez'!X3:X58)</f>
        <v>0</v>
      </c>
      <c r="P28" s="12" t="b">
        <f t="shared" si="4"/>
        <v>1</v>
      </c>
      <c r="Q28" s="17" t="b">
        <f t="shared" si="5"/>
        <v>1</v>
      </c>
      <c r="R28" s="16"/>
      <c r="S28" s="16"/>
      <c r="T28" s="16"/>
      <c r="U28" s="16"/>
      <c r="V28" s="7"/>
      <c r="W28" s="7"/>
      <c r="X28" s="7"/>
    </row>
    <row r="29" spans="1:24" ht="39.9" customHeight="1" thickBot="1" x14ac:dyDescent="0.35">
      <c r="A29" s="61" t="s">
        <v>39</v>
      </c>
      <c r="B29" s="114">
        <f>COUNTIF('gm rez'!C3:C58,"W")</f>
        <v>2</v>
      </c>
      <c r="C29" s="115">
        <f>SUMIF('gm rez'!C3:C58,"W",'gm rez'!K3:K58)</f>
        <v>8245984</v>
      </c>
      <c r="D29" s="116">
        <f>SUMIF('gm rez'!C3:C58,"W",'gm rez'!M3:M58)</f>
        <v>4122992</v>
      </c>
      <c r="E29" s="62">
        <f>SUMIF('gm rez'!C3:C58,"W",'gm rez'!L3:L58)</f>
        <v>4122992</v>
      </c>
      <c r="F29" s="121">
        <f>SUMIF('gm rez'!C3:C58,"W",'gm rez'!O3:O58)</f>
        <v>0</v>
      </c>
      <c r="G29" s="115">
        <f>SUMIF('gm rez'!C3:C58,"W",'gm rez'!P3:P58)</f>
        <v>0</v>
      </c>
      <c r="H29" s="115">
        <f>SUMIF('gm rez'!C3:C58,"W",'gm rez'!Q3:Q58)</f>
        <v>0</v>
      </c>
      <c r="I29" s="115">
        <f>SUMIF('gm rez'!C3:C58,"W",'gm rez'!R3:R58)</f>
        <v>0</v>
      </c>
      <c r="J29" s="115">
        <f>SUMIF('gm rez'!C3:C58,"W",'gm rez'!S3:S58)</f>
        <v>774454.5</v>
      </c>
      <c r="K29" s="115">
        <f>SUMIF('gm rez'!C3:C58,"W",'gm rez'!T3:T58)</f>
        <v>1591866</v>
      </c>
      <c r="L29" s="115">
        <f>SUMIF('gm rez'!C3:C58,"W",'gm rez'!U3:U58)</f>
        <v>1756671.5</v>
      </c>
      <c r="M29" s="115">
        <f>SUMIF('gm rez'!C3:C58,"W",'gm rez'!V3:V58)</f>
        <v>0</v>
      </c>
      <c r="N29" s="115">
        <f>SUMIF('gm rez'!C3:C58,"W",'gm rez'!W3:W58)</f>
        <v>0</v>
      </c>
      <c r="O29" s="122">
        <f>SUMIF('gm rez'!C3:C58,"W",'gm rez'!X3:X58)</f>
        <v>0</v>
      </c>
      <c r="P29" s="12" t="b">
        <f t="shared" si="4"/>
        <v>1</v>
      </c>
      <c r="Q29" s="17" t="b">
        <f t="shared" si="5"/>
        <v>1</v>
      </c>
      <c r="R29" s="16"/>
      <c r="S29" s="16"/>
      <c r="T29" s="16"/>
      <c r="U29" s="16"/>
      <c r="V29" s="7"/>
      <c r="W29" s="7"/>
      <c r="X29" s="7"/>
    </row>
    <row r="30" spans="1:24" ht="39.9" customHeight="1" thickTop="1" x14ac:dyDescent="0.3">
      <c r="A30" s="80" t="s">
        <v>22</v>
      </c>
      <c r="B30" s="81">
        <f>B24+B27</f>
        <v>80</v>
      </c>
      <c r="C30" s="82">
        <f t="shared" ref="C30:O30" si="6">C24+C27</f>
        <v>228703242.25</v>
      </c>
      <c r="D30" s="83">
        <f t="shared" si="6"/>
        <v>104076448.00999999</v>
      </c>
      <c r="E30" s="51">
        <f t="shared" si="6"/>
        <v>124626794.23999998</v>
      </c>
      <c r="F30" s="84">
        <f t="shared" si="6"/>
        <v>0</v>
      </c>
      <c r="G30" s="82">
        <f t="shared" si="6"/>
        <v>0</v>
      </c>
      <c r="H30" s="82">
        <f t="shared" si="6"/>
        <v>0</v>
      </c>
      <c r="I30" s="82">
        <f t="shared" si="6"/>
        <v>0</v>
      </c>
      <c r="J30" s="82">
        <f t="shared" si="6"/>
        <v>117764185.73999999</v>
      </c>
      <c r="K30" s="82">
        <f t="shared" si="6"/>
        <v>5105937</v>
      </c>
      <c r="L30" s="82">
        <f t="shared" si="6"/>
        <v>1756671.5</v>
      </c>
      <c r="M30" s="82">
        <f t="shared" si="6"/>
        <v>0</v>
      </c>
      <c r="N30" s="82">
        <f t="shared" si="6"/>
        <v>0</v>
      </c>
      <c r="O30" s="85">
        <f t="shared" si="6"/>
        <v>0</v>
      </c>
      <c r="P30" s="12" t="b">
        <f t="shared" si="4"/>
        <v>1</v>
      </c>
      <c r="Q30" s="17" t="b">
        <f t="shared" si="5"/>
        <v>1</v>
      </c>
    </row>
    <row r="31" spans="1:24" ht="39.9" customHeight="1" x14ac:dyDescent="0.3">
      <c r="A31" s="37" t="s">
        <v>38</v>
      </c>
      <c r="B31" s="35">
        <f t="shared" ref="B31:O31" si="7">B25+B28</f>
        <v>77</v>
      </c>
      <c r="C31" s="26">
        <f t="shared" si="7"/>
        <v>208771687.25</v>
      </c>
      <c r="D31" s="40">
        <f t="shared" si="7"/>
        <v>95279227.609999985</v>
      </c>
      <c r="E31" s="23">
        <f t="shared" si="7"/>
        <v>113492459.63999999</v>
      </c>
      <c r="F31" s="45">
        <f t="shared" si="7"/>
        <v>0</v>
      </c>
      <c r="G31" s="26">
        <f t="shared" si="7"/>
        <v>0</v>
      </c>
      <c r="H31" s="26">
        <f t="shared" si="7"/>
        <v>0</v>
      </c>
      <c r="I31" s="26">
        <f t="shared" si="7"/>
        <v>0</v>
      </c>
      <c r="J31" s="26">
        <f t="shared" si="7"/>
        <v>113492459.63999999</v>
      </c>
      <c r="K31" s="26">
        <f t="shared" si="7"/>
        <v>0</v>
      </c>
      <c r="L31" s="26">
        <f t="shared" si="7"/>
        <v>0</v>
      </c>
      <c r="M31" s="26">
        <f t="shared" si="7"/>
        <v>0</v>
      </c>
      <c r="N31" s="26">
        <f t="shared" si="7"/>
        <v>0</v>
      </c>
      <c r="O31" s="32">
        <f t="shared" si="7"/>
        <v>0</v>
      </c>
      <c r="P31" s="12" t="b">
        <f t="shared" si="4"/>
        <v>1</v>
      </c>
      <c r="Q31" s="17" t="b">
        <f t="shared" si="5"/>
        <v>1</v>
      </c>
    </row>
    <row r="32" spans="1:24" ht="39.9" customHeight="1" thickBot="1" x14ac:dyDescent="0.35">
      <c r="A32" s="86" t="s">
        <v>39</v>
      </c>
      <c r="B32" s="87">
        <f t="shared" ref="B32:O32" si="8">B26+B29</f>
        <v>3</v>
      </c>
      <c r="C32" s="88">
        <f t="shared" si="8"/>
        <v>19931555</v>
      </c>
      <c r="D32" s="89">
        <f t="shared" si="8"/>
        <v>8797220.4000000004</v>
      </c>
      <c r="E32" s="90">
        <f t="shared" si="8"/>
        <v>11134334.6</v>
      </c>
      <c r="F32" s="91">
        <f t="shared" si="8"/>
        <v>0</v>
      </c>
      <c r="G32" s="88">
        <f t="shared" si="8"/>
        <v>0</v>
      </c>
      <c r="H32" s="88">
        <f t="shared" si="8"/>
        <v>0</v>
      </c>
      <c r="I32" s="88">
        <f t="shared" si="8"/>
        <v>0</v>
      </c>
      <c r="J32" s="88">
        <f t="shared" si="8"/>
        <v>4271726.0999999996</v>
      </c>
      <c r="K32" s="88">
        <f t="shared" si="8"/>
        <v>5105937</v>
      </c>
      <c r="L32" s="88">
        <f t="shared" si="8"/>
        <v>1756671.5</v>
      </c>
      <c r="M32" s="88">
        <f t="shared" si="8"/>
        <v>0</v>
      </c>
      <c r="N32" s="88">
        <f t="shared" si="8"/>
        <v>0</v>
      </c>
      <c r="O32" s="92">
        <f t="shared" si="8"/>
        <v>0</v>
      </c>
      <c r="P32" s="12" t="b">
        <f t="shared" si="4"/>
        <v>1</v>
      </c>
      <c r="Q32" s="17" t="b">
        <f t="shared" si="5"/>
        <v>1</v>
      </c>
    </row>
    <row r="33" spans="1:17" ht="39.9" customHeight="1" thickTop="1" x14ac:dyDescent="0.3">
      <c r="A33" s="93" t="s">
        <v>33</v>
      </c>
      <c r="B33" s="94">
        <f>B20+B30</f>
        <v>232</v>
      </c>
      <c r="C33" s="95">
        <f t="shared" ref="C33:O33" si="9">C20+C30</f>
        <v>844928291.52999997</v>
      </c>
      <c r="D33" s="96">
        <f t="shared" si="9"/>
        <v>435672852.32999992</v>
      </c>
      <c r="E33" s="97">
        <f t="shared" si="9"/>
        <v>409255439.20000005</v>
      </c>
      <c r="F33" s="98">
        <f t="shared" si="9"/>
        <v>299884.24</v>
      </c>
      <c r="G33" s="95">
        <f t="shared" si="9"/>
        <v>809134</v>
      </c>
      <c r="H33" s="95">
        <f t="shared" si="9"/>
        <v>20537720.629999999</v>
      </c>
      <c r="I33" s="95">
        <f t="shared" si="9"/>
        <v>39443618.030000001</v>
      </c>
      <c r="J33" s="95">
        <f t="shared" si="9"/>
        <v>286749699.06999999</v>
      </c>
      <c r="K33" s="95">
        <f t="shared" si="9"/>
        <v>58380738.43</v>
      </c>
      <c r="L33" s="95">
        <f t="shared" si="9"/>
        <v>3034644.8</v>
      </c>
      <c r="M33" s="95">
        <f t="shared" si="9"/>
        <v>0</v>
      </c>
      <c r="N33" s="95">
        <f t="shared" si="9"/>
        <v>0</v>
      </c>
      <c r="O33" s="99">
        <f t="shared" si="9"/>
        <v>0</v>
      </c>
      <c r="P33" s="12" t="b">
        <f>C33=(D33+E33)</f>
        <v>1</v>
      </c>
      <c r="Q33" s="17" t="b">
        <f>E33=SUM(F33:O33)</f>
        <v>1</v>
      </c>
    </row>
    <row r="34" spans="1:17" ht="39.9" customHeight="1" x14ac:dyDescent="0.3">
      <c r="A34" s="126" t="s">
        <v>37</v>
      </c>
      <c r="B34" s="127">
        <f>B21</f>
        <v>81</v>
      </c>
      <c r="C34" s="128">
        <f t="shared" ref="C34:O34" si="10">C21</f>
        <v>341111037.27999997</v>
      </c>
      <c r="D34" s="129">
        <f t="shared" si="10"/>
        <v>176947880.31</v>
      </c>
      <c r="E34" s="24">
        <f t="shared" si="10"/>
        <v>164163156.97</v>
      </c>
      <c r="F34" s="130">
        <f t="shared" si="10"/>
        <v>299884.24</v>
      </c>
      <c r="G34" s="128">
        <f t="shared" si="10"/>
        <v>809134</v>
      </c>
      <c r="H34" s="128">
        <f t="shared" si="10"/>
        <v>20537720.629999999</v>
      </c>
      <c r="I34" s="128">
        <f t="shared" si="10"/>
        <v>39443618.030000001</v>
      </c>
      <c r="J34" s="128">
        <f t="shared" si="10"/>
        <v>67879343.539999992</v>
      </c>
      <c r="K34" s="128">
        <f t="shared" si="10"/>
        <v>33915483.230000004</v>
      </c>
      <c r="L34" s="128">
        <f t="shared" si="10"/>
        <v>1277973.3</v>
      </c>
      <c r="M34" s="128">
        <f t="shared" si="10"/>
        <v>0</v>
      </c>
      <c r="N34" s="128">
        <f t="shared" si="10"/>
        <v>0</v>
      </c>
      <c r="O34" s="131">
        <f t="shared" si="10"/>
        <v>0</v>
      </c>
      <c r="P34" s="12" t="b">
        <f>C34=(D34+E34)</f>
        <v>1</v>
      </c>
      <c r="Q34" s="17" t="b">
        <f>E34=SUM(F34:O34)</f>
        <v>1</v>
      </c>
    </row>
    <row r="35" spans="1:17" ht="39.9" customHeight="1" x14ac:dyDescent="0.3">
      <c r="A35" s="100" t="s">
        <v>38</v>
      </c>
      <c r="B35" s="36">
        <f>B22+B31</f>
        <v>141</v>
      </c>
      <c r="C35" s="27">
        <f t="shared" ref="C35:O35" si="11">C22+C31</f>
        <v>414839154.25</v>
      </c>
      <c r="D35" s="41">
        <f t="shared" si="11"/>
        <v>202988695.81999999</v>
      </c>
      <c r="E35" s="47">
        <f t="shared" si="11"/>
        <v>211850458.42999998</v>
      </c>
      <c r="F35" s="46">
        <f t="shared" si="11"/>
        <v>0</v>
      </c>
      <c r="G35" s="27">
        <f t="shared" si="11"/>
        <v>0</v>
      </c>
      <c r="H35" s="27">
        <f t="shared" si="11"/>
        <v>0</v>
      </c>
      <c r="I35" s="27">
        <f t="shared" si="11"/>
        <v>0</v>
      </c>
      <c r="J35" s="27">
        <f t="shared" si="11"/>
        <v>211850458.42999998</v>
      </c>
      <c r="K35" s="27">
        <f t="shared" si="11"/>
        <v>0</v>
      </c>
      <c r="L35" s="27">
        <f t="shared" si="11"/>
        <v>0</v>
      </c>
      <c r="M35" s="27">
        <f t="shared" si="11"/>
        <v>0</v>
      </c>
      <c r="N35" s="27">
        <f t="shared" si="11"/>
        <v>0</v>
      </c>
      <c r="O35" s="101">
        <f t="shared" si="11"/>
        <v>0</v>
      </c>
      <c r="P35" s="12" t="b">
        <f>C35=(D35+E35)</f>
        <v>1</v>
      </c>
      <c r="Q35" s="17" t="b">
        <f t="shared" si="5"/>
        <v>1</v>
      </c>
    </row>
    <row r="36" spans="1:17" ht="39.9" customHeight="1" thickBot="1" x14ac:dyDescent="0.35">
      <c r="A36" s="102" t="s">
        <v>39</v>
      </c>
      <c r="B36" s="103">
        <f>B23+B32</f>
        <v>10</v>
      </c>
      <c r="C36" s="104">
        <f t="shared" ref="C36:O36" si="12">C23+C32</f>
        <v>88978100</v>
      </c>
      <c r="D36" s="105">
        <f t="shared" si="12"/>
        <v>55736276.199999996</v>
      </c>
      <c r="E36" s="62">
        <f t="shared" si="12"/>
        <v>33241823.799999997</v>
      </c>
      <c r="F36" s="106">
        <f t="shared" si="12"/>
        <v>0</v>
      </c>
      <c r="G36" s="104">
        <f t="shared" si="12"/>
        <v>0</v>
      </c>
      <c r="H36" s="104">
        <f t="shared" si="12"/>
        <v>0</v>
      </c>
      <c r="I36" s="104">
        <f t="shared" si="12"/>
        <v>0</v>
      </c>
      <c r="J36" s="104">
        <f t="shared" si="12"/>
        <v>7019897.0999999996</v>
      </c>
      <c r="K36" s="104">
        <f t="shared" si="12"/>
        <v>24465255.199999999</v>
      </c>
      <c r="L36" s="104">
        <f t="shared" si="12"/>
        <v>1756671.5</v>
      </c>
      <c r="M36" s="104">
        <f t="shared" si="12"/>
        <v>0</v>
      </c>
      <c r="N36" s="104">
        <f t="shared" si="12"/>
        <v>0</v>
      </c>
      <c r="O36" s="107">
        <f t="shared" si="12"/>
        <v>0</v>
      </c>
      <c r="P36" s="12" t="b">
        <f t="shared" si="4"/>
        <v>1</v>
      </c>
      <c r="Q36" s="17" t="b">
        <f t="shared" si="5"/>
        <v>1</v>
      </c>
    </row>
    <row r="37" spans="1:17" ht="15" thickTop="1" x14ac:dyDescent="0.3"/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&amp;LWojewództwo Województwo Warmińsko-Mazurskie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66"/>
  <sheetViews>
    <sheetView showGridLines="0" view="pageBreakPreview" topLeftCell="A22" zoomScale="90" zoomScaleNormal="78" zoomScaleSheetLayoutView="90" workbookViewId="0">
      <selection activeCell="I8" sqref="I8"/>
    </sheetView>
  </sheetViews>
  <sheetFormatPr defaultRowHeight="14.4" x14ac:dyDescent="0.3"/>
  <cols>
    <col min="1" max="1" width="12.6640625" style="250" customWidth="1"/>
    <col min="2" max="4" width="15.6640625" style="250" customWidth="1"/>
    <col min="5" max="5" width="10.6640625" style="250" customWidth="1"/>
    <col min="6" max="6" width="38.5546875" style="250" customWidth="1"/>
    <col min="7" max="7" width="10.33203125" style="250" customWidth="1"/>
    <col min="8" max="8" width="12.88671875" style="250" customWidth="1"/>
    <col min="9" max="9" width="19.88671875" style="250" customWidth="1"/>
    <col min="10" max="10" width="15.109375" style="250" customWidth="1"/>
    <col min="11" max="12" width="15.6640625" style="250" customWidth="1"/>
    <col min="13" max="13" width="15.6640625" style="251" customWidth="1"/>
    <col min="14" max="23" width="15.6640625" style="250" customWidth="1"/>
    <col min="24" max="24" width="15.6640625" style="18" customWidth="1"/>
    <col min="25" max="26" width="15.6640625" style="1" customWidth="1"/>
    <col min="27" max="27" width="15.6640625" style="18" customWidth="1"/>
  </cols>
  <sheetData>
    <row r="1" spans="1:27" ht="20.100000000000001" customHeight="1" x14ac:dyDescent="0.3">
      <c r="A1" s="330" t="s">
        <v>4</v>
      </c>
      <c r="B1" s="330" t="s">
        <v>5</v>
      </c>
      <c r="C1" s="333" t="s">
        <v>43</v>
      </c>
      <c r="D1" s="328" t="s">
        <v>6</v>
      </c>
      <c r="E1" s="328" t="s">
        <v>32</v>
      </c>
      <c r="F1" s="328" t="s">
        <v>7</v>
      </c>
      <c r="G1" s="330" t="s">
        <v>26</v>
      </c>
      <c r="H1" s="330" t="s">
        <v>8</v>
      </c>
      <c r="I1" s="330" t="s">
        <v>23</v>
      </c>
      <c r="J1" s="330" t="s">
        <v>9</v>
      </c>
      <c r="K1" s="330" t="s">
        <v>16</v>
      </c>
      <c r="L1" s="328" t="s">
        <v>13</v>
      </c>
      <c r="M1" s="330" t="s">
        <v>11</v>
      </c>
      <c r="N1" s="330" t="s">
        <v>12</v>
      </c>
      <c r="O1" s="330"/>
      <c r="P1" s="330"/>
      <c r="Q1" s="330"/>
      <c r="R1" s="330"/>
      <c r="S1" s="330"/>
      <c r="T1" s="330"/>
      <c r="U1" s="330"/>
      <c r="V1" s="330"/>
      <c r="W1" s="330"/>
      <c r="X1" s="1"/>
    </row>
    <row r="2" spans="1:27" ht="20.100000000000001" customHeight="1" x14ac:dyDescent="0.3">
      <c r="A2" s="330"/>
      <c r="B2" s="330"/>
      <c r="C2" s="334"/>
      <c r="D2" s="329"/>
      <c r="E2" s="329"/>
      <c r="F2" s="329"/>
      <c r="G2" s="330"/>
      <c r="H2" s="330"/>
      <c r="I2" s="330"/>
      <c r="J2" s="330"/>
      <c r="K2" s="330"/>
      <c r="L2" s="329"/>
      <c r="M2" s="330"/>
      <c r="N2" s="149">
        <v>2019</v>
      </c>
      <c r="O2" s="149">
        <v>2020</v>
      </c>
      <c r="P2" s="149">
        <v>2021</v>
      </c>
      <c r="Q2" s="149">
        <v>2022</v>
      </c>
      <c r="R2" s="149">
        <v>2023</v>
      </c>
      <c r="S2" s="149">
        <v>2024</v>
      </c>
      <c r="T2" s="149">
        <v>2025</v>
      </c>
      <c r="U2" s="149">
        <v>2026</v>
      </c>
      <c r="V2" s="149">
        <v>2027</v>
      </c>
      <c r="W2" s="149">
        <v>2028</v>
      </c>
      <c r="X2" s="1" t="s">
        <v>28</v>
      </c>
      <c r="Y2" s="1" t="s">
        <v>29</v>
      </c>
      <c r="Z2" s="1" t="s">
        <v>30</v>
      </c>
      <c r="AA2" s="1" t="s">
        <v>31</v>
      </c>
    </row>
    <row r="3" spans="1:27" ht="45" customHeight="1" x14ac:dyDescent="0.3">
      <c r="A3" s="150">
        <v>1</v>
      </c>
      <c r="B3" s="151" t="s">
        <v>67</v>
      </c>
      <c r="C3" s="152" t="s">
        <v>68</v>
      </c>
      <c r="D3" s="153" t="s">
        <v>69</v>
      </c>
      <c r="E3" s="151">
        <v>2802</v>
      </c>
      <c r="F3" s="154" t="s">
        <v>70</v>
      </c>
      <c r="G3" s="151" t="s">
        <v>71</v>
      </c>
      <c r="H3" s="155">
        <v>5.141</v>
      </c>
      <c r="I3" s="151" t="s">
        <v>72</v>
      </c>
      <c r="J3" s="156">
        <v>1890000</v>
      </c>
      <c r="K3" s="156">
        <v>945000</v>
      </c>
      <c r="L3" s="156">
        <v>945000</v>
      </c>
      <c r="M3" s="157">
        <v>0.5</v>
      </c>
      <c r="N3" s="132">
        <v>125000</v>
      </c>
      <c r="O3" s="132">
        <v>30000</v>
      </c>
      <c r="P3" s="132">
        <v>125000</v>
      </c>
      <c r="Q3" s="132">
        <v>325000</v>
      </c>
      <c r="R3" s="133">
        <v>340000</v>
      </c>
      <c r="S3" s="158"/>
      <c r="T3" s="158"/>
      <c r="U3" s="158"/>
      <c r="V3" s="158"/>
      <c r="W3" s="158"/>
      <c r="X3" s="1" t="b">
        <f t="shared" ref="X3:X57" si="0">K3=SUM(N3:W3)</f>
        <v>1</v>
      </c>
      <c r="Y3" s="19">
        <f t="shared" ref="Y3:Y57" si="1">ROUND(K3/J3,4)</f>
        <v>0.5</v>
      </c>
      <c r="Z3" s="20" t="b">
        <f t="shared" ref="Z3:Z57" si="2">Y3=M3</f>
        <v>1</v>
      </c>
      <c r="AA3" s="20" t="b">
        <f t="shared" ref="AA3:AA57" si="3">J3=K3+L3</f>
        <v>1</v>
      </c>
    </row>
    <row r="4" spans="1:27" ht="45.75" customHeight="1" x14ac:dyDescent="0.3">
      <c r="A4" s="150">
        <v>2</v>
      </c>
      <c r="B4" s="151" t="s">
        <v>73</v>
      </c>
      <c r="C4" s="152" t="s">
        <v>68</v>
      </c>
      <c r="D4" s="153" t="s">
        <v>69</v>
      </c>
      <c r="E4" s="151">
        <v>2802</v>
      </c>
      <c r="F4" s="154" t="s">
        <v>74</v>
      </c>
      <c r="G4" s="151" t="s">
        <v>71</v>
      </c>
      <c r="H4" s="155">
        <v>6.1029999999999998</v>
      </c>
      <c r="I4" s="151" t="s">
        <v>75</v>
      </c>
      <c r="J4" s="156">
        <v>2405000</v>
      </c>
      <c r="K4" s="156">
        <v>1202500</v>
      </c>
      <c r="L4" s="156">
        <v>1202500</v>
      </c>
      <c r="M4" s="157">
        <v>0.5</v>
      </c>
      <c r="N4" s="132">
        <v>130000</v>
      </c>
      <c r="O4" s="132">
        <v>30000</v>
      </c>
      <c r="P4" s="132">
        <v>125000</v>
      </c>
      <c r="Q4" s="132">
        <v>475000</v>
      </c>
      <c r="R4" s="133">
        <v>442500</v>
      </c>
      <c r="S4" s="158"/>
      <c r="T4" s="158"/>
      <c r="U4" s="158"/>
      <c r="V4" s="158"/>
      <c r="W4" s="158"/>
      <c r="X4" s="1" t="b">
        <f t="shared" si="0"/>
        <v>1</v>
      </c>
      <c r="Y4" s="19">
        <f t="shared" si="1"/>
        <v>0.5</v>
      </c>
      <c r="Z4" s="20" t="b">
        <f t="shared" si="2"/>
        <v>1</v>
      </c>
      <c r="AA4" s="20" t="b">
        <f t="shared" si="3"/>
        <v>1</v>
      </c>
    </row>
    <row r="5" spans="1:27" ht="39" customHeight="1" x14ac:dyDescent="0.3">
      <c r="A5" s="150">
        <v>3</v>
      </c>
      <c r="B5" s="151" t="s">
        <v>76</v>
      </c>
      <c r="C5" s="152" t="s">
        <v>68</v>
      </c>
      <c r="D5" s="159" t="s">
        <v>77</v>
      </c>
      <c r="E5" s="160" t="s">
        <v>78</v>
      </c>
      <c r="F5" s="154" t="s">
        <v>79</v>
      </c>
      <c r="G5" s="151" t="s">
        <v>80</v>
      </c>
      <c r="H5" s="161">
        <v>0.91</v>
      </c>
      <c r="I5" s="162" t="s">
        <v>81</v>
      </c>
      <c r="J5" s="163">
        <v>11100000</v>
      </c>
      <c r="K5" s="164">
        <f>ROUND(J5*M5,2)</f>
        <v>7215000</v>
      </c>
      <c r="L5" s="165">
        <f t="shared" ref="L5:L10" si="4">J5-K5</f>
        <v>3885000</v>
      </c>
      <c r="M5" s="166">
        <v>0.65</v>
      </c>
      <c r="N5" s="167">
        <v>0</v>
      </c>
      <c r="O5" s="167">
        <v>0</v>
      </c>
      <c r="P5" s="168">
        <v>195000</v>
      </c>
      <c r="Q5" s="134">
        <v>4226950</v>
      </c>
      <c r="R5" s="135">
        <v>2793050</v>
      </c>
      <c r="S5" s="158"/>
      <c r="T5" s="158"/>
      <c r="U5" s="158"/>
      <c r="V5" s="158"/>
      <c r="W5" s="158"/>
      <c r="X5" s="1" t="b">
        <f t="shared" si="0"/>
        <v>1</v>
      </c>
      <c r="Y5" s="19">
        <f t="shared" si="1"/>
        <v>0.65</v>
      </c>
      <c r="Z5" s="20" t="b">
        <f t="shared" si="2"/>
        <v>1</v>
      </c>
      <c r="AA5" s="20" t="b">
        <f t="shared" si="3"/>
        <v>1</v>
      </c>
    </row>
    <row r="6" spans="1:27" ht="43.5" customHeight="1" x14ac:dyDescent="0.3">
      <c r="A6" s="151">
        <v>4</v>
      </c>
      <c r="B6" s="151" t="s">
        <v>82</v>
      </c>
      <c r="C6" s="152" t="s">
        <v>68</v>
      </c>
      <c r="D6" s="169" t="s">
        <v>83</v>
      </c>
      <c r="E6" s="160" t="s">
        <v>63</v>
      </c>
      <c r="F6" s="154" t="s">
        <v>84</v>
      </c>
      <c r="G6" s="151" t="s">
        <v>85</v>
      </c>
      <c r="H6" s="161">
        <v>3.97</v>
      </c>
      <c r="I6" s="162" t="s">
        <v>86</v>
      </c>
      <c r="J6" s="163">
        <v>6970418.7800000003</v>
      </c>
      <c r="K6" s="164">
        <v>4530772.2</v>
      </c>
      <c r="L6" s="165">
        <f t="shared" si="4"/>
        <v>2439646.58</v>
      </c>
      <c r="M6" s="166">
        <v>0.65</v>
      </c>
      <c r="N6" s="167">
        <v>0</v>
      </c>
      <c r="O6" s="167">
        <v>0</v>
      </c>
      <c r="P6" s="168">
        <v>65000</v>
      </c>
      <c r="Q6" s="134">
        <v>292500</v>
      </c>
      <c r="R6" s="165">
        <v>2463158.75</v>
      </c>
      <c r="S6" s="134">
        <v>1710113.45</v>
      </c>
      <c r="T6" s="158"/>
      <c r="U6" s="158"/>
      <c r="V6" s="158"/>
      <c r="W6" s="158"/>
      <c r="X6" s="1" t="b">
        <f t="shared" si="0"/>
        <v>1</v>
      </c>
      <c r="Y6" s="19">
        <f t="shared" si="1"/>
        <v>0.65</v>
      </c>
      <c r="Z6" s="20" t="b">
        <f t="shared" si="2"/>
        <v>1</v>
      </c>
      <c r="AA6" s="20" t="b">
        <f t="shared" si="3"/>
        <v>1</v>
      </c>
    </row>
    <row r="7" spans="1:27" ht="51.75" customHeight="1" x14ac:dyDescent="0.3">
      <c r="A7" s="151">
        <v>5</v>
      </c>
      <c r="B7" s="151" t="s">
        <v>87</v>
      </c>
      <c r="C7" s="152" t="s">
        <v>68</v>
      </c>
      <c r="D7" s="169" t="s">
        <v>88</v>
      </c>
      <c r="E7" s="160" t="s">
        <v>59</v>
      </c>
      <c r="F7" s="154" t="s">
        <v>89</v>
      </c>
      <c r="G7" s="151" t="s">
        <v>85</v>
      </c>
      <c r="H7" s="161">
        <v>5.8120000000000003</v>
      </c>
      <c r="I7" s="162" t="s">
        <v>90</v>
      </c>
      <c r="J7" s="163">
        <v>3788030.18</v>
      </c>
      <c r="K7" s="164">
        <v>2462219.61</v>
      </c>
      <c r="L7" s="165">
        <f t="shared" si="4"/>
        <v>1325810.5700000003</v>
      </c>
      <c r="M7" s="166">
        <v>0.65</v>
      </c>
      <c r="N7" s="167">
        <v>0</v>
      </c>
      <c r="O7" s="167">
        <v>0</v>
      </c>
      <c r="P7" s="168">
        <v>821600</v>
      </c>
      <c r="Q7" s="134">
        <v>1062100</v>
      </c>
      <c r="R7" s="135">
        <v>578519.61</v>
      </c>
      <c r="S7" s="158"/>
      <c r="T7" s="158"/>
      <c r="U7" s="158"/>
      <c r="V7" s="158"/>
      <c r="W7" s="158"/>
      <c r="X7" s="1" t="b">
        <f t="shared" si="0"/>
        <v>1</v>
      </c>
      <c r="Y7" s="19">
        <f t="shared" si="1"/>
        <v>0.65</v>
      </c>
      <c r="Z7" s="20" t="b">
        <f t="shared" si="2"/>
        <v>1</v>
      </c>
      <c r="AA7" s="20" t="b">
        <f t="shared" si="3"/>
        <v>1</v>
      </c>
    </row>
    <row r="8" spans="1:27" ht="41.25" customHeight="1" x14ac:dyDescent="0.3">
      <c r="A8" s="151">
        <v>6</v>
      </c>
      <c r="B8" s="151" t="s">
        <v>91</v>
      </c>
      <c r="C8" s="152" t="s">
        <v>68</v>
      </c>
      <c r="D8" s="169" t="s">
        <v>83</v>
      </c>
      <c r="E8" s="160" t="s">
        <v>63</v>
      </c>
      <c r="F8" s="154" t="s">
        <v>92</v>
      </c>
      <c r="G8" s="151" t="s">
        <v>85</v>
      </c>
      <c r="H8" s="161">
        <v>5.21</v>
      </c>
      <c r="I8" s="162" t="s">
        <v>86</v>
      </c>
      <c r="J8" s="163">
        <v>8587068.1999999993</v>
      </c>
      <c r="K8" s="164">
        <f>ROUND(J8*M8,2)</f>
        <v>5581594.3300000001</v>
      </c>
      <c r="L8" s="165">
        <f t="shared" si="4"/>
        <v>3005473.8699999992</v>
      </c>
      <c r="M8" s="166">
        <v>0.65</v>
      </c>
      <c r="N8" s="167">
        <v>0</v>
      </c>
      <c r="O8" s="167">
        <v>0</v>
      </c>
      <c r="P8" s="134">
        <v>65000</v>
      </c>
      <c r="Q8" s="134">
        <v>292500</v>
      </c>
      <c r="R8" s="135">
        <v>3283263.75</v>
      </c>
      <c r="S8" s="134">
        <v>1940830.58</v>
      </c>
      <c r="T8" s="158"/>
      <c r="U8" s="158"/>
      <c r="V8" s="158"/>
      <c r="W8" s="158"/>
      <c r="X8" s="1" t="b">
        <f t="shared" si="0"/>
        <v>1</v>
      </c>
      <c r="Y8" s="19">
        <f t="shared" si="1"/>
        <v>0.65</v>
      </c>
      <c r="Z8" s="20" t="b">
        <f t="shared" si="2"/>
        <v>1</v>
      </c>
      <c r="AA8" s="20" t="b">
        <f t="shared" si="3"/>
        <v>1</v>
      </c>
    </row>
    <row r="9" spans="1:27" ht="30" customHeight="1" x14ac:dyDescent="0.3">
      <c r="A9" s="151">
        <v>7</v>
      </c>
      <c r="B9" s="151" t="s">
        <v>93</v>
      </c>
      <c r="C9" s="152" t="s">
        <v>68</v>
      </c>
      <c r="D9" s="169" t="s">
        <v>94</v>
      </c>
      <c r="E9" s="160" t="s">
        <v>56</v>
      </c>
      <c r="F9" s="154" t="s">
        <v>95</v>
      </c>
      <c r="G9" s="151" t="s">
        <v>71</v>
      </c>
      <c r="H9" s="161">
        <v>16.189</v>
      </c>
      <c r="I9" s="162" t="s">
        <v>96</v>
      </c>
      <c r="J9" s="163">
        <v>5428599.0999999996</v>
      </c>
      <c r="K9" s="164">
        <v>3528589.42</v>
      </c>
      <c r="L9" s="165">
        <f t="shared" si="4"/>
        <v>1900009.6799999997</v>
      </c>
      <c r="M9" s="166">
        <v>0.65</v>
      </c>
      <c r="N9" s="167">
        <v>0</v>
      </c>
      <c r="O9" s="167">
        <v>0</v>
      </c>
      <c r="P9" s="134">
        <v>1852509.38</v>
      </c>
      <c r="Q9" s="134">
        <v>1676080.04</v>
      </c>
      <c r="R9" s="158"/>
      <c r="S9" s="158"/>
      <c r="T9" s="158"/>
      <c r="U9" s="158"/>
      <c r="V9" s="158"/>
      <c r="W9" s="158"/>
      <c r="X9" s="1" t="b">
        <f t="shared" si="0"/>
        <v>1</v>
      </c>
      <c r="Y9" s="19">
        <f t="shared" si="1"/>
        <v>0.65</v>
      </c>
      <c r="Z9" s="20" t="b">
        <f t="shared" si="2"/>
        <v>1</v>
      </c>
      <c r="AA9" s="20" t="b">
        <f t="shared" si="3"/>
        <v>1</v>
      </c>
    </row>
    <row r="10" spans="1:27" ht="30" customHeight="1" x14ac:dyDescent="0.3">
      <c r="A10" s="151">
        <v>8</v>
      </c>
      <c r="B10" s="151" t="s">
        <v>97</v>
      </c>
      <c r="C10" s="152" t="s">
        <v>68</v>
      </c>
      <c r="D10" s="169" t="s">
        <v>94</v>
      </c>
      <c r="E10" s="160" t="s">
        <v>56</v>
      </c>
      <c r="F10" s="154" t="s">
        <v>98</v>
      </c>
      <c r="G10" s="151" t="s">
        <v>71</v>
      </c>
      <c r="H10" s="161">
        <v>6.95</v>
      </c>
      <c r="I10" s="162" t="s">
        <v>99</v>
      </c>
      <c r="J10" s="163">
        <v>2362829.75</v>
      </c>
      <c r="K10" s="164">
        <v>1535839.34</v>
      </c>
      <c r="L10" s="165">
        <f t="shared" si="4"/>
        <v>826990.40999999992</v>
      </c>
      <c r="M10" s="166">
        <v>0.65</v>
      </c>
      <c r="N10" s="167">
        <v>0</v>
      </c>
      <c r="O10" s="167">
        <v>0</v>
      </c>
      <c r="P10" s="134">
        <v>798636.38</v>
      </c>
      <c r="Q10" s="134">
        <v>737202.96</v>
      </c>
      <c r="R10" s="158"/>
      <c r="S10" s="158"/>
      <c r="T10" s="158"/>
      <c r="U10" s="158"/>
      <c r="V10" s="158"/>
      <c r="W10" s="158"/>
      <c r="X10" s="1" t="b">
        <f t="shared" si="0"/>
        <v>1</v>
      </c>
      <c r="Y10" s="19">
        <f t="shared" si="1"/>
        <v>0.65</v>
      </c>
      <c r="Z10" s="20" t="b">
        <f t="shared" si="2"/>
        <v>1</v>
      </c>
      <c r="AA10" s="20" t="b">
        <f t="shared" si="3"/>
        <v>1</v>
      </c>
    </row>
    <row r="11" spans="1:27" ht="40.5" customHeight="1" x14ac:dyDescent="0.3">
      <c r="A11" s="151">
        <v>9</v>
      </c>
      <c r="B11" s="151" t="s">
        <v>100</v>
      </c>
      <c r="C11" s="152" t="s">
        <v>68</v>
      </c>
      <c r="D11" s="169" t="s">
        <v>83</v>
      </c>
      <c r="E11" s="160" t="s">
        <v>63</v>
      </c>
      <c r="F11" s="154" t="s">
        <v>101</v>
      </c>
      <c r="G11" s="151" t="s">
        <v>85</v>
      </c>
      <c r="H11" s="161">
        <v>4.984</v>
      </c>
      <c r="I11" s="162" t="s">
        <v>102</v>
      </c>
      <c r="J11" s="163">
        <v>8286053.0300000003</v>
      </c>
      <c r="K11" s="164">
        <f>ROUND(J11*M11,2)</f>
        <v>5385934.4699999997</v>
      </c>
      <c r="L11" s="165">
        <f>J11-K11</f>
        <v>2900118.5600000005</v>
      </c>
      <c r="M11" s="166">
        <v>0.65</v>
      </c>
      <c r="N11" s="167">
        <v>0</v>
      </c>
      <c r="O11" s="167">
        <v>0</v>
      </c>
      <c r="P11" s="134">
        <v>65000</v>
      </c>
      <c r="Q11" s="134">
        <v>292500</v>
      </c>
      <c r="R11" s="135">
        <v>3133793</v>
      </c>
      <c r="S11" s="134">
        <v>1894641.47</v>
      </c>
      <c r="T11" s="158"/>
      <c r="U11" s="158"/>
      <c r="V11" s="158"/>
      <c r="W11" s="158"/>
      <c r="X11" s="1" t="b">
        <f t="shared" si="0"/>
        <v>1</v>
      </c>
      <c r="Y11" s="19">
        <f t="shared" si="1"/>
        <v>0.65</v>
      </c>
      <c r="Z11" s="20" t="b">
        <f t="shared" si="2"/>
        <v>1</v>
      </c>
      <c r="AA11" s="20" t="b">
        <f t="shared" si="3"/>
        <v>1</v>
      </c>
    </row>
    <row r="12" spans="1:27" ht="42.75" customHeight="1" x14ac:dyDescent="0.3">
      <c r="A12" s="151">
        <v>10</v>
      </c>
      <c r="B12" s="151" t="s">
        <v>103</v>
      </c>
      <c r="C12" s="152" t="s">
        <v>68</v>
      </c>
      <c r="D12" s="169" t="s">
        <v>104</v>
      </c>
      <c r="E12" s="160" t="s">
        <v>52</v>
      </c>
      <c r="F12" s="154" t="s">
        <v>105</v>
      </c>
      <c r="G12" s="151" t="s">
        <v>85</v>
      </c>
      <c r="H12" s="161">
        <v>0.19800000000000001</v>
      </c>
      <c r="I12" s="162" t="s">
        <v>106</v>
      </c>
      <c r="J12" s="163">
        <v>3667644.39</v>
      </c>
      <c r="K12" s="164">
        <v>2270337.62</v>
      </c>
      <c r="L12" s="165">
        <f>J12-K12</f>
        <v>1397306.77</v>
      </c>
      <c r="M12" s="166">
        <v>0.65</v>
      </c>
      <c r="N12" s="167">
        <v>0</v>
      </c>
      <c r="O12" s="167">
        <v>0</v>
      </c>
      <c r="P12" s="135">
        <v>673.02</v>
      </c>
      <c r="Q12" s="134">
        <v>139750</v>
      </c>
      <c r="R12" s="135">
        <v>2129914.6</v>
      </c>
      <c r="S12" s="158"/>
      <c r="T12" s="158"/>
      <c r="U12" s="158"/>
      <c r="V12" s="158"/>
      <c r="W12" s="158"/>
      <c r="X12" s="1" t="b">
        <f t="shared" si="0"/>
        <v>1</v>
      </c>
      <c r="Y12" s="19">
        <f t="shared" si="1"/>
        <v>0.61899999999999999</v>
      </c>
      <c r="Z12" s="20" t="b">
        <f t="shared" si="2"/>
        <v>0</v>
      </c>
      <c r="AA12" s="20" t="b">
        <f t="shared" si="3"/>
        <v>1</v>
      </c>
    </row>
    <row r="13" spans="1:27" ht="30" customHeight="1" x14ac:dyDescent="0.3">
      <c r="A13" s="151">
        <v>11</v>
      </c>
      <c r="B13" s="150" t="s">
        <v>107</v>
      </c>
      <c r="C13" s="170" t="s">
        <v>68</v>
      </c>
      <c r="D13" s="171" t="s">
        <v>104</v>
      </c>
      <c r="E13" s="172" t="s">
        <v>52</v>
      </c>
      <c r="F13" s="173" t="s">
        <v>108</v>
      </c>
      <c r="G13" s="150" t="s">
        <v>85</v>
      </c>
      <c r="H13" s="174">
        <v>0.96</v>
      </c>
      <c r="I13" s="175" t="s">
        <v>690</v>
      </c>
      <c r="J13" s="176">
        <v>2040287.1</v>
      </c>
      <c r="K13" s="177">
        <f>ROUND(J13*M13,2)</f>
        <v>1326186.6200000001</v>
      </c>
      <c r="L13" s="178">
        <f>J13-K13</f>
        <v>714100.48</v>
      </c>
      <c r="M13" s="179">
        <v>0.65</v>
      </c>
      <c r="N13" s="180">
        <v>0</v>
      </c>
      <c r="O13" s="180">
        <v>0</v>
      </c>
      <c r="P13" s="181">
        <v>0</v>
      </c>
      <c r="Q13" s="182">
        <v>52329.75</v>
      </c>
      <c r="R13" s="183">
        <v>1273856.8700000001</v>
      </c>
      <c r="S13" s="158"/>
      <c r="T13" s="158"/>
      <c r="U13" s="158"/>
      <c r="V13" s="158"/>
      <c r="W13" s="158"/>
      <c r="X13" s="1" t="b">
        <f t="shared" si="0"/>
        <v>1</v>
      </c>
      <c r="Y13" s="19">
        <f t="shared" si="1"/>
        <v>0.65</v>
      </c>
      <c r="Z13" s="20" t="b">
        <f t="shared" si="2"/>
        <v>1</v>
      </c>
      <c r="AA13" s="20" t="b">
        <f t="shared" si="3"/>
        <v>1</v>
      </c>
    </row>
    <row r="14" spans="1:27" ht="44.25" customHeight="1" x14ac:dyDescent="0.3">
      <c r="A14" s="150" t="s">
        <v>694</v>
      </c>
      <c r="B14" s="150" t="s">
        <v>110</v>
      </c>
      <c r="C14" s="184" t="s">
        <v>68</v>
      </c>
      <c r="D14" s="185" t="s">
        <v>112</v>
      </c>
      <c r="E14" s="172" t="s">
        <v>48</v>
      </c>
      <c r="F14" s="186" t="s">
        <v>113</v>
      </c>
      <c r="G14" s="150" t="s">
        <v>80</v>
      </c>
      <c r="H14" s="174">
        <v>12</v>
      </c>
      <c r="I14" s="175" t="s">
        <v>114</v>
      </c>
      <c r="J14" s="176">
        <v>23017847.780000001</v>
      </c>
      <c r="K14" s="177">
        <v>5848705.3399999999</v>
      </c>
      <c r="L14" s="178">
        <f>J14-K14</f>
        <v>17169142.440000001</v>
      </c>
      <c r="M14" s="179">
        <v>0.6</v>
      </c>
      <c r="N14" s="177">
        <v>0</v>
      </c>
      <c r="O14" s="177">
        <v>0</v>
      </c>
      <c r="P14" s="187">
        <v>0</v>
      </c>
      <c r="Q14" s="188">
        <v>27132.75</v>
      </c>
      <c r="R14" s="183">
        <v>5821572.5899999999</v>
      </c>
      <c r="S14" s="158"/>
      <c r="T14" s="158"/>
      <c r="U14" s="158"/>
      <c r="V14" s="158"/>
      <c r="W14" s="158"/>
      <c r="X14" s="1" t="b">
        <f t="shared" si="0"/>
        <v>1</v>
      </c>
      <c r="Y14" s="19">
        <f t="shared" si="1"/>
        <v>0.25409999999999999</v>
      </c>
      <c r="Z14" s="20" t="b">
        <f t="shared" si="2"/>
        <v>0</v>
      </c>
      <c r="AA14" s="20" t="b">
        <f t="shared" si="3"/>
        <v>1</v>
      </c>
    </row>
    <row r="15" spans="1:27" ht="30" customHeight="1" x14ac:dyDescent="0.3">
      <c r="A15" s="150" t="s">
        <v>695</v>
      </c>
      <c r="B15" s="151" t="s">
        <v>116</v>
      </c>
      <c r="C15" s="152" t="s">
        <v>68</v>
      </c>
      <c r="D15" s="159" t="s">
        <v>117</v>
      </c>
      <c r="E15" s="160" t="s">
        <v>65</v>
      </c>
      <c r="F15" s="189" t="s">
        <v>118</v>
      </c>
      <c r="G15" s="151" t="s">
        <v>85</v>
      </c>
      <c r="H15" s="161">
        <v>0.95</v>
      </c>
      <c r="I15" s="162" t="s">
        <v>119</v>
      </c>
      <c r="J15" s="163">
        <v>2273607.11</v>
      </c>
      <c r="K15" s="164">
        <v>1230000</v>
      </c>
      <c r="L15" s="165">
        <f t="shared" ref="L15:L48" si="5">J15-K15</f>
        <v>1043607.1099999999</v>
      </c>
      <c r="M15" s="166">
        <v>0.6</v>
      </c>
      <c r="N15" s="167">
        <v>0</v>
      </c>
      <c r="O15" s="167">
        <v>0</v>
      </c>
      <c r="P15" s="190">
        <v>0</v>
      </c>
      <c r="Q15" s="190">
        <v>0</v>
      </c>
      <c r="R15" s="135">
        <v>1230000</v>
      </c>
      <c r="S15" s="158"/>
      <c r="T15" s="158"/>
      <c r="U15" s="158"/>
      <c r="V15" s="158"/>
      <c r="W15" s="158"/>
      <c r="X15" s="1" t="b">
        <f t="shared" si="0"/>
        <v>1</v>
      </c>
      <c r="Y15" s="19">
        <f t="shared" si="1"/>
        <v>0.54100000000000004</v>
      </c>
      <c r="Z15" s="20" t="b">
        <f t="shared" si="2"/>
        <v>0</v>
      </c>
      <c r="AA15" s="20" t="b">
        <f t="shared" si="3"/>
        <v>1</v>
      </c>
    </row>
    <row r="16" spans="1:27" ht="30" customHeight="1" x14ac:dyDescent="0.3">
      <c r="A16" s="150" t="s">
        <v>696</v>
      </c>
      <c r="B16" s="151" t="s">
        <v>120</v>
      </c>
      <c r="C16" s="152" t="s">
        <v>68</v>
      </c>
      <c r="D16" s="159" t="s">
        <v>83</v>
      </c>
      <c r="E16" s="160" t="s">
        <v>63</v>
      </c>
      <c r="F16" s="189" t="s">
        <v>121</v>
      </c>
      <c r="G16" s="151" t="s">
        <v>85</v>
      </c>
      <c r="H16" s="161">
        <v>0.23</v>
      </c>
      <c r="I16" s="162" t="s">
        <v>122</v>
      </c>
      <c r="J16" s="163">
        <v>729592</v>
      </c>
      <c r="K16" s="164">
        <v>197755.2</v>
      </c>
      <c r="L16" s="165">
        <f t="shared" si="5"/>
        <v>531836.80000000005</v>
      </c>
      <c r="M16" s="166">
        <v>0.6</v>
      </c>
      <c r="N16" s="167">
        <v>0</v>
      </c>
      <c r="O16" s="167">
        <v>0</v>
      </c>
      <c r="P16" s="190">
        <v>0</v>
      </c>
      <c r="Q16" s="190">
        <v>0</v>
      </c>
      <c r="R16" s="135">
        <v>197755.2</v>
      </c>
      <c r="S16" s="158"/>
      <c r="T16" s="158"/>
      <c r="U16" s="158"/>
      <c r="V16" s="158"/>
      <c r="W16" s="158"/>
      <c r="X16" s="1" t="b">
        <f t="shared" si="0"/>
        <v>1</v>
      </c>
      <c r="Y16" s="19">
        <f t="shared" si="1"/>
        <v>0.27100000000000002</v>
      </c>
      <c r="Z16" s="20" t="b">
        <f t="shared" si="2"/>
        <v>0</v>
      </c>
      <c r="AA16" s="20" t="b">
        <f t="shared" si="3"/>
        <v>1</v>
      </c>
    </row>
    <row r="17" spans="1:27" ht="39.75" customHeight="1" x14ac:dyDescent="0.3">
      <c r="A17" s="150" t="s">
        <v>697</v>
      </c>
      <c r="B17" s="151" t="s">
        <v>123</v>
      </c>
      <c r="C17" s="152" t="s">
        <v>68</v>
      </c>
      <c r="D17" s="159" t="s">
        <v>124</v>
      </c>
      <c r="E17" s="160" t="s">
        <v>64</v>
      </c>
      <c r="F17" s="189" t="s">
        <v>125</v>
      </c>
      <c r="G17" s="151" t="s">
        <v>85</v>
      </c>
      <c r="H17" s="161">
        <v>7.4</v>
      </c>
      <c r="I17" s="162" t="s">
        <v>126</v>
      </c>
      <c r="J17" s="163">
        <v>9177057</v>
      </c>
      <c r="K17" s="164">
        <v>5249143.2</v>
      </c>
      <c r="L17" s="165">
        <f t="shared" si="5"/>
        <v>3927913.8</v>
      </c>
      <c r="M17" s="166">
        <v>0.6</v>
      </c>
      <c r="N17" s="164">
        <v>0</v>
      </c>
      <c r="O17" s="164">
        <v>0</v>
      </c>
      <c r="P17" s="191">
        <v>0</v>
      </c>
      <c r="Q17" s="190">
        <v>0</v>
      </c>
      <c r="R17" s="135">
        <v>5249143.2</v>
      </c>
      <c r="S17" s="158"/>
      <c r="T17" s="158"/>
      <c r="U17" s="158"/>
      <c r="V17" s="158"/>
      <c r="W17" s="158"/>
      <c r="X17" s="1" t="b">
        <f t="shared" si="0"/>
        <v>1</v>
      </c>
      <c r="Y17" s="19">
        <f t="shared" si="1"/>
        <v>0.57199999999999995</v>
      </c>
      <c r="Z17" s="20" t="b">
        <f t="shared" si="2"/>
        <v>0</v>
      </c>
      <c r="AA17" s="20" t="b">
        <f t="shared" si="3"/>
        <v>1</v>
      </c>
    </row>
    <row r="18" spans="1:27" ht="30" customHeight="1" x14ac:dyDescent="0.3">
      <c r="A18" s="150" t="s">
        <v>698</v>
      </c>
      <c r="B18" s="151" t="s">
        <v>127</v>
      </c>
      <c r="C18" s="152" t="s">
        <v>68</v>
      </c>
      <c r="D18" s="159" t="s">
        <v>128</v>
      </c>
      <c r="E18" s="160" t="s">
        <v>55</v>
      </c>
      <c r="F18" s="189" t="s">
        <v>129</v>
      </c>
      <c r="G18" s="151" t="s">
        <v>85</v>
      </c>
      <c r="H18" s="161">
        <v>1.53</v>
      </c>
      <c r="I18" s="162" t="s">
        <v>130</v>
      </c>
      <c r="J18" s="163">
        <v>2864670</v>
      </c>
      <c r="K18" s="164">
        <v>1697832.62</v>
      </c>
      <c r="L18" s="165">
        <f t="shared" si="5"/>
        <v>1166837.3799999999</v>
      </c>
      <c r="M18" s="166">
        <v>0.6</v>
      </c>
      <c r="N18" s="164">
        <v>0</v>
      </c>
      <c r="O18" s="164">
        <v>0</v>
      </c>
      <c r="P18" s="191">
        <v>0</v>
      </c>
      <c r="Q18" s="190">
        <v>0</v>
      </c>
      <c r="R18" s="135">
        <v>1697832.62</v>
      </c>
      <c r="S18" s="158"/>
      <c r="T18" s="158"/>
      <c r="U18" s="158"/>
      <c r="V18" s="158"/>
      <c r="W18" s="158"/>
      <c r="X18" s="1" t="b">
        <f t="shared" si="0"/>
        <v>1</v>
      </c>
      <c r="Y18" s="19">
        <f t="shared" si="1"/>
        <v>0.5927</v>
      </c>
      <c r="Z18" s="20" t="b">
        <f t="shared" si="2"/>
        <v>0</v>
      </c>
      <c r="AA18" s="20" t="b">
        <f t="shared" si="3"/>
        <v>1</v>
      </c>
    </row>
    <row r="19" spans="1:27" ht="30" customHeight="1" x14ac:dyDescent="0.3">
      <c r="A19" s="150" t="s">
        <v>141</v>
      </c>
      <c r="B19" s="151" t="s">
        <v>131</v>
      </c>
      <c r="C19" s="152" t="s">
        <v>68</v>
      </c>
      <c r="D19" s="159" t="s">
        <v>83</v>
      </c>
      <c r="E19" s="160" t="s">
        <v>63</v>
      </c>
      <c r="F19" s="189" t="s">
        <v>132</v>
      </c>
      <c r="G19" s="151" t="s">
        <v>85</v>
      </c>
      <c r="H19" s="161">
        <v>0.216</v>
      </c>
      <c r="I19" s="162" t="s">
        <v>122</v>
      </c>
      <c r="J19" s="163">
        <v>770110</v>
      </c>
      <c r="K19" s="164">
        <v>222066</v>
      </c>
      <c r="L19" s="165">
        <f t="shared" si="5"/>
        <v>548044</v>
      </c>
      <c r="M19" s="166">
        <v>0.6</v>
      </c>
      <c r="N19" s="167">
        <v>0</v>
      </c>
      <c r="O19" s="167">
        <v>0</v>
      </c>
      <c r="P19" s="190">
        <v>0</v>
      </c>
      <c r="Q19" s="190">
        <v>0</v>
      </c>
      <c r="R19" s="136">
        <v>222066</v>
      </c>
      <c r="S19" s="158"/>
      <c r="T19" s="158"/>
      <c r="U19" s="158"/>
      <c r="V19" s="158"/>
      <c r="W19" s="158"/>
      <c r="X19" s="1" t="b">
        <f t="shared" si="0"/>
        <v>1</v>
      </c>
      <c r="Y19" s="19">
        <f t="shared" si="1"/>
        <v>0.28839999999999999</v>
      </c>
      <c r="Z19" s="20" t="b">
        <f t="shared" si="2"/>
        <v>0</v>
      </c>
      <c r="AA19" s="20" t="b">
        <f t="shared" si="3"/>
        <v>1</v>
      </c>
    </row>
    <row r="20" spans="1:27" ht="54" customHeight="1" x14ac:dyDescent="0.3">
      <c r="A20" s="150" t="s">
        <v>699</v>
      </c>
      <c r="B20" s="151" t="s">
        <v>133</v>
      </c>
      <c r="C20" s="152" t="s">
        <v>68</v>
      </c>
      <c r="D20" s="159" t="s">
        <v>83</v>
      </c>
      <c r="E20" s="160" t="s">
        <v>63</v>
      </c>
      <c r="F20" s="189" t="s">
        <v>134</v>
      </c>
      <c r="G20" s="151" t="s">
        <v>85</v>
      </c>
      <c r="H20" s="161">
        <v>4.3460000000000001</v>
      </c>
      <c r="I20" s="162" t="s">
        <v>135</v>
      </c>
      <c r="J20" s="163">
        <v>12228338</v>
      </c>
      <c r="K20" s="164">
        <v>7217002.7999999998</v>
      </c>
      <c r="L20" s="165">
        <f t="shared" si="5"/>
        <v>5011335.2</v>
      </c>
      <c r="M20" s="166">
        <v>0.6</v>
      </c>
      <c r="N20" s="167">
        <v>0</v>
      </c>
      <c r="O20" s="167">
        <v>0</v>
      </c>
      <c r="P20" s="190">
        <v>0</v>
      </c>
      <c r="Q20" s="192">
        <v>0</v>
      </c>
      <c r="R20" s="136">
        <v>900000</v>
      </c>
      <c r="S20" s="134">
        <v>6317002.7999999998</v>
      </c>
      <c r="T20" s="158"/>
      <c r="U20" s="158"/>
      <c r="V20" s="158"/>
      <c r="W20" s="158"/>
      <c r="X20" s="1" t="b">
        <f t="shared" si="0"/>
        <v>1</v>
      </c>
      <c r="Y20" s="19">
        <f t="shared" si="1"/>
        <v>0.59019999999999995</v>
      </c>
      <c r="Z20" s="20" t="b">
        <f t="shared" si="2"/>
        <v>0</v>
      </c>
      <c r="AA20" s="20" t="b">
        <f t="shared" si="3"/>
        <v>1</v>
      </c>
    </row>
    <row r="21" spans="1:27" ht="39" customHeight="1" x14ac:dyDescent="0.3">
      <c r="A21" s="150" t="s">
        <v>700</v>
      </c>
      <c r="B21" s="151" t="s">
        <v>136</v>
      </c>
      <c r="C21" s="152" t="s">
        <v>68</v>
      </c>
      <c r="D21" s="159" t="s">
        <v>117</v>
      </c>
      <c r="E21" s="160" t="s">
        <v>65</v>
      </c>
      <c r="F21" s="189" t="s">
        <v>137</v>
      </c>
      <c r="G21" s="151" t="s">
        <v>85</v>
      </c>
      <c r="H21" s="161">
        <v>0.82499999999999996</v>
      </c>
      <c r="I21" s="162" t="s">
        <v>138</v>
      </c>
      <c r="J21" s="163">
        <v>1342860</v>
      </c>
      <c r="K21" s="164">
        <v>777600</v>
      </c>
      <c r="L21" s="165">
        <f t="shared" si="5"/>
        <v>565260</v>
      </c>
      <c r="M21" s="166">
        <v>0.6</v>
      </c>
      <c r="N21" s="167">
        <v>0</v>
      </c>
      <c r="O21" s="167">
        <v>0</v>
      </c>
      <c r="P21" s="190">
        <v>0</v>
      </c>
      <c r="Q21" s="190">
        <v>0</v>
      </c>
      <c r="R21" s="136">
        <v>777600</v>
      </c>
      <c r="S21" s="158"/>
      <c r="T21" s="158"/>
      <c r="U21" s="158"/>
      <c r="V21" s="158"/>
      <c r="W21" s="158"/>
      <c r="X21" s="1" t="b">
        <f t="shared" si="0"/>
        <v>1</v>
      </c>
      <c r="Y21" s="19">
        <f t="shared" si="1"/>
        <v>0.57909999999999995</v>
      </c>
      <c r="Z21" s="20" t="b">
        <f t="shared" si="2"/>
        <v>0</v>
      </c>
      <c r="AA21" s="20" t="b">
        <f t="shared" si="3"/>
        <v>1</v>
      </c>
    </row>
    <row r="22" spans="1:27" ht="40.5" customHeight="1" x14ac:dyDescent="0.3">
      <c r="A22" s="150" t="s">
        <v>115</v>
      </c>
      <c r="B22" s="151" t="s">
        <v>139</v>
      </c>
      <c r="C22" s="152" t="s">
        <v>68</v>
      </c>
      <c r="D22" s="159" t="s">
        <v>83</v>
      </c>
      <c r="E22" s="160" t="s">
        <v>63</v>
      </c>
      <c r="F22" s="189" t="s">
        <v>140</v>
      </c>
      <c r="G22" s="151" t="s">
        <v>71</v>
      </c>
      <c r="H22" s="161">
        <v>1.36</v>
      </c>
      <c r="I22" s="162" t="s">
        <v>109</v>
      </c>
      <c r="J22" s="163">
        <v>3418920</v>
      </c>
      <c r="K22" s="164">
        <v>971352</v>
      </c>
      <c r="L22" s="165">
        <f t="shared" si="5"/>
        <v>2447568</v>
      </c>
      <c r="M22" s="166">
        <v>0.6</v>
      </c>
      <c r="N22" s="167">
        <v>0</v>
      </c>
      <c r="O22" s="167">
        <v>0</v>
      </c>
      <c r="P22" s="190">
        <v>0</v>
      </c>
      <c r="Q22" s="190">
        <v>0</v>
      </c>
      <c r="R22" s="136">
        <v>971352</v>
      </c>
      <c r="S22" s="158"/>
      <c r="T22" s="158"/>
      <c r="U22" s="158"/>
      <c r="V22" s="158"/>
      <c r="W22" s="158"/>
      <c r="X22" s="1" t="b">
        <f t="shared" si="0"/>
        <v>1</v>
      </c>
      <c r="Y22" s="19">
        <f t="shared" si="1"/>
        <v>0.28410000000000002</v>
      </c>
      <c r="Z22" s="20" t="b">
        <f t="shared" si="2"/>
        <v>0</v>
      </c>
      <c r="AA22" s="20" t="b">
        <f t="shared" si="3"/>
        <v>1</v>
      </c>
    </row>
    <row r="23" spans="1:27" ht="40.5" customHeight="1" x14ac:dyDescent="0.3">
      <c r="A23" s="150" t="s">
        <v>787</v>
      </c>
      <c r="B23" s="150" t="s">
        <v>781</v>
      </c>
      <c r="C23" s="184" t="s">
        <v>68</v>
      </c>
      <c r="D23" s="185" t="s">
        <v>104</v>
      </c>
      <c r="E23" s="172" t="s">
        <v>52</v>
      </c>
      <c r="F23" s="186" t="s">
        <v>782</v>
      </c>
      <c r="G23" s="150" t="s">
        <v>85</v>
      </c>
      <c r="H23" s="174">
        <v>0.48499999999999999</v>
      </c>
      <c r="I23" s="175" t="s">
        <v>783</v>
      </c>
      <c r="J23" s="176">
        <v>2628299.08</v>
      </c>
      <c r="K23" s="177">
        <v>0</v>
      </c>
      <c r="L23" s="178">
        <f>J23-K23</f>
        <v>2628299.08</v>
      </c>
      <c r="M23" s="179">
        <v>0.6</v>
      </c>
      <c r="N23" s="180">
        <v>0</v>
      </c>
      <c r="O23" s="180">
        <v>0</v>
      </c>
      <c r="P23" s="181">
        <v>0</v>
      </c>
      <c r="Q23" s="187">
        <v>0</v>
      </c>
      <c r="R23" s="193">
        <v>0</v>
      </c>
      <c r="S23" s="158"/>
      <c r="T23" s="158"/>
      <c r="U23" s="158"/>
      <c r="V23" s="158"/>
      <c r="W23" s="158"/>
      <c r="X23" s="1" t="b">
        <f t="shared" si="0"/>
        <v>1</v>
      </c>
      <c r="Y23" s="19">
        <f t="shared" si="1"/>
        <v>0</v>
      </c>
      <c r="Z23" s="20" t="b">
        <f t="shared" si="2"/>
        <v>0</v>
      </c>
      <c r="AA23" s="20" t="b">
        <f t="shared" si="3"/>
        <v>1</v>
      </c>
    </row>
    <row r="24" spans="1:27" ht="40.5" customHeight="1" x14ac:dyDescent="0.3">
      <c r="A24" s="150" t="s">
        <v>788</v>
      </c>
      <c r="B24" s="150" t="s">
        <v>784</v>
      </c>
      <c r="C24" s="184" t="s">
        <v>68</v>
      </c>
      <c r="D24" s="185" t="s">
        <v>284</v>
      </c>
      <c r="E24" s="172" t="s">
        <v>51</v>
      </c>
      <c r="F24" s="186" t="s">
        <v>785</v>
      </c>
      <c r="G24" s="150" t="s">
        <v>85</v>
      </c>
      <c r="H24" s="174">
        <v>8.6229999999999993</v>
      </c>
      <c r="I24" s="175" t="s">
        <v>786</v>
      </c>
      <c r="J24" s="176">
        <v>11936767.67</v>
      </c>
      <c r="K24" s="177">
        <v>0</v>
      </c>
      <c r="L24" s="178">
        <f>J24-K24</f>
        <v>11936767.67</v>
      </c>
      <c r="M24" s="179">
        <v>0.6</v>
      </c>
      <c r="N24" s="177">
        <v>0</v>
      </c>
      <c r="O24" s="177">
        <v>0</v>
      </c>
      <c r="P24" s="194">
        <v>0</v>
      </c>
      <c r="Q24" s="187">
        <v>0</v>
      </c>
      <c r="R24" s="193">
        <v>0</v>
      </c>
      <c r="S24" s="158"/>
      <c r="T24" s="158"/>
      <c r="U24" s="158"/>
      <c r="V24" s="158"/>
      <c r="W24" s="158"/>
      <c r="X24" s="1" t="b">
        <f t="shared" si="0"/>
        <v>1</v>
      </c>
      <c r="Y24" s="19">
        <f t="shared" si="1"/>
        <v>0</v>
      </c>
      <c r="Z24" s="20" t="b">
        <f t="shared" si="2"/>
        <v>0</v>
      </c>
      <c r="AA24" s="20" t="b">
        <f t="shared" si="3"/>
        <v>1</v>
      </c>
    </row>
    <row r="25" spans="1:27" ht="53.25" customHeight="1" x14ac:dyDescent="0.3">
      <c r="A25" s="195">
        <v>23</v>
      </c>
      <c r="B25" s="195" t="s">
        <v>629</v>
      </c>
      <c r="C25" s="196" t="s">
        <v>315</v>
      </c>
      <c r="D25" s="197" t="s">
        <v>77</v>
      </c>
      <c r="E25" s="198" t="s">
        <v>78</v>
      </c>
      <c r="F25" s="199" t="s">
        <v>630</v>
      </c>
      <c r="G25" s="195" t="s">
        <v>85</v>
      </c>
      <c r="H25" s="200">
        <v>0.22600000000000001</v>
      </c>
      <c r="I25" s="201" t="s">
        <v>631</v>
      </c>
      <c r="J25" s="202">
        <v>2830000</v>
      </c>
      <c r="K25" s="203">
        <f t="shared" ref="K25:K49" si="6">ROUND(J25*M25,2)</f>
        <v>1981000</v>
      </c>
      <c r="L25" s="204">
        <f t="shared" si="5"/>
        <v>849000</v>
      </c>
      <c r="M25" s="205">
        <v>0.7</v>
      </c>
      <c r="N25" s="167">
        <v>0</v>
      </c>
      <c r="O25" s="167">
        <v>0</v>
      </c>
      <c r="P25" s="190">
        <v>0</v>
      </c>
      <c r="Q25" s="190">
        <v>0</v>
      </c>
      <c r="R25" s="206">
        <f>SUM(K25)</f>
        <v>1981000</v>
      </c>
      <c r="S25" s="207"/>
      <c r="T25" s="207"/>
      <c r="U25" s="207"/>
      <c r="V25" s="207"/>
      <c r="W25" s="207"/>
      <c r="X25" s="1" t="b">
        <f t="shared" si="0"/>
        <v>1</v>
      </c>
      <c r="Y25" s="19">
        <f t="shared" si="1"/>
        <v>0.7</v>
      </c>
      <c r="Z25" s="20" t="b">
        <f t="shared" si="2"/>
        <v>1</v>
      </c>
      <c r="AA25" s="20" t="b">
        <f t="shared" si="3"/>
        <v>1</v>
      </c>
    </row>
    <row r="26" spans="1:27" ht="30" customHeight="1" x14ac:dyDescent="0.3">
      <c r="A26" s="195">
        <v>24</v>
      </c>
      <c r="B26" s="195" t="s">
        <v>331</v>
      </c>
      <c r="C26" s="196" t="s">
        <v>315</v>
      </c>
      <c r="D26" s="197" t="s">
        <v>88</v>
      </c>
      <c r="E26" s="198" t="s">
        <v>59</v>
      </c>
      <c r="F26" s="199" t="s">
        <v>332</v>
      </c>
      <c r="G26" s="195" t="s">
        <v>85</v>
      </c>
      <c r="H26" s="200">
        <v>0.44</v>
      </c>
      <c r="I26" s="201" t="s">
        <v>333</v>
      </c>
      <c r="J26" s="202">
        <v>1452665</v>
      </c>
      <c r="K26" s="203">
        <f t="shared" si="6"/>
        <v>726332.5</v>
      </c>
      <c r="L26" s="204">
        <f t="shared" si="5"/>
        <v>726332.5</v>
      </c>
      <c r="M26" s="205">
        <v>0.5</v>
      </c>
      <c r="N26" s="167">
        <v>0</v>
      </c>
      <c r="O26" s="167">
        <v>0</v>
      </c>
      <c r="P26" s="190">
        <v>0</v>
      </c>
      <c r="Q26" s="190">
        <v>0</v>
      </c>
      <c r="R26" s="206">
        <f>SUM(K26)</f>
        <v>726332.5</v>
      </c>
      <c r="S26" s="207"/>
      <c r="T26" s="207"/>
      <c r="U26" s="207"/>
      <c r="V26" s="207"/>
      <c r="W26" s="207"/>
      <c r="X26" s="1" t="b">
        <f t="shared" si="0"/>
        <v>1</v>
      </c>
      <c r="Y26" s="19">
        <f t="shared" si="1"/>
        <v>0.5</v>
      </c>
      <c r="Z26" s="20" t="b">
        <f t="shared" si="2"/>
        <v>1</v>
      </c>
      <c r="AA26" s="20" t="b">
        <f t="shared" si="3"/>
        <v>1</v>
      </c>
    </row>
    <row r="27" spans="1:27" ht="30" customHeight="1" x14ac:dyDescent="0.3">
      <c r="A27" s="195">
        <v>25</v>
      </c>
      <c r="B27" s="195" t="s">
        <v>479</v>
      </c>
      <c r="C27" s="196" t="s">
        <v>315</v>
      </c>
      <c r="D27" s="197" t="s">
        <v>94</v>
      </c>
      <c r="E27" s="198" t="s">
        <v>56</v>
      </c>
      <c r="F27" s="199" t="s">
        <v>480</v>
      </c>
      <c r="G27" s="195" t="s">
        <v>71</v>
      </c>
      <c r="H27" s="200">
        <v>2.6880000000000002</v>
      </c>
      <c r="I27" s="201" t="s">
        <v>471</v>
      </c>
      <c r="J27" s="202">
        <v>3675889</v>
      </c>
      <c r="K27" s="203">
        <f t="shared" si="6"/>
        <v>2205533.4</v>
      </c>
      <c r="L27" s="204">
        <f t="shared" si="5"/>
        <v>1470355.6</v>
      </c>
      <c r="M27" s="205">
        <v>0.6</v>
      </c>
      <c r="N27" s="167">
        <v>0</v>
      </c>
      <c r="O27" s="167">
        <v>0</v>
      </c>
      <c r="P27" s="190">
        <v>0</v>
      </c>
      <c r="Q27" s="190">
        <v>0</v>
      </c>
      <c r="R27" s="206">
        <f>SUM(K27)</f>
        <v>2205533.4</v>
      </c>
      <c r="S27" s="207"/>
      <c r="T27" s="207"/>
      <c r="U27" s="207"/>
      <c r="V27" s="207"/>
      <c r="W27" s="207"/>
      <c r="X27" s="1" t="b">
        <f t="shared" si="0"/>
        <v>1</v>
      </c>
      <c r="Y27" s="19">
        <f t="shared" si="1"/>
        <v>0.6</v>
      </c>
      <c r="Z27" s="20" t="b">
        <f t="shared" si="2"/>
        <v>1</v>
      </c>
      <c r="AA27" s="20" t="b">
        <f t="shared" si="3"/>
        <v>1</v>
      </c>
    </row>
    <row r="28" spans="1:27" ht="30" customHeight="1" x14ac:dyDescent="0.3">
      <c r="A28" s="195">
        <v>26</v>
      </c>
      <c r="B28" s="195" t="s">
        <v>414</v>
      </c>
      <c r="C28" s="196" t="s">
        <v>315</v>
      </c>
      <c r="D28" s="197" t="s">
        <v>117</v>
      </c>
      <c r="E28" s="198" t="s">
        <v>65</v>
      </c>
      <c r="F28" s="199" t="s">
        <v>415</v>
      </c>
      <c r="G28" s="195" t="s">
        <v>85</v>
      </c>
      <c r="H28" s="200">
        <v>0.83699999999999997</v>
      </c>
      <c r="I28" s="201" t="s">
        <v>416</v>
      </c>
      <c r="J28" s="202">
        <v>1637349</v>
      </c>
      <c r="K28" s="203">
        <f t="shared" si="6"/>
        <v>818674.5</v>
      </c>
      <c r="L28" s="204">
        <f t="shared" si="5"/>
        <v>818674.5</v>
      </c>
      <c r="M28" s="205">
        <v>0.5</v>
      </c>
      <c r="N28" s="167">
        <v>0</v>
      </c>
      <c r="O28" s="167">
        <v>0</v>
      </c>
      <c r="P28" s="190">
        <v>0</v>
      </c>
      <c r="Q28" s="190">
        <v>0</v>
      </c>
      <c r="R28" s="206">
        <f>SUM(K28)</f>
        <v>818674.5</v>
      </c>
      <c r="S28" s="207"/>
      <c r="T28" s="207"/>
      <c r="U28" s="207"/>
      <c r="V28" s="207"/>
      <c r="W28" s="207"/>
      <c r="X28" s="1" t="b">
        <f t="shared" si="0"/>
        <v>1</v>
      </c>
      <c r="Y28" s="19">
        <f t="shared" si="1"/>
        <v>0.5</v>
      </c>
      <c r="Z28" s="20" t="b">
        <f t="shared" si="2"/>
        <v>1</v>
      </c>
      <c r="AA28" s="20" t="b">
        <f t="shared" si="3"/>
        <v>1</v>
      </c>
    </row>
    <row r="29" spans="1:27" ht="30" customHeight="1" x14ac:dyDescent="0.3">
      <c r="A29" s="151" t="s">
        <v>827</v>
      </c>
      <c r="B29" s="151" t="s">
        <v>329</v>
      </c>
      <c r="C29" s="208" t="s">
        <v>111</v>
      </c>
      <c r="D29" s="209" t="s">
        <v>128</v>
      </c>
      <c r="E29" s="210" t="s">
        <v>55</v>
      </c>
      <c r="F29" s="211" t="s">
        <v>330</v>
      </c>
      <c r="G29" s="151" t="s">
        <v>85</v>
      </c>
      <c r="H29" s="161">
        <v>4.6269999999999998</v>
      </c>
      <c r="I29" s="162" t="s">
        <v>328</v>
      </c>
      <c r="J29" s="212">
        <v>12596533</v>
      </c>
      <c r="K29" s="213">
        <v>5860477.2999999998</v>
      </c>
      <c r="L29" s="214">
        <f>J29-K29</f>
        <v>6736055.7000000002</v>
      </c>
      <c r="M29" s="166">
        <v>0.7</v>
      </c>
      <c r="N29" s="167">
        <v>0</v>
      </c>
      <c r="O29" s="167">
        <v>0</v>
      </c>
      <c r="P29" s="190">
        <v>0</v>
      </c>
      <c r="Q29" s="190">
        <v>0</v>
      </c>
      <c r="R29" s="215">
        <v>1259653.3</v>
      </c>
      <c r="S29" s="216">
        <v>4600824</v>
      </c>
      <c r="T29" s="217"/>
      <c r="U29" s="158"/>
      <c r="V29" s="158"/>
      <c r="W29" s="158"/>
      <c r="X29" s="1" t="b">
        <f t="shared" si="0"/>
        <v>1</v>
      </c>
      <c r="Y29" s="19">
        <f t="shared" si="1"/>
        <v>0.4652</v>
      </c>
      <c r="Z29" s="20" t="b">
        <f t="shared" si="2"/>
        <v>0</v>
      </c>
      <c r="AA29" s="20" t="b">
        <f t="shared" si="3"/>
        <v>1</v>
      </c>
    </row>
    <row r="30" spans="1:27" ht="30" customHeight="1" x14ac:dyDescent="0.3">
      <c r="A30" s="218">
        <v>28</v>
      </c>
      <c r="B30" s="195" t="s">
        <v>472</v>
      </c>
      <c r="C30" s="196" t="s">
        <v>315</v>
      </c>
      <c r="D30" s="197" t="s">
        <v>94</v>
      </c>
      <c r="E30" s="198" t="s">
        <v>56</v>
      </c>
      <c r="F30" s="199" t="s">
        <v>473</v>
      </c>
      <c r="G30" s="195" t="s">
        <v>71</v>
      </c>
      <c r="H30" s="200">
        <v>3.9449999999999998</v>
      </c>
      <c r="I30" s="201" t="s">
        <v>471</v>
      </c>
      <c r="J30" s="202">
        <v>5056506</v>
      </c>
      <c r="K30" s="219">
        <f t="shared" si="6"/>
        <v>3033903.6</v>
      </c>
      <c r="L30" s="220">
        <f t="shared" si="5"/>
        <v>2022602.4</v>
      </c>
      <c r="M30" s="205">
        <v>0.6</v>
      </c>
      <c r="N30" s="167">
        <v>0</v>
      </c>
      <c r="O30" s="167">
        <v>0</v>
      </c>
      <c r="P30" s="190">
        <v>0</v>
      </c>
      <c r="Q30" s="190">
        <v>0</v>
      </c>
      <c r="R30" s="206">
        <f t="shared" ref="R30:R35" si="7">SUM(K30)</f>
        <v>3033903.6</v>
      </c>
      <c r="S30" s="207"/>
      <c r="T30" s="217"/>
      <c r="U30" s="158"/>
      <c r="V30" s="158"/>
      <c r="W30" s="158"/>
      <c r="X30" s="1" t="b">
        <f t="shared" si="0"/>
        <v>1</v>
      </c>
      <c r="Y30" s="19">
        <f t="shared" si="1"/>
        <v>0.6</v>
      </c>
      <c r="Z30" s="20" t="b">
        <f t="shared" si="2"/>
        <v>1</v>
      </c>
      <c r="AA30" s="20" t="b">
        <f t="shared" si="3"/>
        <v>1</v>
      </c>
    </row>
    <row r="31" spans="1:27" ht="30" customHeight="1" x14ac:dyDescent="0.3">
      <c r="A31" s="218">
        <v>29</v>
      </c>
      <c r="B31" s="195" t="s">
        <v>521</v>
      </c>
      <c r="C31" s="196" t="s">
        <v>315</v>
      </c>
      <c r="D31" s="197" t="s">
        <v>232</v>
      </c>
      <c r="E31" s="198" t="s">
        <v>60</v>
      </c>
      <c r="F31" s="199" t="s">
        <v>522</v>
      </c>
      <c r="G31" s="195" t="s">
        <v>85</v>
      </c>
      <c r="H31" s="200">
        <v>0.40699999999999997</v>
      </c>
      <c r="I31" s="201" t="s">
        <v>484</v>
      </c>
      <c r="J31" s="202">
        <v>1904359</v>
      </c>
      <c r="K31" s="219">
        <f t="shared" si="6"/>
        <v>952179.5</v>
      </c>
      <c r="L31" s="220">
        <f t="shared" si="5"/>
        <v>952179.5</v>
      </c>
      <c r="M31" s="205">
        <v>0.5</v>
      </c>
      <c r="N31" s="167">
        <v>0</v>
      </c>
      <c r="O31" s="167">
        <v>0</v>
      </c>
      <c r="P31" s="190">
        <v>0</v>
      </c>
      <c r="Q31" s="190">
        <v>0</v>
      </c>
      <c r="R31" s="206">
        <f t="shared" si="7"/>
        <v>952179.5</v>
      </c>
      <c r="S31" s="207"/>
      <c r="T31" s="217"/>
      <c r="U31" s="158"/>
      <c r="V31" s="158"/>
      <c r="W31" s="158"/>
      <c r="X31" s="1" t="b">
        <f t="shared" si="0"/>
        <v>1</v>
      </c>
      <c r="Y31" s="19">
        <f t="shared" si="1"/>
        <v>0.5</v>
      </c>
      <c r="Z31" s="20" t="b">
        <f t="shared" si="2"/>
        <v>1</v>
      </c>
      <c r="AA31" s="20" t="b">
        <f t="shared" si="3"/>
        <v>1</v>
      </c>
    </row>
    <row r="32" spans="1:27" ht="30" customHeight="1" x14ac:dyDescent="0.3">
      <c r="A32" s="218">
        <v>30</v>
      </c>
      <c r="B32" s="195" t="s">
        <v>469</v>
      </c>
      <c r="C32" s="196" t="s">
        <v>315</v>
      </c>
      <c r="D32" s="197" t="s">
        <v>94</v>
      </c>
      <c r="E32" s="198" t="s">
        <v>56</v>
      </c>
      <c r="F32" s="199" t="s">
        <v>470</v>
      </c>
      <c r="G32" s="195" t="s">
        <v>71</v>
      </c>
      <c r="H32" s="200">
        <v>2.952</v>
      </c>
      <c r="I32" s="201" t="s">
        <v>471</v>
      </c>
      <c r="J32" s="202">
        <v>4178730</v>
      </c>
      <c r="K32" s="219">
        <f t="shared" si="6"/>
        <v>2507238</v>
      </c>
      <c r="L32" s="220">
        <f t="shared" si="5"/>
        <v>1671492</v>
      </c>
      <c r="M32" s="205">
        <v>0.6</v>
      </c>
      <c r="N32" s="167">
        <v>0</v>
      </c>
      <c r="O32" s="167">
        <v>0</v>
      </c>
      <c r="P32" s="190">
        <v>0</v>
      </c>
      <c r="Q32" s="190">
        <v>0</v>
      </c>
      <c r="R32" s="206">
        <f t="shared" si="7"/>
        <v>2507238</v>
      </c>
      <c r="S32" s="217"/>
      <c r="T32" s="217"/>
      <c r="U32" s="158"/>
      <c r="V32" s="158"/>
      <c r="W32" s="158"/>
      <c r="X32" s="1" t="b">
        <f t="shared" si="0"/>
        <v>1</v>
      </c>
      <c r="Y32" s="19">
        <f t="shared" si="1"/>
        <v>0.6</v>
      </c>
      <c r="Z32" s="20" t="b">
        <f t="shared" si="2"/>
        <v>1</v>
      </c>
      <c r="AA32" s="20" t="b">
        <f t="shared" si="3"/>
        <v>1</v>
      </c>
    </row>
    <row r="33" spans="1:27" ht="30" customHeight="1" x14ac:dyDescent="0.3">
      <c r="A33" s="218">
        <v>31</v>
      </c>
      <c r="B33" s="195" t="s">
        <v>369</v>
      </c>
      <c r="C33" s="196" t="s">
        <v>315</v>
      </c>
      <c r="D33" s="197" t="s">
        <v>258</v>
      </c>
      <c r="E33" s="198" t="s">
        <v>54</v>
      </c>
      <c r="F33" s="199" t="s">
        <v>370</v>
      </c>
      <c r="G33" s="195" t="s">
        <v>71</v>
      </c>
      <c r="H33" s="200">
        <v>2.5099999999999998</v>
      </c>
      <c r="I33" s="201" t="s">
        <v>371</v>
      </c>
      <c r="J33" s="202">
        <v>4385515</v>
      </c>
      <c r="K33" s="219">
        <f t="shared" si="6"/>
        <v>2631309</v>
      </c>
      <c r="L33" s="220">
        <f t="shared" si="5"/>
        <v>1754206</v>
      </c>
      <c r="M33" s="205">
        <v>0.6</v>
      </c>
      <c r="N33" s="167">
        <v>0</v>
      </c>
      <c r="O33" s="167">
        <v>0</v>
      </c>
      <c r="P33" s="190">
        <v>0</v>
      </c>
      <c r="Q33" s="190">
        <v>0</v>
      </c>
      <c r="R33" s="206">
        <f t="shared" si="7"/>
        <v>2631309</v>
      </c>
      <c r="S33" s="207"/>
      <c r="T33" s="207"/>
      <c r="U33" s="207"/>
      <c r="V33" s="158"/>
      <c r="W33" s="158"/>
      <c r="X33" s="1" t="b">
        <f t="shared" si="0"/>
        <v>1</v>
      </c>
      <c r="Y33" s="19">
        <f t="shared" si="1"/>
        <v>0.6</v>
      </c>
      <c r="Z33" s="20" t="b">
        <f t="shared" si="2"/>
        <v>1</v>
      </c>
      <c r="AA33" s="20" t="b">
        <f t="shared" si="3"/>
        <v>1</v>
      </c>
    </row>
    <row r="34" spans="1:27" ht="36.75" customHeight="1" x14ac:dyDescent="0.3">
      <c r="A34" s="218">
        <v>32</v>
      </c>
      <c r="B34" s="195" t="s">
        <v>527</v>
      </c>
      <c r="C34" s="196" t="s">
        <v>315</v>
      </c>
      <c r="D34" s="197" t="s">
        <v>83</v>
      </c>
      <c r="E34" s="198" t="s">
        <v>63</v>
      </c>
      <c r="F34" s="199" t="s">
        <v>528</v>
      </c>
      <c r="G34" s="195" t="s">
        <v>85</v>
      </c>
      <c r="H34" s="200">
        <v>0.998</v>
      </c>
      <c r="I34" s="201" t="s">
        <v>529</v>
      </c>
      <c r="J34" s="202">
        <v>3782763</v>
      </c>
      <c r="K34" s="219">
        <f t="shared" si="6"/>
        <v>1891381.5</v>
      </c>
      <c r="L34" s="220">
        <f t="shared" si="5"/>
        <v>1891381.5</v>
      </c>
      <c r="M34" s="205">
        <v>0.5</v>
      </c>
      <c r="N34" s="167">
        <v>0</v>
      </c>
      <c r="O34" s="167">
        <v>0</v>
      </c>
      <c r="P34" s="190">
        <v>0</v>
      </c>
      <c r="Q34" s="190">
        <v>0</v>
      </c>
      <c r="R34" s="206">
        <f t="shared" si="7"/>
        <v>1891381.5</v>
      </c>
      <c r="S34" s="207"/>
      <c r="T34" s="207"/>
      <c r="U34" s="207"/>
      <c r="V34" s="158"/>
      <c r="W34" s="158"/>
      <c r="X34" s="1" t="b">
        <f t="shared" si="0"/>
        <v>1</v>
      </c>
      <c r="Y34" s="19">
        <f t="shared" si="1"/>
        <v>0.5</v>
      </c>
      <c r="Z34" s="20" t="b">
        <f t="shared" si="2"/>
        <v>1</v>
      </c>
      <c r="AA34" s="20" t="b">
        <f t="shared" si="3"/>
        <v>1</v>
      </c>
    </row>
    <row r="35" spans="1:27" ht="30" customHeight="1" x14ac:dyDescent="0.3">
      <c r="A35" s="218">
        <v>33</v>
      </c>
      <c r="B35" s="195" t="s">
        <v>456</v>
      </c>
      <c r="C35" s="196" t="s">
        <v>315</v>
      </c>
      <c r="D35" s="197" t="s">
        <v>454</v>
      </c>
      <c r="E35" s="198" t="s">
        <v>66</v>
      </c>
      <c r="F35" s="199" t="s">
        <v>457</v>
      </c>
      <c r="G35" s="195" t="s">
        <v>85</v>
      </c>
      <c r="H35" s="200">
        <v>0.40799999999999997</v>
      </c>
      <c r="I35" s="201" t="s">
        <v>318</v>
      </c>
      <c r="J35" s="202">
        <v>1195000</v>
      </c>
      <c r="K35" s="219">
        <f t="shared" si="6"/>
        <v>597500</v>
      </c>
      <c r="L35" s="220">
        <f t="shared" si="5"/>
        <v>597500</v>
      </c>
      <c r="M35" s="205">
        <v>0.5</v>
      </c>
      <c r="N35" s="167">
        <v>0</v>
      </c>
      <c r="O35" s="167">
        <v>0</v>
      </c>
      <c r="P35" s="190">
        <v>0</v>
      </c>
      <c r="Q35" s="190">
        <v>0</v>
      </c>
      <c r="R35" s="206">
        <f t="shared" si="7"/>
        <v>597500</v>
      </c>
      <c r="S35" s="207"/>
      <c r="T35" s="207"/>
      <c r="U35" s="207"/>
      <c r="V35" s="158"/>
      <c r="W35" s="158"/>
      <c r="X35" s="1" t="b">
        <f t="shared" si="0"/>
        <v>1</v>
      </c>
      <c r="Y35" s="19">
        <f t="shared" si="1"/>
        <v>0.5</v>
      </c>
      <c r="Z35" s="20" t="b">
        <f t="shared" si="2"/>
        <v>1</v>
      </c>
      <c r="AA35" s="20" t="b">
        <f t="shared" si="3"/>
        <v>1</v>
      </c>
    </row>
    <row r="36" spans="1:27" ht="30" customHeight="1" x14ac:dyDescent="0.3">
      <c r="A36" s="151" t="s">
        <v>701</v>
      </c>
      <c r="B36" s="151" t="s">
        <v>581</v>
      </c>
      <c r="C36" s="208" t="s">
        <v>111</v>
      </c>
      <c r="D36" s="209" t="s">
        <v>582</v>
      </c>
      <c r="E36" s="210" t="s">
        <v>53</v>
      </c>
      <c r="F36" s="211" t="s">
        <v>583</v>
      </c>
      <c r="G36" s="151" t="s">
        <v>85</v>
      </c>
      <c r="H36" s="161">
        <v>5.6769999999999996</v>
      </c>
      <c r="I36" s="162" t="s">
        <v>584</v>
      </c>
      <c r="J36" s="212">
        <v>15190546</v>
      </c>
      <c r="K36" s="213">
        <v>3805894.2</v>
      </c>
      <c r="L36" s="214">
        <f t="shared" si="5"/>
        <v>11384651.800000001</v>
      </c>
      <c r="M36" s="166">
        <v>0.6</v>
      </c>
      <c r="N36" s="167">
        <v>0</v>
      </c>
      <c r="O36" s="167">
        <v>0</v>
      </c>
      <c r="P36" s="190">
        <v>0</v>
      </c>
      <c r="Q36" s="190">
        <v>0</v>
      </c>
      <c r="R36" s="221">
        <v>0</v>
      </c>
      <c r="S36" s="216">
        <v>3805894.2</v>
      </c>
      <c r="T36" s="217"/>
      <c r="U36" s="217"/>
      <c r="V36" s="217"/>
      <c r="W36" s="217"/>
      <c r="X36" s="1" t="b">
        <f t="shared" si="0"/>
        <v>1</v>
      </c>
      <c r="Y36" s="19">
        <f t="shared" si="1"/>
        <v>0.2505</v>
      </c>
      <c r="Z36" s="20" t="b">
        <f t="shared" si="2"/>
        <v>0</v>
      </c>
      <c r="AA36" s="20" t="b">
        <f t="shared" si="3"/>
        <v>1</v>
      </c>
    </row>
    <row r="37" spans="1:27" ht="39" customHeight="1" x14ac:dyDescent="0.3">
      <c r="A37" s="218">
        <v>35</v>
      </c>
      <c r="B37" s="195" t="s">
        <v>458</v>
      </c>
      <c r="C37" s="196" t="s">
        <v>315</v>
      </c>
      <c r="D37" s="197" t="s">
        <v>117</v>
      </c>
      <c r="E37" s="198" t="s">
        <v>65</v>
      </c>
      <c r="F37" s="199" t="s">
        <v>459</v>
      </c>
      <c r="G37" s="195" t="s">
        <v>85</v>
      </c>
      <c r="H37" s="200">
        <v>1.29</v>
      </c>
      <c r="I37" s="201" t="s">
        <v>460</v>
      </c>
      <c r="J37" s="202">
        <v>2125000</v>
      </c>
      <c r="K37" s="219">
        <f t="shared" si="6"/>
        <v>1062500</v>
      </c>
      <c r="L37" s="220">
        <f t="shared" si="5"/>
        <v>1062500</v>
      </c>
      <c r="M37" s="205">
        <v>0.5</v>
      </c>
      <c r="N37" s="167">
        <v>0</v>
      </c>
      <c r="O37" s="167">
        <v>0</v>
      </c>
      <c r="P37" s="190">
        <v>0</v>
      </c>
      <c r="Q37" s="190">
        <v>0</v>
      </c>
      <c r="R37" s="206">
        <f>SUM(K37)</f>
        <v>1062500</v>
      </c>
      <c r="S37" s="207"/>
      <c r="T37" s="207"/>
      <c r="U37" s="207"/>
      <c r="V37" s="158"/>
      <c r="W37" s="158"/>
      <c r="X37" s="1" t="b">
        <f t="shared" si="0"/>
        <v>1</v>
      </c>
      <c r="Y37" s="19">
        <f t="shared" si="1"/>
        <v>0.5</v>
      </c>
      <c r="Z37" s="20" t="b">
        <f t="shared" si="2"/>
        <v>1</v>
      </c>
      <c r="AA37" s="20" t="b">
        <f t="shared" si="3"/>
        <v>1</v>
      </c>
    </row>
    <row r="38" spans="1:27" ht="41.25" customHeight="1" x14ac:dyDescent="0.3">
      <c r="A38" s="218">
        <v>36</v>
      </c>
      <c r="B38" s="195" t="s">
        <v>575</v>
      </c>
      <c r="C38" s="196" t="s">
        <v>315</v>
      </c>
      <c r="D38" s="197" t="s">
        <v>317</v>
      </c>
      <c r="E38" s="198" t="s">
        <v>50</v>
      </c>
      <c r="F38" s="199" t="s">
        <v>576</v>
      </c>
      <c r="G38" s="195" t="s">
        <v>85</v>
      </c>
      <c r="H38" s="200">
        <v>0.41799999999999998</v>
      </c>
      <c r="I38" s="201" t="s">
        <v>541</v>
      </c>
      <c r="J38" s="202">
        <v>2595444</v>
      </c>
      <c r="K38" s="219">
        <f t="shared" si="6"/>
        <v>1557266.4</v>
      </c>
      <c r="L38" s="220">
        <f t="shared" si="5"/>
        <v>1038177.6000000001</v>
      </c>
      <c r="M38" s="205">
        <v>0.6</v>
      </c>
      <c r="N38" s="167">
        <v>0</v>
      </c>
      <c r="O38" s="167">
        <v>0</v>
      </c>
      <c r="P38" s="190">
        <v>0</v>
      </c>
      <c r="Q38" s="190">
        <v>0</v>
      </c>
      <c r="R38" s="206">
        <f t="shared" ref="R38:R48" si="8">SUM(K38)</f>
        <v>1557266.4</v>
      </c>
      <c r="S38" s="207"/>
      <c r="T38" s="207"/>
      <c r="U38" s="207"/>
      <c r="V38" s="158"/>
      <c r="W38" s="158"/>
      <c r="X38" s="1" t="b">
        <f t="shared" si="0"/>
        <v>1</v>
      </c>
      <c r="Y38" s="19">
        <f t="shared" si="1"/>
        <v>0.6</v>
      </c>
      <c r="Z38" s="20" t="b">
        <f t="shared" si="2"/>
        <v>1</v>
      </c>
      <c r="AA38" s="20" t="b">
        <f t="shared" si="3"/>
        <v>1</v>
      </c>
    </row>
    <row r="39" spans="1:27" ht="30" customHeight="1" x14ac:dyDescent="0.3">
      <c r="A39" s="218">
        <v>37</v>
      </c>
      <c r="B39" s="195" t="s">
        <v>476</v>
      </c>
      <c r="C39" s="196" t="s">
        <v>315</v>
      </c>
      <c r="D39" s="197" t="s">
        <v>94</v>
      </c>
      <c r="E39" s="198" t="s">
        <v>56</v>
      </c>
      <c r="F39" s="199" t="s">
        <v>477</v>
      </c>
      <c r="G39" s="195" t="s">
        <v>71</v>
      </c>
      <c r="H39" s="200">
        <v>1.6659999999999999</v>
      </c>
      <c r="I39" s="201" t="s">
        <v>478</v>
      </c>
      <c r="J39" s="202">
        <v>2594265</v>
      </c>
      <c r="K39" s="219">
        <f t="shared" si="6"/>
        <v>1556559</v>
      </c>
      <c r="L39" s="220">
        <f t="shared" si="5"/>
        <v>1037706</v>
      </c>
      <c r="M39" s="205">
        <v>0.6</v>
      </c>
      <c r="N39" s="167">
        <v>0</v>
      </c>
      <c r="O39" s="167">
        <v>0</v>
      </c>
      <c r="P39" s="190">
        <v>0</v>
      </c>
      <c r="Q39" s="190">
        <v>0</v>
      </c>
      <c r="R39" s="206">
        <f t="shared" si="8"/>
        <v>1556559</v>
      </c>
      <c r="S39" s="207"/>
      <c r="T39" s="207"/>
      <c r="U39" s="207"/>
      <c r="V39" s="158"/>
      <c r="W39" s="158"/>
      <c r="X39" s="1" t="b">
        <f t="shared" si="0"/>
        <v>1</v>
      </c>
      <c r="Y39" s="19">
        <f t="shared" si="1"/>
        <v>0.6</v>
      </c>
      <c r="Z39" s="20" t="b">
        <f t="shared" si="2"/>
        <v>1</v>
      </c>
      <c r="AA39" s="20" t="b">
        <f t="shared" si="3"/>
        <v>1</v>
      </c>
    </row>
    <row r="40" spans="1:27" ht="27.75" customHeight="1" x14ac:dyDescent="0.3">
      <c r="A40" s="218">
        <v>38</v>
      </c>
      <c r="B40" s="195" t="s">
        <v>537</v>
      </c>
      <c r="C40" s="196" t="s">
        <v>315</v>
      </c>
      <c r="D40" s="197" t="s">
        <v>83</v>
      </c>
      <c r="E40" s="198" t="s">
        <v>63</v>
      </c>
      <c r="F40" s="199" t="s">
        <v>538</v>
      </c>
      <c r="G40" s="195" t="s">
        <v>71</v>
      </c>
      <c r="H40" s="200">
        <v>0.17499999999999999</v>
      </c>
      <c r="I40" s="201" t="s">
        <v>534</v>
      </c>
      <c r="J40" s="202">
        <v>318143</v>
      </c>
      <c r="K40" s="219">
        <f t="shared" si="6"/>
        <v>159071.5</v>
      </c>
      <c r="L40" s="220">
        <f t="shared" si="5"/>
        <v>159071.5</v>
      </c>
      <c r="M40" s="205">
        <v>0.5</v>
      </c>
      <c r="N40" s="167">
        <v>0</v>
      </c>
      <c r="O40" s="167">
        <v>0</v>
      </c>
      <c r="P40" s="190">
        <v>0</v>
      </c>
      <c r="Q40" s="190">
        <v>0</v>
      </c>
      <c r="R40" s="206">
        <f t="shared" si="8"/>
        <v>159071.5</v>
      </c>
      <c r="S40" s="207"/>
      <c r="T40" s="207"/>
      <c r="U40" s="207"/>
      <c r="V40" s="158"/>
      <c r="W40" s="158"/>
      <c r="X40" s="1" t="b">
        <f t="shared" si="0"/>
        <v>1</v>
      </c>
      <c r="Y40" s="19">
        <f t="shared" si="1"/>
        <v>0.5</v>
      </c>
      <c r="Z40" s="20" t="b">
        <f t="shared" si="2"/>
        <v>1</v>
      </c>
      <c r="AA40" s="20" t="b">
        <f t="shared" si="3"/>
        <v>1</v>
      </c>
    </row>
    <row r="41" spans="1:27" ht="30" customHeight="1" x14ac:dyDescent="0.3">
      <c r="A41" s="218">
        <v>39</v>
      </c>
      <c r="B41" s="195" t="s">
        <v>403</v>
      </c>
      <c r="C41" s="196" t="s">
        <v>315</v>
      </c>
      <c r="D41" s="197" t="s">
        <v>404</v>
      </c>
      <c r="E41" s="198" t="s">
        <v>62</v>
      </c>
      <c r="F41" s="199" t="s">
        <v>405</v>
      </c>
      <c r="G41" s="195" t="s">
        <v>71</v>
      </c>
      <c r="H41" s="200">
        <v>1.355</v>
      </c>
      <c r="I41" s="201" t="s">
        <v>316</v>
      </c>
      <c r="J41" s="202">
        <v>3802080</v>
      </c>
      <c r="K41" s="219">
        <f t="shared" si="6"/>
        <v>1901040</v>
      </c>
      <c r="L41" s="220">
        <f t="shared" si="5"/>
        <v>1901040</v>
      </c>
      <c r="M41" s="205">
        <v>0.5</v>
      </c>
      <c r="N41" s="167">
        <v>0</v>
      </c>
      <c r="O41" s="167">
        <v>0</v>
      </c>
      <c r="P41" s="190">
        <v>0</v>
      </c>
      <c r="Q41" s="190">
        <v>0</v>
      </c>
      <c r="R41" s="206">
        <f>SUM(K41)</f>
        <v>1901040</v>
      </c>
      <c r="S41" s="207"/>
      <c r="T41" s="207"/>
      <c r="U41" s="207"/>
      <c r="V41" s="158"/>
      <c r="W41" s="158"/>
      <c r="X41" s="1" t="b">
        <f t="shared" si="0"/>
        <v>1</v>
      </c>
      <c r="Y41" s="19">
        <f t="shared" si="1"/>
        <v>0.5</v>
      </c>
      <c r="Z41" s="20" t="b">
        <f t="shared" si="2"/>
        <v>1</v>
      </c>
      <c r="AA41" s="20" t="b">
        <f t="shared" si="3"/>
        <v>1</v>
      </c>
    </row>
    <row r="42" spans="1:27" ht="30" customHeight="1" x14ac:dyDescent="0.3">
      <c r="A42" s="195">
        <v>40</v>
      </c>
      <c r="B42" s="195" t="s">
        <v>412</v>
      </c>
      <c r="C42" s="196" t="s">
        <v>315</v>
      </c>
      <c r="D42" s="197" t="s">
        <v>404</v>
      </c>
      <c r="E42" s="198" t="s">
        <v>62</v>
      </c>
      <c r="F42" s="199" t="s">
        <v>413</v>
      </c>
      <c r="G42" s="195" t="s">
        <v>71</v>
      </c>
      <c r="H42" s="200">
        <v>1.07</v>
      </c>
      <c r="I42" s="201" t="s">
        <v>318</v>
      </c>
      <c r="J42" s="202">
        <v>2791638</v>
      </c>
      <c r="K42" s="219">
        <f t="shared" si="6"/>
        <v>1395819</v>
      </c>
      <c r="L42" s="220">
        <f t="shared" si="5"/>
        <v>1395819</v>
      </c>
      <c r="M42" s="205">
        <v>0.5</v>
      </c>
      <c r="N42" s="167">
        <v>0</v>
      </c>
      <c r="O42" s="167">
        <v>0</v>
      </c>
      <c r="P42" s="190">
        <v>0</v>
      </c>
      <c r="Q42" s="190">
        <v>0</v>
      </c>
      <c r="R42" s="206">
        <f>SUM(K42)</f>
        <v>1395819</v>
      </c>
      <c r="S42" s="207"/>
      <c r="T42" s="207"/>
      <c r="U42" s="207"/>
      <c r="V42" s="158"/>
      <c r="W42" s="158"/>
      <c r="X42" s="1" t="b">
        <f t="shared" si="0"/>
        <v>1</v>
      </c>
      <c r="Y42" s="19">
        <f t="shared" si="1"/>
        <v>0.5</v>
      </c>
      <c r="Z42" s="20" t="b">
        <f t="shared" si="2"/>
        <v>1</v>
      </c>
      <c r="AA42" s="20" t="b">
        <f t="shared" si="3"/>
        <v>1</v>
      </c>
    </row>
    <row r="43" spans="1:27" ht="30" customHeight="1" x14ac:dyDescent="0.3">
      <c r="A43" s="218">
        <v>41</v>
      </c>
      <c r="B43" s="195" t="s">
        <v>409</v>
      </c>
      <c r="C43" s="196" t="s">
        <v>315</v>
      </c>
      <c r="D43" s="197" t="s">
        <v>404</v>
      </c>
      <c r="E43" s="198" t="s">
        <v>62</v>
      </c>
      <c r="F43" s="199" t="s">
        <v>410</v>
      </c>
      <c r="G43" s="195" t="s">
        <v>71</v>
      </c>
      <c r="H43" s="200">
        <v>1.5</v>
      </c>
      <c r="I43" s="201" t="s">
        <v>411</v>
      </c>
      <c r="J43" s="202">
        <v>1513748</v>
      </c>
      <c r="K43" s="219">
        <f>ROUND(J43*M43,2)</f>
        <v>756874</v>
      </c>
      <c r="L43" s="220">
        <f>J43-K43</f>
        <v>756874</v>
      </c>
      <c r="M43" s="205">
        <v>0.5</v>
      </c>
      <c r="N43" s="167">
        <v>0</v>
      </c>
      <c r="O43" s="167">
        <v>0</v>
      </c>
      <c r="P43" s="190">
        <v>0</v>
      </c>
      <c r="Q43" s="190">
        <v>0</v>
      </c>
      <c r="R43" s="206">
        <f>SUM(K43)</f>
        <v>756874</v>
      </c>
      <c r="S43" s="207"/>
      <c r="T43" s="207"/>
      <c r="U43" s="207"/>
      <c r="V43" s="158"/>
      <c r="W43" s="158"/>
      <c r="X43" s="1" t="b">
        <f t="shared" si="0"/>
        <v>1</v>
      </c>
      <c r="Y43" s="19">
        <f t="shared" si="1"/>
        <v>0.5</v>
      </c>
      <c r="Z43" s="20" t="b">
        <f t="shared" si="2"/>
        <v>1</v>
      </c>
      <c r="AA43" s="20" t="b">
        <f t="shared" si="3"/>
        <v>1</v>
      </c>
    </row>
    <row r="44" spans="1:27" ht="30" customHeight="1" x14ac:dyDescent="0.3">
      <c r="A44" s="218">
        <v>42</v>
      </c>
      <c r="B44" s="195" t="s">
        <v>645</v>
      </c>
      <c r="C44" s="196" t="s">
        <v>315</v>
      </c>
      <c r="D44" s="197" t="s">
        <v>404</v>
      </c>
      <c r="E44" s="198" t="s">
        <v>62</v>
      </c>
      <c r="F44" s="199" t="s">
        <v>646</v>
      </c>
      <c r="G44" s="195" t="s">
        <v>71</v>
      </c>
      <c r="H44" s="200">
        <v>1</v>
      </c>
      <c r="I44" s="201" t="s">
        <v>411</v>
      </c>
      <c r="J44" s="202">
        <v>703184</v>
      </c>
      <c r="K44" s="219">
        <f t="shared" si="6"/>
        <v>351592</v>
      </c>
      <c r="L44" s="220">
        <f t="shared" si="5"/>
        <v>351592</v>
      </c>
      <c r="M44" s="205">
        <v>0.5</v>
      </c>
      <c r="N44" s="167">
        <v>0</v>
      </c>
      <c r="O44" s="167">
        <v>0</v>
      </c>
      <c r="P44" s="190">
        <v>0</v>
      </c>
      <c r="Q44" s="190">
        <v>0</v>
      </c>
      <c r="R44" s="206">
        <f>SUM(K44)</f>
        <v>351592</v>
      </c>
      <c r="S44" s="207"/>
      <c r="T44" s="207"/>
      <c r="U44" s="207"/>
      <c r="V44" s="158"/>
      <c r="W44" s="158"/>
      <c r="X44" s="1" t="b">
        <f t="shared" si="0"/>
        <v>1</v>
      </c>
      <c r="Y44" s="19">
        <f t="shared" si="1"/>
        <v>0.5</v>
      </c>
      <c r="Z44" s="20" t="b">
        <f t="shared" si="2"/>
        <v>1</v>
      </c>
      <c r="AA44" s="20" t="b">
        <f t="shared" si="3"/>
        <v>1</v>
      </c>
    </row>
    <row r="45" spans="1:27" ht="55.5" customHeight="1" x14ac:dyDescent="0.3">
      <c r="A45" s="218">
        <v>43</v>
      </c>
      <c r="B45" s="195" t="s">
        <v>429</v>
      </c>
      <c r="C45" s="196" t="s">
        <v>315</v>
      </c>
      <c r="D45" s="197" t="s">
        <v>190</v>
      </c>
      <c r="E45" s="198" t="s">
        <v>49</v>
      </c>
      <c r="F45" s="199" t="s">
        <v>430</v>
      </c>
      <c r="G45" s="195" t="s">
        <v>85</v>
      </c>
      <c r="H45" s="200">
        <v>1.976</v>
      </c>
      <c r="I45" s="201" t="s">
        <v>319</v>
      </c>
      <c r="J45" s="202">
        <v>4380000</v>
      </c>
      <c r="K45" s="219">
        <f t="shared" si="6"/>
        <v>2628000</v>
      </c>
      <c r="L45" s="220">
        <f t="shared" si="5"/>
        <v>1752000</v>
      </c>
      <c r="M45" s="205">
        <v>0.6</v>
      </c>
      <c r="N45" s="167">
        <v>0</v>
      </c>
      <c r="O45" s="167">
        <v>0</v>
      </c>
      <c r="P45" s="190">
        <v>0</v>
      </c>
      <c r="Q45" s="190">
        <v>0</v>
      </c>
      <c r="R45" s="206">
        <f t="shared" si="8"/>
        <v>2628000</v>
      </c>
      <c r="S45" s="207"/>
      <c r="T45" s="207"/>
      <c r="U45" s="207"/>
      <c r="V45" s="158"/>
      <c r="W45" s="158"/>
      <c r="X45" s="1" t="b">
        <f t="shared" si="0"/>
        <v>1</v>
      </c>
      <c r="Y45" s="19">
        <f t="shared" si="1"/>
        <v>0.6</v>
      </c>
      <c r="Z45" s="20" t="b">
        <f t="shared" si="2"/>
        <v>1</v>
      </c>
      <c r="AA45" s="20" t="b">
        <f t="shared" si="3"/>
        <v>1</v>
      </c>
    </row>
    <row r="46" spans="1:27" ht="37.950000000000003" customHeight="1" x14ac:dyDescent="0.3">
      <c r="A46" s="218">
        <v>44</v>
      </c>
      <c r="B46" s="195" t="s">
        <v>532</v>
      </c>
      <c r="C46" s="196" t="s">
        <v>315</v>
      </c>
      <c r="D46" s="197" t="s">
        <v>83</v>
      </c>
      <c r="E46" s="198" t="s">
        <v>63</v>
      </c>
      <c r="F46" s="199" t="s">
        <v>533</v>
      </c>
      <c r="G46" s="195" t="s">
        <v>71</v>
      </c>
      <c r="H46" s="200">
        <v>1.36</v>
      </c>
      <c r="I46" s="201" t="s">
        <v>534</v>
      </c>
      <c r="J46" s="202">
        <v>2770571</v>
      </c>
      <c r="K46" s="219">
        <f t="shared" si="6"/>
        <v>1385285.5</v>
      </c>
      <c r="L46" s="220">
        <f t="shared" si="5"/>
        <v>1385285.5</v>
      </c>
      <c r="M46" s="205">
        <v>0.5</v>
      </c>
      <c r="N46" s="167">
        <v>0</v>
      </c>
      <c r="O46" s="167">
        <v>0</v>
      </c>
      <c r="P46" s="190">
        <v>0</v>
      </c>
      <c r="Q46" s="190">
        <v>0</v>
      </c>
      <c r="R46" s="206">
        <f t="shared" si="8"/>
        <v>1385285.5</v>
      </c>
      <c r="S46" s="207"/>
      <c r="T46" s="207"/>
      <c r="U46" s="207"/>
      <c r="V46" s="158"/>
      <c r="W46" s="158"/>
      <c r="X46" s="1" t="b">
        <f t="shared" si="0"/>
        <v>1</v>
      </c>
      <c r="Y46" s="19">
        <f t="shared" si="1"/>
        <v>0.5</v>
      </c>
      <c r="Z46" s="20" t="b">
        <f t="shared" si="2"/>
        <v>1</v>
      </c>
      <c r="AA46" s="20" t="b">
        <f t="shared" si="3"/>
        <v>1</v>
      </c>
    </row>
    <row r="47" spans="1:27" ht="30.75" customHeight="1" x14ac:dyDescent="0.3">
      <c r="A47" s="218">
        <v>45</v>
      </c>
      <c r="B47" s="195" t="s">
        <v>535</v>
      </c>
      <c r="C47" s="196" t="s">
        <v>315</v>
      </c>
      <c r="D47" s="197" t="s">
        <v>83</v>
      </c>
      <c r="E47" s="198" t="s">
        <v>63</v>
      </c>
      <c r="F47" s="199" t="s">
        <v>536</v>
      </c>
      <c r="G47" s="195" t="s">
        <v>71</v>
      </c>
      <c r="H47" s="200">
        <v>0.85</v>
      </c>
      <c r="I47" s="201" t="s">
        <v>534</v>
      </c>
      <c r="J47" s="202">
        <v>1502820</v>
      </c>
      <c r="K47" s="219">
        <f t="shared" si="6"/>
        <v>751410</v>
      </c>
      <c r="L47" s="220">
        <f t="shared" si="5"/>
        <v>751410</v>
      </c>
      <c r="M47" s="205">
        <v>0.5</v>
      </c>
      <c r="N47" s="167">
        <v>0</v>
      </c>
      <c r="O47" s="167">
        <v>0</v>
      </c>
      <c r="P47" s="190">
        <v>0</v>
      </c>
      <c r="Q47" s="190">
        <v>0</v>
      </c>
      <c r="R47" s="206">
        <f t="shared" si="8"/>
        <v>751410</v>
      </c>
      <c r="S47" s="207"/>
      <c r="T47" s="207"/>
      <c r="U47" s="207"/>
      <c r="V47" s="158"/>
      <c r="W47" s="158"/>
      <c r="X47" s="1" t="b">
        <f t="shared" si="0"/>
        <v>1</v>
      </c>
      <c r="Y47" s="19">
        <f t="shared" si="1"/>
        <v>0.5</v>
      </c>
      <c r="Z47" s="20" t="b">
        <f t="shared" si="2"/>
        <v>1</v>
      </c>
      <c r="AA47" s="20" t="b">
        <f t="shared" si="3"/>
        <v>1</v>
      </c>
    </row>
    <row r="48" spans="1:27" ht="33" customHeight="1" x14ac:dyDescent="0.3">
      <c r="A48" s="218">
        <v>46</v>
      </c>
      <c r="B48" s="195" t="s">
        <v>453</v>
      </c>
      <c r="C48" s="196" t="s">
        <v>315</v>
      </c>
      <c r="D48" s="222" t="s">
        <v>454</v>
      </c>
      <c r="E48" s="223" t="s">
        <v>66</v>
      </c>
      <c r="F48" s="224" t="s">
        <v>455</v>
      </c>
      <c r="G48" s="195" t="s">
        <v>85</v>
      </c>
      <c r="H48" s="200">
        <v>0.95699999999999996</v>
      </c>
      <c r="I48" s="201" t="s">
        <v>318</v>
      </c>
      <c r="J48" s="202">
        <v>1485000</v>
      </c>
      <c r="K48" s="219">
        <f t="shared" si="6"/>
        <v>742500</v>
      </c>
      <c r="L48" s="220">
        <f t="shared" si="5"/>
        <v>742500</v>
      </c>
      <c r="M48" s="205">
        <v>0.5</v>
      </c>
      <c r="N48" s="167">
        <v>0</v>
      </c>
      <c r="O48" s="167">
        <v>0</v>
      </c>
      <c r="P48" s="190">
        <v>0</v>
      </c>
      <c r="Q48" s="190">
        <v>0</v>
      </c>
      <c r="R48" s="206">
        <f t="shared" si="8"/>
        <v>742500</v>
      </c>
      <c r="S48" s="207"/>
      <c r="T48" s="207"/>
      <c r="U48" s="207"/>
      <c r="V48" s="158"/>
      <c r="W48" s="158"/>
      <c r="X48" s="1" t="b">
        <f t="shared" si="0"/>
        <v>1</v>
      </c>
      <c r="Y48" s="19">
        <f t="shared" si="1"/>
        <v>0.5</v>
      </c>
      <c r="Z48" s="20" t="b">
        <f t="shared" si="2"/>
        <v>1</v>
      </c>
      <c r="AA48" s="20" t="b">
        <f t="shared" si="3"/>
        <v>1</v>
      </c>
    </row>
    <row r="49" spans="1:27" ht="38.4" customHeight="1" x14ac:dyDescent="0.3">
      <c r="A49" s="218">
        <v>47</v>
      </c>
      <c r="B49" s="195" t="s">
        <v>427</v>
      </c>
      <c r="C49" s="196" t="s">
        <v>315</v>
      </c>
      <c r="D49" s="222" t="s">
        <v>104</v>
      </c>
      <c r="E49" s="223" t="s">
        <v>52</v>
      </c>
      <c r="F49" s="224" t="s">
        <v>428</v>
      </c>
      <c r="G49" s="195" t="s">
        <v>85</v>
      </c>
      <c r="H49" s="200">
        <v>4.1280000000000001</v>
      </c>
      <c r="I49" s="201" t="s">
        <v>422</v>
      </c>
      <c r="J49" s="225">
        <v>5049600</v>
      </c>
      <c r="K49" s="219">
        <f t="shared" si="6"/>
        <v>3029760</v>
      </c>
      <c r="L49" s="220">
        <f t="shared" ref="L49:L57" si="9">J49-K49</f>
        <v>2019840</v>
      </c>
      <c r="M49" s="205">
        <v>0.6</v>
      </c>
      <c r="N49" s="167">
        <v>0</v>
      </c>
      <c r="O49" s="167">
        <v>0</v>
      </c>
      <c r="P49" s="190">
        <v>0</v>
      </c>
      <c r="Q49" s="190">
        <v>0</v>
      </c>
      <c r="R49" s="206">
        <f>SUM(K49)</f>
        <v>3029760</v>
      </c>
      <c r="S49" s="207"/>
      <c r="T49" s="207"/>
      <c r="U49" s="207"/>
      <c r="V49" s="158"/>
      <c r="W49" s="158"/>
      <c r="X49" s="1" t="b">
        <f t="shared" si="0"/>
        <v>1</v>
      </c>
      <c r="Y49" s="19">
        <f t="shared" si="1"/>
        <v>0.6</v>
      </c>
      <c r="Z49" s="20" t="b">
        <f t="shared" si="2"/>
        <v>1</v>
      </c>
      <c r="AA49" s="20" t="b">
        <f t="shared" si="3"/>
        <v>1</v>
      </c>
    </row>
    <row r="50" spans="1:27" ht="43.5" customHeight="1" x14ac:dyDescent="0.3">
      <c r="A50" s="218">
        <v>48</v>
      </c>
      <c r="B50" s="195" t="s">
        <v>530</v>
      </c>
      <c r="C50" s="196" t="s">
        <v>315</v>
      </c>
      <c r="D50" s="197" t="s">
        <v>83</v>
      </c>
      <c r="E50" s="198" t="s">
        <v>63</v>
      </c>
      <c r="F50" s="199" t="s">
        <v>531</v>
      </c>
      <c r="G50" s="195" t="s">
        <v>71</v>
      </c>
      <c r="H50" s="200">
        <v>3.6</v>
      </c>
      <c r="I50" s="201" t="s">
        <v>529</v>
      </c>
      <c r="J50" s="202">
        <v>6548785</v>
      </c>
      <c r="K50" s="219">
        <f>ROUND(J50*M50,2)</f>
        <v>3274392.5</v>
      </c>
      <c r="L50" s="220">
        <f t="shared" si="9"/>
        <v>3274392.5</v>
      </c>
      <c r="M50" s="205">
        <v>0.5</v>
      </c>
      <c r="N50" s="167">
        <v>0</v>
      </c>
      <c r="O50" s="167">
        <v>0</v>
      </c>
      <c r="P50" s="190">
        <v>0</v>
      </c>
      <c r="Q50" s="190">
        <v>0</v>
      </c>
      <c r="R50" s="206">
        <f>SUM(K50)</f>
        <v>3274392.5</v>
      </c>
      <c r="S50" s="207"/>
      <c r="T50" s="207"/>
      <c r="U50" s="207"/>
      <c r="V50" s="158"/>
      <c r="W50" s="158"/>
      <c r="X50" s="1" t="b">
        <f t="shared" si="0"/>
        <v>1</v>
      </c>
      <c r="Y50" s="19">
        <f t="shared" si="1"/>
        <v>0.5</v>
      </c>
      <c r="Z50" s="20" t="b">
        <f t="shared" si="2"/>
        <v>1</v>
      </c>
      <c r="AA50" s="20" t="b">
        <f t="shared" si="3"/>
        <v>1</v>
      </c>
    </row>
    <row r="51" spans="1:27" ht="35.25" customHeight="1" x14ac:dyDescent="0.3">
      <c r="A51" s="151" t="s">
        <v>789</v>
      </c>
      <c r="B51" s="151" t="s">
        <v>326</v>
      </c>
      <c r="C51" s="208" t="s">
        <v>111</v>
      </c>
      <c r="D51" s="209" t="s">
        <v>128</v>
      </c>
      <c r="E51" s="210" t="s">
        <v>55</v>
      </c>
      <c r="F51" s="211" t="s">
        <v>327</v>
      </c>
      <c r="G51" s="151" t="s">
        <v>85</v>
      </c>
      <c r="H51" s="161">
        <v>5.9</v>
      </c>
      <c r="I51" s="162" t="s">
        <v>328</v>
      </c>
      <c r="J51" s="212">
        <v>14885177</v>
      </c>
      <c r="K51" s="213">
        <v>4617245.9000000004</v>
      </c>
      <c r="L51" s="214">
        <f t="shared" si="9"/>
        <v>10267931.1</v>
      </c>
      <c r="M51" s="166">
        <v>0.7</v>
      </c>
      <c r="N51" s="167">
        <v>0</v>
      </c>
      <c r="O51" s="167">
        <v>0</v>
      </c>
      <c r="P51" s="190">
        <v>0</v>
      </c>
      <c r="Q51" s="190">
        <v>0</v>
      </c>
      <c r="R51" s="226">
        <v>1488517.7000000002</v>
      </c>
      <c r="S51" s="215">
        <v>3128728.2</v>
      </c>
      <c r="T51" s="207"/>
      <c r="U51" s="207"/>
      <c r="V51" s="158"/>
      <c r="W51" s="158"/>
      <c r="X51" s="1" t="b">
        <f t="shared" si="0"/>
        <v>1</v>
      </c>
      <c r="Y51" s="19">
        <f t="shared" si="1"/>
        <v>0.31019999999999998</v>
      </c>
      <c r="Z51" s="20" t="b">
        <f>Y51=M51</f>
        <v>0</v>
      </c>
      <c r="AA51" s="20" t="b">
        <f t="shared" si="3"/>
        <v>1</v>
      </c>
    </row>
    <row r="52" spans="1:27" ht="35.25" customHeight="1" x14ac:dyDescent="0.3">
      <c r="A52" s="195">
        <v>50</v>
      </c>
      <c r="B52" s="195" t="s">
        <v>579</v>
      </c>
      <c r="C52" s="196" t="s">
        <v>315</v>
      </c>
      <c r="D52" s="197" t="s">
        <v>317</v>
      </c>
      <c r="E52" s="198" t="s">
        <v>50</v>
      </c>
      <c r="F52" s="199" t="s">
        <v>580</v>
      </c>
      <c r="G52" s="195" t="s">
        <v>85</v>
      </c>
      <c r="H52" s="200">
        <v>0.56699999999999995</v>
      </c>
      <c r="I52" s="201" t="s">
        <v>541</v>
      </c>
      <c r="J52" s="202">
        <v>2129709</v>
      </c>
      <c r="K52" s="219">
        <f>ROUND(J52*M52,2)</f>
        <v>1277825.3999999999</v>
      </c>
      <c r="L52" s="220">
        <f t="shared" si="9"/>
        <v>851883.60000000009</v>
      </c>
      <c r="M52" s="205">
        <v>0.6</v>
      </c>
      <c r="N52" s="167">
        <v>0</v>
      </c>
      <c r="O52" s="167">
        <v>0</v>
      </c>
      <c r="P52" s="190">
        <v>0</v>
      </c>
      <c r="Q52" s="190">
        <v>0</v>
      </c>
      <c r="R52" s="206">
        <f>SUM(K52)</f>
        <v>1277825.3999999999</v>
      </c>
      <c r="S52" s="227"/>
      <c r="T52" s="207"/>
      <c r="U52" s="207"/>
      <c r="V52" s="158"/>
      <c r="W52" s="158"/>
      <c r="X52" s="1" t="b">
        <f t="shared" si="0"/>
        <v>1</v>
      </c>
      <c r="Y52" s="19">
        <f t="shared" si="1"/>
        <v>0.6</v>
      </c>
      <c r="Z52" s="20" t="b">
        <f t="shared" si="2"/>
        <v>1</v>
      </c>
      <c r="AA52" s="20" t="b">
        <f t="shared" si="3"/>
        <v>1</v>
      </c>
    </row>
    <row r="53" spans="1:27" ht="35.25" customHeight="1" x14ac:dyDescent="0.3">
      <c r="A53" s="218">
        <v>51</v>
      </c>
      <c r="B53" s="195" t="s">
        <v>474</v>
      </c>
      <c r="C53" s="196" t="s">
        <v>315</v>
      </c>
      <c r="D53" s="197" t="s">
        <v>94</v>
      </c>
      <c r="E53" s="198" t="s">
        <v>56</v>
      </c>
      <c r="F53" s="199" t="s">
        <v>475</v>
      </c>
      <c r="G53" s="195" t="s">
        <v>85</v>
      </c>
      <c r="H53" s="200">
        <v>0.86199999999999999</v>
      </c>
      <c r="I53" s="201" t="s">
        <v>471</v>
      </c>
      <c r="J53" s="202">
        <v>2019932</v>
      </c>
      <c r="K53" s="219">
        <f>ROUND(J53*M53,2)</f>
        <v>1211959.2</v>
      </c>
      <c r="L53" s="220">
        <f t="shared" si="9"/>
        <v>807972.8</v>
      </c>
      <c r="M53" s="205">
        <v>0.6</v>
      </c>
      <c r="N53" s="167">
        <v>0</v>
      </c>
      <c r="O53" s="167">
        <v>0</v>
      </c>
      <c r="P53" s="190">
        <v>0</v>
      </c>
      <c r="Q53" s="190">
        <v>0</v>
      </c>
      <c r="R53" s="206">
        <f>SUM(K53)</f>
        <v>1211959.2</v>
      </c>
      <c r="S53" s="227"/>
      <c r="T53" s="207"/>
      <c r="U53" s="207"/>
      <c r="V53" s="158"/>
      <c r="W53" s="158"/>
      <c r="X53" s="1" t="b">
        <f t="shared" si="0"/>
        <v>1</v>
      </c>
      <c r="Y53" s="19">
        <f t="shared" si="1"/>
        <v>0.6</v>
      </c>
      <c r="Z53" s="20" t="b">
        <f t="shared" si="2"/>
        <v>1</v>
      </c>
      <c r="AA53" s="20" t="b">
        <f t="shared" si="3"/>
        <v>1</v>
      </c>
    </row>
    <row r="54" spans="1:27" ht="35.25" customHeight="1" x14ac:dyDescent="0.3">
      <c r="A54" s="218">
        <v>52</v>
      </c>
      <c r="B54" s="195" t="s">
        <v>461</v>
      </c>
      <c r="C54" s="196" t="s">
        <v>315</v>
      </c>
      <c r="D54" s="197" t="s">
        <v>117</v>
      </c>
      <c r="E54" s="198" t="s">
        <v>65</v>
      </c>
      <c r="F54" s="199" t="s">
        <v>462</v>
      </c>
      <c r="G54" s="195" t="s">
        <v>85</v>
      </c>
      <c r="H54" s="200">
        <v>1.1559999999999999</v>
      </c>
      <c r="I54" s="201" t="s">
        <v>463</v>
      </c>
      <c r="J54" s="202">
        <v>1711000</v>
      </c>
      <c r="K54" s="219">
        <f>ROUND(J54*M54,2)</f>
        <v>855500</v>
      </c>
      <c r="L54" s="220">
        <f t="shared" si="9"/>
        <v>855500</v>
      </c>
      <c r="M54" s="205">
        <v>0.5</v>
      </c>
      <c r="N54" s="167">
        <v>0</v>
      </c>
      <c r="O54" s="167">
        <v>0</v>
      </c>
      <c r="P54" s="190">
        <v>0</v>
      </c>
      <c r="Q54" s="190">
        <v>0</v>
      </c>
      <c r="R54" s="206">
        <f>SUM(K54)</f>
        <v>855500</v>
      </c>
      <c r="S54" s="227"/>
      <c r="T54" s="207"/>
      <c r="U54" s="207"/>
      <c r="V54" s="158"/>
      <c r="W54" s="158"/>
      <c r="X54" s="1" t="b">
        <f t="shared" si="0"/>
        <v>1</v>
      </c>
      <c r="Y54" s="19">
        <f t="shared" si="1"/>
        <v>0.5</v>
      </c>
      <c r="Z54" s="20" t="b">
        <f t="shared" si="2"/>
        <v>1</v>
      </c>
      <c r="AA54" s="20" t="b">
        <f t="shared" si="3"/>
        <v>1</v>
      </c>
    </row>
    <row r="55" spans="1:27" ht="35.25" customHeight="1" x14ac:dyDescent="0.3">
      <c r="A55" s="218">
        <v>53</v>
      </c>
      <c r="B55" s="218" t="s">
        <v>345</v>
      </c>
      <c r="C55" s="228" t="s">
        <v>315</v>
      </c>
      <c r="D55" s="197" t="s">
        <v>185</v>
      </c>
      <c r="E55" s="229" t="s">
        <v>58</v>
      </c>
      <c r="F55" s="230" t="s">
        <v>346</v>
      </c>
      <c r="G55" s="218" t="s">
        <v>71</v>
      </c>
      <c r="H55" s="231">
        <v>2.08</v>
      </c>
      <c r="I55" s="232" t="s">
        <v>340</v>
      </c>
      <c r="J55" s="233">
        <v>2523037</v>
      </c>
      <c r="K55" s="203">
        <f t="shared" ref="K55" si="10">ROUND(J55*M55,2)</f>
        <v>1261518.5</v>
      </c>
      <c r="L55" s="204">
        <f t="shared" si="9"/>
        <v>1261518.5</v>
      </c>
      <c r="M55" s="234">
        <v>0.5</v>
      </c>
      <c r="N55" s="167">
        <v>0</v>
      </c>
      <c r="O55" s="167">
        <v>0</v>
      </c>
      <c r="P55" s="190">
        <v>0</v>
      </c>
      <c r="Q55" s="190">
        <v>0</v>
      </c>
      <c r="R55" s="206">
        <f t="shared" ref="R55" si="11">SUM(K55)</f>
        <v>1261518.5</v>
      </c>
      <c r="S55" s="227"/>
      <c r="T55" s="227"/>
      <c r="U55" s="227"/>
      <c r="V55" s="227"/>
      <c r="W55" s="227"/>
      <c r="X55" s="1" t="b">
        <f t="shared" ref="X55" si="12">K55=SUM(N55:W55)</f>
        <v>1</v>
      </c>
      <c r="Y55" s="19">
        <f t="shared" ref="Y55" si="13">ROUND(K55/J55,4)</f>
        <v>0.5</v>
      </c>
      <c r="Z55" s="20" t="b">
        <f t="shared" ref="Z55" si="14">Y55=M55</f>
        <v>1</v>
      </c>
      <c r="AA55" s="20" t="b">
        <f t="shared" ref="AA55" si="15">J55=K55+L55</f>
        <v>1</v>
      </c>
    </row>
    <row r="56" spans="1:27" ht="35.25" customHeight="1" x14ac:dyDescent="0.3">
      <c r="A56" s="218">
        <v>54</v>
      </c>
      <c r="B56" s="218" t="s">
        <v>406</v>
      </c>
      <c r="C56" s="228" t="s">
        <v>315</v>
      </c>
      <c r="D56" s="235" t="s">
        <v>404</v>
      </c>
      <c r="E56" s="236" t="s">
        <v>62</v>
      </c>
      <c r="F56" s="237" t="s">
        <v>407</v>
      </c>
      <c r="G56" s="218" t="s">
        <v>71</v>
      </c>
      <c r="H56" s="231">
        <v>1.42</v>
      </c>
      <c r="I56" s="232" t="s">
        <v>408</v>
      </c>
      <c r="J56" s="238">
        <v>2560133</v>
      </c>
      <c r="K56" s="203">
        <f>ROUND(J56*M56,2)</f>
        <v>1280066.5</v>
      </c>
      <c r="L56" s="204">
        <f t="shared" si="9"/>
        <v>1280066.5</v>
      </c>
      <c r="M56" s="234">
        <v>0.5</v>
      </c>
      <c r="N56" s="167">
        <v>0</v>
      </c>
      <c r="O56" s="167">
        <v>0</v>
      </c>
      <c r="P56" s="190">
        <v>0</v>
      </c>
      <c r="Q56" s="190">
        <v>0</v>
      </c>
      <c r="R56" s="206">
        <f>SUM(K56)</f>
        <v>1280066.5</v>
      </c>
      <c r="S56" s="227"/>
      <c r="T56" s="207"/>
      <c r="U56" s="207"/>
      <c r="V56" s="158"/>
      <c r="W56" s="158"/>
      <c r="X56" s="1" t="b">
        <f t="shared" si="0"/>
        <v>1</v>
      </c>
      <c r="Y56" s="19">
        <f t="shared" si="1"/>
        <v>0.5</v>
      </c>
      <c r="Z56" s="20" t="b">
        <f t="shared" si="2"/>
        <v>1</v>
      </c>
      <c r="AA56" s="20" t="b">
        <f t="shared" si="3"/>
        <v>1</v>
      </c>
    </row>
    <row r="57" spans="1:27" ht="35.25" customHeight="1" x14ac:dyDescent="0.3">
      <c r="A57" s="218" t="s">
        <v>815</v>
      </c>
      <c r="B57" s="195" t="s">
        <v>492</v>
      </c>
      <c r="C57" s="196" t="s">
        <v>315</v>
      </c>
      <c r="D57" s="197" t="s">
        <v>385</v>
      </c>
      <c r="E57" s="198" t="s">
        <v>61</v>
      </c>
      <c r="F57" s="199" t="s">
        <v>493</v>
      </c>
      <c r="G57" s="195" t="s">
        <v>85</v>
      </c>
      <c r="H57" s="200">
        <v>17.722000000000001</v>
      </c>
      <c r="I57" s="201" t="s">
        <v>487</v>
      </c>
      <c r="J57" s="202">
        <v>28210000</v>
      </c>
      <c r="K57" s="219">
        <v>4385679.6900000004</v>
      </c>
      <c r="L57" s="220">
        <f t="shared" si="9"/>
        <v>23824320.309999999</v>
      </c>
      <c r="M57" s="205">
        <v>0.5</v>
      </c>
      <c r="N57" s="167">
        <v>0</v>
      </c>
      <c r="O57" s="167">
        <v>0</v>
      </c>
      <c r="P57" s="190">
        <v>0</v>
      </c>
      <c r="Q57" s="190">
        <v>0</v>
      </c>
      <c r="R57" s="206">
        <f>SUM(K57)</f>
        <v>4385679.6900000004</v>
      </c>
      <c r="S57" s="227"/>
      <c r="T57" s="207"/>
      <c r="U57" s="207"/>
      <c r="V57" s="158"/>
      <c r="W57" s="158"/>
      <c r="X57" s="1" t="b">
        <f t="shared" si="0"/>
        <v>1</v>
      </c>
      <c r="Y57" s="19">
        <f t="shared" si="1"/>
        <v>0.1555</v>
      </c>
      <c r="Z57" s="20" t="b">
        <f t="shared" si="2"/>
        <v>0</v>
      </c>
      <c r="AA57" s="20" t="b">
        <f t="shared" si="3"/>
        <v>1</v>
      </c>
    </row>
    <row r="58" spans="1:27" ht="20.100000000000001" customHeight="1" x14ac:dyDescent="0.3">
      <c r="A58" s="332" t="s">
        <v>44</v>
      </c>
      <c r="B58" s="332"/>
      <c r="C58" s="332"/>
      <c r="D58" s="332"/>
      <c r="E58" s="332"/>
      <c r="F58" s="332"/>
      <c r="G58" s="332"/>
      <c r="H58" s="239">
        <f>SUM(H3:H57)</f>
        <v>171.15900000000005</v>
      </c>
      <c r="I58" s="240" t="s">
        <v>14</v>
      </c>
      <c r="J58" s="241">
        <f>SUM(J3:J57)</f>
        <v>277019120.17000002</v>
      </c>
      <c r="K58" s="241">
        <f>SUM(K3:K57)</f>
        <v>121848719.36000001</v>
      </c>
      <c r="L58" s="241">
        <f>SUM(L3:L57)</f>
        <v>155170400.80999997</v>
      </c>
      <c r="M58" s="242" t="s">
        <v>14</v>
      </c>
      <c r="N58" s="241">
        <f t="shared" ref="N58:W58" si="16">SUM(N3:N57)</f>
        <v>255000</v>
      </c>
      <c r="O58" s="241">
        <f t="shared" si="16"/>
        <v>60000</v>
      </c>
      <c r="P58" s="243">
        <f t="shared" si="16"/>
        <v>4113418.78</v>
      </c>
      <c r="Q58" s="243">
        <f t="shared" si="16"/>
        <v>9599045.5</v>
      </c>
      <c r="R58" s="243">
        <f t="shared" si="16"/>
        <v>84423220.379999995</v>
      </c>
      <c r="S58" s="243">
        <f t="shared" si="16"/>
        <v>23398034.699999999</v>
      </c>
      <c r="T58" s="243">
        <f t="shared" si="16"/>
        <v>0</v>
      </c>
      <c r="U58" s="243">
        <f t="shared" si="16"/>
        <v>0</v>
      </c>
      <c r="V58" s="243">
        <f t="shared" si="16"/>
        <v>0</v>
      </c>
      <c r="W58" s="243">
        <f t="shared" si="16"/>
        <v>0</v>
      </c>
      <c r="X58" s="1" t="b">
        <f>K58=SUM(N58:W58)</f>
        <v>1</v>
      </c>
      <c r="Y58" s="19">
        <f>ROUND(K58/J58,4)</f>
        <v>0.43990000000000001</v>
      </c>
      <c r="Z58" s="20" t="s">
        <v>14</v>
      </c>
      <c r="AA58" s="20" t="b">
        <f>J58=K58+L58</f>
        <v>1</v>
      </c>
    </row>
    <row r="59" spans="1:27" ht="20.100000000000001" customHeight="1" x14ac:dyDescent="0.3">
      <c r="A59" s="331" t="s">
        <v>37</v>
      </c>
      <c r="B59" s="331"/>
      <c r="C59" s="331"/>
      <c r="D59" s="331"/>
      <c r="E59" s="331"/>
      <c r="F59" s="331"/>
      <c r="G59" s="331"/>
      <c r="H59" s="244">
        <f>SUMIF($C$3:$C$57,"K",H3:H57)</f>
        <v>94.392000000000024</v>
      </c>
      <c r="I59" s="245" t="s">
        <v>14</v>
      </c>
      <c r="J59" s="246">
        <f>SUMIF($C$3:$C$57,"K",J3:J57)</f>
        <v>126913999.17</v>
      </c>
      <c r="K59" s="246">
        <f>SUMIF($C$3:$C$57,"K",K3:K57)</f>
        <v>59395430.770000003</v>
      </c>
      <c r="L59" s="246">
        <f>SUMIF($C$3:$C$57,"K",L3:L57)</f>
        <v>67518568.399999991</v>
      </c>
      <c r="M59" s="247" t="s">
        <v>14</v>
      </c>
      <c r="N59" s="246">
        <f t="shared" ref="N59:W59" si="17">SUMIF($C$3:$C$57,"K",N3:N57)</f>
        <v>255000</v>
      </c>
      <c r="O59" s="246">
        <f t="shared" si="17"/>
        <v>60000</v>
      </c>
      <c r="P59" s="248">
        <f t="shared" si="17"/>
        <v>4113418.78</v>
      </c>
      <c r="Q59" s="248">
        <f t="shared" si="17"/>
        <v>9599045.5</v>
      </c>
      <c r="R59" s="248">
        <f t="shared" si="17"/>
        <v>33505378.189999998</v>
      </c>
      <c r="S59" s="248">
        <f t="shared" si="17"/>
        <v>11862588.300000001</v>
      </c>
      <c r="T59" s="248">
        <f t="shared" si="17"/>
        <v>0</v>
      </c>
      <c r="U59" s="248">
        <f t="shared" si="17"/>
        <v>0</v>
      </c>
      <c r="V59" s="248">
        <f t="shared" si="17"/>
        <v>0</v>
      </c>
      <c r="W59" s="248">
        <f t="shared" si="17"/>
        <v>0</v>
      </c>
      <c r="X59" s="1" t="b">
        <f>K59=SUM(N59:W59)</f>
        <v>1</v>
      </c>
      <c r="Y59" s="19">
        <f>ROUND(K59/J59,4)</f>
        <v>0.46800000000000003</v>
      </c>
      <c r="Z59" s="20" t="s">
        <v>14</v>
      </c>
      <c r="AA59" s="20" t="b">
        <f>J59=K59+L59</f>
        <v>1</v>
      </c>
    </row>
    <row r="60" spans="1:27" ht="20.100000000000001" customHeight="1" x14ac:dyDescent="0.3">
      <c r="A60" s="332" t="s">
        <v>38</v>
      </c>
      <c r="B60" s="332"/>
      <c r="C60" s="332"/>
      <c r="D60" s="332"/>
      <c r="E60" s="332"/>
      <c r="F60" s="332"/>
      <c r="G60" s="332"/>
      <c r="H60" s="239">
        <f>SUMIF($C$3:$C$57,"N",H3:H57)</f>
        <v>60.563000000000002</v>
      </c>
      <c r="I60" s="240" t="s">
        <v>14</v>
      </c>
      <c r="J60" s="241">
        <f>SUMIF($C$3:$C$57,"N",J3:J57)</f>
        <v>107432865</v>
      </c>
      <c r="K60" s="241">
        <f>SUMIF($C$3:$C$57,"N",K3:K57)</f>
        <v>48169671.189999998</v>
      </c>
      <c r="L60" s="241">
        <f>SUMIF($C$3:$C$57,"N",L3:L57)</f>
        <v>59263193.810000002</v>
      </c>
      <c r="M60" s="242" t="s">
        <v>14</v>
      </c>
      <c r="N60" s="241">
        <f t="shared" ref="N60:W60" si="18">SUMIF($C$3:$C$57,"N",N3:N57)</f>
        <v>0</v>
      </c>
      <c r="O60" s="241">
        <f t="shared" si="18"/>
        <v>0</v>
      </c>
      <c r="P60" s="243">
        <f t="shared" si="18"/>
        <v>0</v>
      </c>
      <c r="Q60" s="243">
        <f t="shared" si="18"/>
        <v>0</v>
      </c>
      <c r="R60" s="243">
        <f t="shared" si="18"/>
        <v>48169671.189999998</v>
      </c>
      <c r="S60" s="243">
        <f t="shared" si="18"/>
        <v>0</v>
      </c>
      <c r="T60" s="243">
        <f t="shared" si="18"/>
        <v>0</v>
      </c>
      <c r="U60" s="243">
        <f t="shared" si="18"/>
        <v>0</v>
      </c>
      <c r="V60" s="243">
        <f t="shared" si="18"/>
        <v>0</v>
      </c>
      <c r="W60" s="243">
        <f t="shared" si="18"/>
        <v>0</v>
      </c>
      <c r="X60" s="1" t="b">
        <f>K60=SUM(N60:W60)</f>
        <v>1</v>
      </c>
      <c r="Y60" s="19">
        <f>ROUND(K60/J60,4)</f>
        <v>0.44840000000000002</v>
      </c>
      <c r="Z60" s="20" t="s">
        <v>14</v>
      </c>
      <c r="AA60" s="20" t="b">
        <f>J60=K60+L60</f>
        <v>1</v>
      </c>
    </row>
    <row r="61" spans="1:27" ht="20.100000000000001" customHeight="1" x14ac:dyDescent="0.3">
      <c r="A61" s="331" t="s">
        <v>39</v>
      </c>
      <c r="B61" s="331"/>
      <c r="C61" s="331"/>
      <c r="D61" s="331"/>
      <c r="E61" s="331"/>
      <c r="F61" s="331"/>
      <c r="G61" s="331"/>
      <c r="H61" s="244">
        <f>SUMIF($C$3:$C$57,"W",H3:H57)</f>
        <v>16.204000000000001</v>
      </c>
      <c r="I61" s="245" t="s">
        <v>14</v>
      </c>
      <c r="J61" s="246">
        <f>SUMIF($C$3:$C$57,"W",J3:J57)</f>
        <v>42672256</v>
      </c>
      <c r="K61" s="246">
        <f>SUMIF($C$3:$C$57,"W",K3:K57)</f>
        <v>14283617.4</v>
      </c>
      <c r="L61" s="246">
        <f>SUMIF($C$3:$C$57,"W",L3:L57)</f>
        <v>28388638.600000001</v>
      </c>
      <c r="M61" s="247" t="s">
        <v>14</v>
      </c>
      <c r="N61" s="246">
        <f t="shared" ref="N61:W61" si="19">SUMIF($C$3:$C$57,"W",N3:N57)</f>
        <v>0</v>
      </c>
      <c r="O61" s="246">
        <f t="shared" si="19"/>
        <v>0</v>
      </c>
      <c r="P61" s="248">
        <f t="shared" si="19"/>
        <v>0</v>
      </c>
      <c r="Q61" s="248">
        <f t="shared" si="19"/>
        <v>0</v>
      </c>
      <c r="R61" s="248">
        <f t="shared" si="19"/>
        <v>2748171</v>
      </c>
      <c r="S61" s="248">
        <f t="shared" si="19"/>
        <v>11535446.399999999</v>
      </c>
      <c r="T61" s="248">
        <f t="shared" si="19"/>
        <v>0</v>
      </c>
      <c r="U61" s="248">
        <f t="shared" si="19"/>
        <v>0</v>
      </c>
      <c r="V61" s="248">
        <f t="shared" si="19"/>
        <v>0</v>
      </c>
      <c r="W61" s="248">
        <f t="shared" si="19"/>
        <v>0</v>
      </c>
      <c r="X61" s="1" t="b">
        <f>K61=SUM(N61:W61)</f>
        <v>1</v>
      </c>
      <c r="Y61" s="19">
        <f>ROUND(K61/J61,4)</f>
        <v>0.3347</v>
      </c>
      <c r="Z61" s="20" t="s">
        <v>14</v>
      </c>
      <c r="AA61" s="20" t="b">
        <f>J61=K61+L61</f>
        <v>1</v>
      </c>
    </row>
    <row r="62" spans="1:27" x14ac:dyDescent="0.3">
      <c r="A62" s="249"/>
      <c r="B62" s="249"/>
      <c r="C62" s="249"/>
      <c r="D62" s="249"/>
      <c r="E62" s="249"/>
      <c r="F62" s="249"/>
      <c r="G62" s="249"/>
    </row>
    <row r="63" spans="1:27" x14ac:dyDescent="0.3">
      <c r="A63" s="252" t="s">
        <v>24</v>
      </c>
      <c r="B63" s="252"/>
      <c r="C63" s="252"/>
      <c r="D63" s="252"/>
      <c r="E63" s="252"/>
      <c r="F63" s="252"/>
      <c r="G63" s="252"/>
      <c r="H63" s="253"/>
      <c r="I63" s="253"/>
      <c r="J63" s="254"/>
      <c r="K63" s="253"/>
      <c r="L63" s="253"/>
      <c r="N63" s="253"/>
      <c r="O63" s="253"/>
      <c r="P63" s="253"/>
      <c r="Q63" s="253"/>
      <c r="R63" s="253"/>
      <c r="S63" s="253"/>
      <c r="T63" s="253"/>
      <c r="U63" s="253"/>
      <c r="V63" s="253"/>
      <c r="W63" s="253"/>
      <c r="X63" s="1"/>
      <c r="AA63" s="20"/>
    </row>
    <row r="64" spans="1:27" x14ac:dyDescent="0.3">
      <c r="A64" s="255" t="s">
        <v>25</v>
      </c>
      <c r="B64" s="255"/>
      <c r="C64" s="255"/>
      <c r="D64" s="255"/>
      <c r="E64" s="255"/>
      <c r="F64" s="255"/>
      <c r="G64" s="255"/>
      <c r="H64" s="253"/>
      <c r="I64" s="253"/>
      <c r="J64" s="253"/>
      <c r="K64" s="253"/>
      <c r="L64" s="253"/>
      <c r="N64" s="253"/>
      <c r="O64" s="253"/>
      <c r="P64" s="253"/>
      <c r="Q64" s="253"/>
      <c r="R64" s="253"/>
      <c r="S64" s="253"/>
      <c r="T64" s="253"/>
      <c r="U64" s="253"/>
      <c r="V64" s="253"/>
      <c r="W64" s="253"/>
      <c r="X64" s="1"/>
    </row>
    <row r="65" spans="1:7" x14ac:dyDescent="0.3">
      <c r="A65" s="252" t="s">
        <v>42</v>
      </c>
      <c r="B65" s="249"/>
      <c r="C65" s="249"/>
      <c r="D65" s="249"/>
      <c r="E65" s="249"/>
      <c r="F65" s="249"/>
      <c r="G65" s="249"/>
    </row>
    <row r="66" spans="1:7" x14ac:dyDescent="0.3">
      <c r="A66" s="256" t="s">
        <v>47</v>
      </c>
      <c r="B66" s="256"/>
      <c r="C66" s="256"/>
      <c r="D66" s="256"/>
      <c r="E66" s="256"/>
      <c r="F66" s="256"/>
      <c r="G66" s="256"/>
    </row>
  </sheetData>
  <mergeCells count="18">
    <mergeCell ref="A59:G59"/>
    <mergeCell ref="D1:D2"/>
    <mergeCell ref="A61:G61"/>
    <mergeCell ref="A60:G60"/>
    <mergeCell ref="E1:E2"/>
    <mergeCell ref="A58:G58"/>
    <mergeCell ref="A1:A2"/>
    <mergeCell ref="B1:B2"/>
    <mergeCell ref="C1:C2"/>
    <mergeCell ref="F1:F2"/>
    <mergeCell ref="G1:G2"/>
    <mergeCell ref="L1:L2"/>
    <mergeCell ref="M1:M2"/>
    <mergeCell ref="N1:W1"/>
    <mergeCell ref="H1:H2"/>
    <mergeCell ref="I1:I2"/>
    <mergeCell ref="J1:J2"/>
    <mergeCell ref="K1:K2"/>
  </mergeCells>
  <conditionalFormatting sqref="X3:AA59">
    <cfRule type="cellIs" dxfId="56" priority="15" operator="equal">
      <formula>FALSE</formula>
    </cfRule>
  </conditionalFormatting>
  <conditionalFormatting sqref="X3:Z59">
    <cfRule type="containsText" dxfId="55" priority="13" operator="containsText" text="fałsz">
      <formula>NOT(ISERROR(SEARCH("fałsz",X3)))</formula>
    </cfRule>
  </conditionalFormatting>
  <conditionalFormatting sqref="AA63">
    <cfRule type="cellIs" dxfId="54" priority="12" operator="equal">
      <formula>FALSE</formula>
    </cfRule>
  </conditionalFormatting>
  <conditionalFormatting sqref="AA63">
    <cfRule type="cellIs" dxfId="53" priority="11" operator="equal">
      <formula>FALSE</formula>
    </cfRule>
  </conditionalFormatting>
  <conditionalFormatting sqref="Y61:Z61">
    <cfRule type="cellIs" dxfId="52" priority="10" operator="equal">
      <formula>FALSE</formula>
    </cfRule>
  </conditionalFormatting>
  <conditionalFormatting sqref="X61">
    <cfRule type="cellIs" dxfId="51" priority="9" operator="equal">
      <formula>FALSE</formula>
    </cfRule>
  </conditionalFormatting>
  <conditionalFormatting sqref="X61:Z61">
    <cfRule type="containsText" dxfId="50" priority="8" operator="containsText" text="fałsz">
      <formula>NOT(ISERROR(SEARCH("fałsz",X61)))</formula>
    </cfRule>
  </conditionalFormatting>
  <conditionalFormatting sqref="AA61">
    <cfRule type="cellIs" dxfId="49" priority="7" operator="equal">
      <formula>FALSE</formula>
    </cfRule>
  </conditionalFormatting>
  <conditionalFormatting sqref="AA61">
    <cfRule type="cellIs" dxfId="48" priority="6" operator="equal">
      <formula>FALSE</formula>
    </cfRule>
  </conditionalFormatting>
  <conditionalFormatting sqref="Y60:Z60">
    <cfRule type="cellIs" dxfId="47" priority="5" operator="equal">
      <formula>FALSE</formula>
    </cfRule>
  </conditionalFormatting>
  <conditionalFormatting sqref="X60">
    <cfRule type="cellIs" dxfId="46" priority="4" operator="equal">
      <formula>FALSE</formula>
    </cfRule>
  </conditionalFormatting>
  <conditionalFormatting sqref="X60:Z60">
    <cfRule type="containsText" dxfId="45" priority="3" operator="containsText" text="fałsz">
      <formula>NOT(ISERROR(SEARCH("fałsz",X60)))</formula>
    </cfRule>
  </conditionalFormatting>
  <conditionalFormatting sqref="AA60">
    <cfRule type="cellIs" dxfId="44" priority="2" operator="equal">
      <formula>FALSE</formula>
    </cfRule>
  </conditionalFormatting>
  <conditionalFormatting sqref="AA60">
    <cfRule type="cellIs" dxfId="43" priority="1" operator="equal">
      <formula>FALSE</formula>
    </cfRule>
  </conditionalFormatting>
  <dataValidations count="2">
    <dataValidation type="list" allowBlank="1" showInputMessage="1" showErrorMessage="1" sqref="G3:G4 G6:G57">
      <formula1>"B,P,R"</formula1>
    </dataValidation>
    <dataValidation type="list" allowBlank="1" showInputMessage="1" showErrorMessage="1" sqref="C14 C55:C56 C23:C24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5" fitToHeight="0" orientation="landscape" r:id="rId1"/>
  <headerFooter>
    <oddHeader>&amp;LWojewództwo Warmińsko-Mazurskie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B108"/>
  <sheetViews>
    <sheetView showGridLines="0" view="pageBreakPreview" zoomScale="80" zoomScaleNormal="100" zoomScaleSheetLayoutView="80" workbookViewId="0">
      <selection activeCell="C71" sqref="C71"/>
    </sheetView>
  </sheetViews>
  <sheetFormatPr defaultRowHeight="14.4" x14ac:dyDescent="0.3"/>
  <cols>
    <col min="1" max="1" width="11.33203125" style="250" customWidth="1"/>
    <col min="2" max="2" width="14.33203125" style="250" customWidth="1"/>
    <col min="3" max="3" width="15.6640625" style="250" customWidth="1"/>
    <col min="4" max="4" width="18.33203125" style="250" customWidth="1"/>
    <col min="5" max="5" width="11.33203125" style="250" customWidth="1"/>
    <col min="6" max="6" width="15.6640625" style="250" customWidth="1"/>
    <col min="7" max="7" width="37.5546875" style="250" customWidth="1"/>
    <col min="8" max="8" width="9.33203125" style="250" customWidth="1"/>
    <col min="9" max="9" width="14" style="250" customWidth="1"/>
    <col min="10" max="10" width="22.33203125" style="250" customWidth="1"/>
    <col min="11" max="13" width="15.6640625" style="250" customWidth="1"/>
    <col min="14" max="14" width="15.6640625" style="251" customWidth="1"/>
    <col min="15" max="24" width="15.6640625" style="250" customWidth="1"/>
    <col min="25" max="26" width="15.6640625" style="253" customWidth="1"/>
    <col min="27" max="27" width="15.6640625" style="8" customWidth="1"/>
    <col min="28" max="28" width="15.6640625" customWidth="1"/>
  </cols>
  <sheetData>
    <row r="1" spans="1:28" ht="20.100000000000001" customHeight="1" x14ac:dyDescent="0.3">
      <c r="A1" s="330" t="s">
        <v>4</v>
      </c>
      <c r="B1" s="330" t="s">
        <v>5</v>
      </c>
      <c r="C1" s="333" t="s">
        <v>43</v>
      </c>
      <c r="D1" s="328" t="s">
        <v>6</v>
      </c>
      <c r="E1" s="330" t="s">
        <v>32</v>
      </c>
      <c r="F1" s="328" t="s">
        <v>15</v>
      </c>
      <c r="G1" s="330" t="s">
        <v>7</v>
      </c>
      <c r="H1" s="330" t="s">
        <v>26</v>
      </c>
      <c r="I1" s="330" t="s">
        <v>8</v>
      </c>
      <c r="J1" s="330" t="s">
        <v>27</v>
      </c>
      <c r="K1" s="330" t="s">
        <v>9</v>
      </c>
      <c r="L1" s="330" t="s">
        <v>17</v>
      </c>
      <c r="M1" s="328" t="s">
        <v>13</v>
      </c>
      <c r="N1" s="330" t="s">
        <v>11</v>
      </c>
      <c r="O1" s="330" t="s">
        <v>12</v>
      </c>
      <c r="P1" s="330"/>
      <c r="Q1" s="330"/>
      <c r="R1" s="330"/>
      <c r="S1" s="330"/>
      <c r="T1" s="330"/>
      <c r="U1" s="330"/>
      <c r="V1" s="330"/>
      <c r="W1" s="330"/>
      <c r="X1" s="330"/>
    </row>
    <row r="2" spans="1:28" ht="28.5" hidden="1" customHeight="1" x14ac:dyDescent="0.3">
      <c r="A2" s="330"/>
      <c r="B2" s="330"/>
      <c r="C2" s="334"/>
      <c r="D2" s="329"/>
      <c r="E2" s="330"/>
      <c r="F2" s="329"/>
      <c r="G2" s="330"/>
      <c r="H2" s="330"/>
      <c r="I2" s="330"/>
      <c r="J2" s="330"/>
      <c r="K2" s="330"/>
      <c r="L2" s="330"/>
      <c r="M2" s="329"/>
      <c r="N2" s="330"/>
      <c r="O2" s="149">
        <v>2019</v>
      </c>
      <c r="P2" s="149">
        <v>2020</v>
      </c>
      <c r="Q2" s="149">
        <v>2021</v>
      </c>
      <c r="R2" s="149">
        <v>2022</v>
      </c>
      <c r="S2" s="149">
        <v>2023</v>
      </c>
      <c r="T2" s="149">
        <v>2024</v>
      </c>
      <c r="U2" s="149">
        <v>2025</v>
      </c>
      <c r="V2" s="149">
        <v>2026</v>
      </c>
      <c r="W2" s="149">
        <v>2027</v>
      </c>
      <c r="X2" s="149">
        <v>2028</v>
      </c>
      <c r="Y2" s="251" t="s">
        <v>28</v>
      </c>
      <c r="Z2" s="251" t="s">
        <v>29</v>
      </c>
      <c r="AA2" s="1" t="s">
        <v>30</v>
      </c>
      <c r="AB2" s="1" t="s">
        <v>31</v>
      </c>
    </row>
    <row r="3" spans="1:28" ht="30" hidden="1" customHeight="1" x14ac:dyDescent="0.3">
      <c r="A3" s="257">
        <v>1</v>
      </c>
      <c r="B3" s="151" t="s">
        <v>142</v>
      </c>
      <c r="C3" s="151" t="s">
        <v>68</v>
      </c>
      <c r="D3" s="154" t="s">
        <v>143</v>
      </c>
      <c r="E3" s="258">
        <v>281410</v>
      </c>
      <c r="F3" s="154" t="s">
        <v>104</v>
      </c>
      <c r="G3" s="154" t="s">
        <v>144</v>
      </c>
      <c r="H3" s="151" t="s">
        <v>85</v>
      </c>
      <c r="I3" s="155">
        <v>1.39</v>
      </c>
      <c r="J3" s="151" t="s">
        <v>145</v>
      </c>
      <c r="K3" s="136">
        <v>3499965</v>
      </c>
      <c r="L3" s="137">
        <v>1749982.5</v>
      </c>
      <c r="M3" s="137">
        <f>K3-L3</f>
        <v>1749982.5</v>
      </c>
      <c r="N3" s="138">
        <v>0.5</v>
      </c>
      <c r="O3" s="139">
        <v>40025.74</v>
      </c>
      <c r="P3" s="139">
        <v>645558</v>
      </c>
      <c r="Q3" s="139">
        <v>538346.18999999994</v>
      </c>
      <c r="R3" s="139">
        <v>526052.56999999995</v>
      </c>
      <c r="S3" s="259"/>
      <c r="T3" s="260"/>
      <c r="U3" s="260"/>
      <c r="V3" s="260"/>
      <c r="W3" s="261"/>
      <c r="X3" s="261"/>
      <c r="Y3" s="251" t="b">
        <f t="shared" ref="Y3:Y39" si="0">L3=SUM(O3:X3)</f>
        <v>1</v>
      </c>
      <c r="Z3" s="262">
        <f t="shared" ref="Z3:Z39" si="1">ROUND(L3/K3,4)</f>
        <v>0.5</v>
      </c>
      <c r="AA3" s="20" t="b">
        <f t="shared" ref="AA3:AA39" si="2">Z3=N3</f>
        <v>1</v>
      </c>
      <c r="AB3" s="20" t="b">
        <f t="shared" ref="AB3:AB39" si="3">K3=L3+M3</f>
        <v>1</v>
      </c>
    </row>
    <row r="4" spans="1:28" ht="30" hidden="1" customHeight="1" x14ac:dyDescent="0.3">
      <c r="A4" s="257">
        <v>2</v>
      </c>
      <c r="B4" s="151" t="s">
        <v>146</v>
      </c>
      <c r="C4" s="151" t="s">
        <v>68</v>
      </c>
      <c r="D4" s="154" t="s">
        <v>143</v>
      </c>
      <c r="E4" s="258">
        <v>281410</v>
      </c>
      <c r="F4" s="154" t="s">
        <v>104</v>
      </c>
      <c r="G4" s="154" t="s">
        <v>147</v>
      </c>
      <c r="H4" s="151" t="s">
        <v>85</v>
      </c>
      <c r="I4" s="155">
        <v>0.89</v>
      </c>
      <c r="J4" s="151" t="s">
        <v>148</v>
      </c>
      <c r="K4" s="136">
        <v>1897029</v>
      </c>
      <c r="L4" s="137">
        <v>948514.5</v>
      </c>
      <c r="M4" s="137">
        <f>K4-L4</f>
        <v>948514.5</v>
      </c>
      <c r="N4" s="138">
        <v>0.5</v>
      </c>
      <c r="O4" s="139">
        <v>4858.5</v>
      </c>
      <c r="P4" s="139">
        <v>19054.5</v>
      </c>
      <c r="Q4" s="139">
        <v>23974.5</v>
      </c>
      <c r="R4" s="139">
        <v>243002.5</v>
      </c>
      <c r="S4" s="137">
        <v>242080</v>
      </c>
      <c r="T4" s="139">
        <v>322280</v>
      </c>
      <c r="U4" s="139">
        <v>93264.5</v>
      </c>
      <c r="V4" s="260"/>
      <c r="W4" s="261"/>
      <c r="X4" s="261"/>
      <c r="Y4" s="251" t="b">
        <f t="shared" si="0"/>
        <v>1</v>
      </c>
      <c r="Z4" s="262">
        <f t="shared" si="1"/>
        <v>0.5</v>
      </c>
      <c r="AA4" s="20" t="b">
        <f t="shared" si="2"/>
        <v>1</v>
      </c>
      <c r="AB4" s="20" t="b">
        <f t="shared" si="3"/>
        <v>1</v>
      </c>
    </row>
    <row r="5" spans="1:28" ht="30" hidden="1" customHeight="1" x14ac:dyDescent="0.3">
      <c r="A5" s="257">
        <v>3</v>
      </c>
      <c r="B5" s="263" t="s">
        <v>149</v>
      </c>
      <c r="C5" s="151" t="s">
        <v>68</v>
      </c>
      <c r="D5" s="264" t="s">
        <v>150</v>
      </c>
      <c r="E5" s="160">
        <v>281402</v>
      </c>
      <c r="F5" s="189" t="s">
        <v>104</v>
      </c>
      <c r="G5" s="265" t="s">
        <v>151</v>
      </c>
      <c r="H5" s="266" t="s">
        <v>80</v>
      </c>
      <c r="I5" s="267">
        <v>0.222</v>
      </c>
      <c r="J5" s="151" t="s">
        <v>152</v>
      </c>
      <c r="K5" s="268">
        <v>850000</v>
      </c>
      <c r="L5" s="164">
        <v>595000</v>
      </c>
      <c r="M5" s="163">
        <v>255000</v>
      </c>
      <c r="N5" s="166">
        <v>0.7</v>
      </c>
      <c r="O5" s="168">
        <v>0</v>
      </c>
      <c r="P5" s="168">
        <v>42000</v>
      </c>
      <c r="Q5" s="168">
        <v>553000</v>
      </c>
      <c r="R5" s="260"/>
      <c r="S5" s="259"/>
      <c r="T5" s="260"/>
      <c r="U5" s="260"/>
      <c r="V5" s="260"/>
      <c r="W5" s="261"/>
      <c r="X5" s="261"/>
      <c r="Y5" s="251" t="b">
        <f t="shared" si="0"/>
        <v>1</v>
      </c>
      <c r="Z5" s="262">
        <f t="shared" si="1"/>
        <v>0.7</v>
      </c>
      <c r="AA5" s="20" t="b">
        <f t="shared" si="2"/>
        <v>1</v>
      </c>
      <c r="AB5" s="20" t="b">
        <f t="shared" si="3"/>
        <v>1</v>
      </c>
    </row>
    <row r="6" spans="1:28" ht="30" hidden="1" customHeight="1" x14ac:dyDescent="0.3">
      <c r="A6" s="257">
        <v>4</v>
      </c>
      <c r="B6" s="263" t="s">
        <v>153</v>
      </c>
      <c r="C6" s="151" t="s">
        <v>68</v>
      </c>
      <c r="D6" s="264" t="s">
        <v>154</v>
      </c>
      <c r="E6" s="160">
        <v>281406</v>
      </c>
      <c r="F6" s="154" t="s">
        <v>104</v>
      </c>
      <c r="G6" s="265" t="s">
        <v>155</v>
      </c>
      <c r="H6" s="266" t="s">
        <v>80</v>
      </c>
      <c r="I6" s="267">
        <v>1.7729999999999999</v>
      </c>
      <c r="J6" s="151" t="s">
        <v>156</v>
      </c>
      <c r="K6" s="269">
        <v>25121514.039999999</v>
      </c>
      <c r="L6" s="270">
        <v>18902942.460000001</v>
      </c>
      <c r="M6" s="137">
        <f>K6-L6</f>
        <v>6218571.5799999982</v>
      </c>
      <c r="N6" s="166">
        <v>0.8</v>
      </c>
      <c r="O6" s="192">
        <v>0</v>
      </c>
      <c r="P6" s="192">
        <v>0</v>
      </c>
      <c r="Q6" s="271">
        <v>9946035.3699999992</v>
      </c>
      <c r="R6" s="271">
        <v>8134833.3700000001</v>
      </c>
      <c r="S6" s="136">
        <v>822073.72</v>
      </c>
      <c r="T6" s="260"/>
      <c r="U6" s="260"/>
      <c r="V6" s="260"/>
      <c r="W6" s="261"/>
      <c r="X6" s="261"/>
      <c r="Y6" s="251" t="b">
        <f t="shared" si="0"/>
        <v>1</v>
      </c>
      <c r="Z6" s="262">
        <f t="shared" si="1"/>
        <v>0.75249999999999995</v>
      </c>
      <c r="AA6" s="20" t="b">
        <f t="shared" si="2"/>
        <v>0</v>
      </c>
      <c r="AB6" s="20" t="b">
        <f t="shared" si="3"/>
        <v>1</v>
      </c>
    </row>
    <row r="7" spans="1:28" ht="30" hidden="1" customHeight="1" x14ac:dyDescent="0.3">
      <c r="A7" s="257">
        <v>5</v>
      </c>
      <c r="B7" s="263" t="s">
        <v>157</v>
      </c>
      <c r="C7" s="151" t="s">
        <v>68</v>
      </c>
      <c r="D7" s="264" t="s">
        <v>158</v>
      </c>
      <c r="E7" s="258">
        <v>280502</v>
      </c>
      <c r="F7" s="154" t="s">
        <v>128</v>
      </c>
      <c r="G7" s="265" t="s">
        <v>159</v>
      </c>
      <c r="H7" s="266" t="s">
        <v>85</v>
      </c>
      <c r="I7" s="267">
        <v>1.764</v>
      </c>
      <c r="J7" s="151" t="s">
        <v>160</v>
      </c>
      <c r="K7" s="269">
        <v>2176524.25</v>
      </c>
      <c r="L7" s="270">
        <v>1088262.1200000001</v>
      </c>
      <c r="M7" s="137">
        <v>1088262.1299999999</v>
      </c>
      <c r="N7" s="166">
        <v>0.5</v>
      </c>
      <c r="O7" s="192">
        <v>0</v>
      </c>
      <c r="P7" s="271">
        <v>10000</v>
      </c>
      <c r="Q7" s="271">
        <v>16786.84</v>
      </c>
      <c r="R7" s="271">
        <v>500000</v>
      </c>
      <c r="S7" s="136">
        <v>561475.28</v>
      </c>
      <c r="T7" s="260"/>
      <c r="U7" s="260"/>
      <c r="V7" s="260"/>
      <c r="W7" s="261"/>
      <c r="X7" s="261"/>
      <c r="Y7" s="251" t="b">
        <f t="shared" si="0"/>
        <v>1</v>
      </c>
      <c r="Z7" s="262">
        <f t="shared" si="1"/>
        <v>0.5</v>
      </c>
      <c r="AA7" s="20" t="b">
        <f t="shared" si="2"/>
        <v>1</v>
      </c>
      <c r="AB7" s="20" t="b">
        <f t="shared" si="3"/>
        <v>1</v>
      </c>
    </row>
    <row r="8" spans="1:28" ht="30" hidden="1" customHeight="1" x14ac:dyDescent="0.3">
      <c r="A8" s="257">
        <v>6</v>
      </c>
      <c r="B8" s="263" t="s">
        <v>161</v>
      </c>
      <c r="C8" s="151" t="s">
        <v>68</v>
      </c>
      <c r="D8" s="264" t="s">
        <v>158</v>
      </c>
      <c r="E8" s="258">
        <v>280502</v>
      </c>
      <c r="F8" s="154" t="s">
        <v>128</v>
      </c>
      <c r="G8" s="265" t="s">
        <v>162</v>
      </c>
      <c r="H8" s="266" t="s">
        <v>85</v>
      </c>
      <c r="I8" s="267">
        <v>0.79500000000000004</v>
      </c>
      <c r="J8" s="151" t="s">
        <v>160</v>
      </c>
      <c r="K8" s="269">
        <v>1500974.75</v>
      </c>
      <c r="L8" s="270">
        <v>750487.37</v>
      </c>
      <c r="M8" s="137">
        <v>750487.38</v>
      </c>
      <c r="N8" s="166">
        <v>0.5</v>
      </c>
      <c r="O8" s="192">
        <v>0</v>
      </c>
      <c r="P8" s="271">
        <v>10000</v>
      </c>
      <c r="Q8" s="271">
        <v>16786.84</v>
      </c>
      <c r="R8" s="271">
        <v>223850.53</v>
      </c>
      <c r="S8" s="136">
        <v>499850</v>
      </c>
      <c r="T8" s="260"/>
      <c r="U8" s="260"/>
      <c r="V8" s="260"/>
      <c r="W8" s="261"/>
      <c r="X8" s="261"/>
      <c r="Y8" s="251" t="b">
        <f t="shared" si="0"/>
        <v>1</v>
      </c>
      <c r="Z8" s="262">
        <f t="shared" si="1"/>
        <v>0.5</v>
      </c>
      <c r="AA8" s="20" t="b">
        <f t="shared" si="2"/>
        <v>1</v>
      </c>
      <c r="AB8" s="20" t="b">
        <f t="shared" si="3"/>
        <v>1</v>
      </c>
    </row>
    <row r="9" spans="1:28" ht="30" hidden="1" customHeight="1" x14ac:dyDescent="0.3">
      <c r="A9" s="257">
        <v>7</v>
      </c>
      <c r="B9" s="272" t="s">
        <v>163</v>
      </c>
      <c r="C9" s="151" t="s">
        <v>68</v>
      </c>
      <c r="D9" s="264" t="s">
        <v>143</v>
      </c>
      <c r="E9" s="258">
        <v>281410</v>
      </c>
      <c r="F9" s="154" t="s">
        <v>104</v>
      </c>
      <c r="G9" s="265" t="s">
        <v>164</v>
      </c>
      <c r="H9" s="266" t="s">
        <v>85</v>
      </c>
      <c r="I9" s="267">
        <v>0.29899999999999999</v>
      </c>
      <c r="J9" s="151" t="s">
        <v>165</v>
      </c>
      <c r="K9" s="269">
        <v>702945</v>
      </c>
      <c r="L9" s="270">
        <v>351472.5</v>
      </c>
      <c r="M9" s="137">
        <f>K9-L9</f>
        <v>351472.5</v>
      </c>
      <c r="N9" s="166">
        <v>0.5</v>
      </c>
      <c r="O9" s="192">
        <v>0</v>
      </c>
      <c r="P9" s="271">
        <v>2521.5</v>
      </c>
      <c r="Q9" s="271">
        <v>2798.25</v>
      </c>
      <c r="R9" s="271">
        <v>190752.75</v>
      </c>
      <c r="S9" s="136">
        <v>155400</v>
      </c>
      <c r="T9" s="260"/>
      <c r="U9" s="260"/>
      <c r="V9" s="260"/>
      <c r="W9" s="261"/>
      <c r="X9" s="261"/>
      <c r="Y9" s="251" t="b">
        <f t="shared" si="0"/>
        <v>1</v>
      </c>
      <c r="Z9" s="262">
        <f t="shared" si="1"/>
        <v>0.5</v>
      </c>
      <c r="AA9" s="20" t="b">
        <f t="shared" si="2"/>
        <v>1</v>
      </c>
      <c r="AB9" s="20" t="b">
        <f t="shared" si="3"/>
        <v>1</v>
      </c>
    </row>
    <row r="10" spans="1:28" ht="30" hidden="1" customHeight="1" x14ac:dyDescent="0.3">
      <c r="A10" s="257">
        <v>8</v>
      </c>
      <c r="B10" s="273" t="s">
        <v>166</v>
      </c>
      <c r="C10" s="151" t="s">
        <v>68</v>
      </c>
      <c r="D10" s="264" t="s">
        <v>158</v>
      </c>
      <c r="E10" s="258">
        <v>280502</v>
      </c>
      <c r="F10" s="154" t="s">
        <v>128</v>
      </c>
      <c r="G10" s="265" t="s">
        <v>167</v>
      </c>
      <c r="H10" s="266" t="s">
        <v>85</v>
      </c>
      <c r="I10" s="267">
        <v>3.17</v>
      </c>
      <c r="J10" s="151" t="s">
        <v>168</v>
      </c>
      <c r="K10" s="269">
        <v>3408594.63</v>
      </c>
      <c r="L10" s="270">
        <v>1704297.31</v>
      </c>
      <c r="M10" s="137">
        <v>1704297.32</v>
      </c>
      <c r="N10" s="166">
        <v>0.5</v>
      </c>
      <c r="O10" s="192">
        <v>0</v>
      </c>
      <c r="P10" s="271">
        <v>20000</v>
      </c>
      <c r="Q10" s="271">
        <v>52000</v>
      </c>
      <c r="R10" s="271">
        <v>800000</v>
      </c>
      <c r="S10" s="136">
        <v>832297.31</v>
      </c>
      <c r="T10" s="260"/>
      <c r="U10" s="260"/>
      <c r="V10" s="260"/>
      <c r="W10" s="261"/>
      <c r="X10" s="261"/>
      <c r="Y10" s="251" t="b">
        <f t="shared" si="0"/>
        <v>1</v>
      </c>
      <c r="Z10" s="262">
        <f t="shared" si="1"/>
        <v>0.5</v>
      </c>
      <c r="AA10" s="20" t="b">
        <f t="shared" si="2"/>
        <v>1</v>
      </c>
      <c r="AB10" s="20" t="b">
        <f t="shared" si="3"/>
        <v>1</v>
      </c>
    </row>
    <row r="11" spans="1:28" ht="39" hidden="1" customHeight="1" x14ac:dyDescent="0.3">
      <c r="A11" s="257">
        <v>9</v>
      </c>
      <c r="B11" s="151" t="s">
        <v>169</v>
      </c>
      <c r="C11" s="151" t="s">
        <v>68</v>
      </c>
      <c r="D11" s="159" t="s">
        <v>158</v>
      </c>
      <c r="E11" s="257">
        <v>280502</v>
      </c>
      <c r="F11" s="154" t="s">
        <v>128</v>
      </c>
      <c r="G11" s="189" t="s">
        <v>170</v>
      </c>
      <c r="H11" s="151" t="s">
        <v>80</v>
      </c>
      <c r="I11" s="161">
        <v>3.1</v>
      </c>
      <c r="J11" s="162" t="s">
        <v>171</v>
      </c>
      <c r="K11" s="137">
        <v>5819210.0199999996</v>
      </c>
      <c r="L11" s="270">
        <f>ROUND(K11*N11,2)</f>
        <v>4073447.01</v>
      </c>
      <c r="M11" s="136">
        <f t="shared" ref="M11:M24" si="4">K11-L11</f>
        <v>1745763.0099999998</v>
      </c>
      <c r="N11" s="166">
        <v>0.7</v>
      </c>
      <c r="O11" s="274">
        <v>0</v>
      </c>
      <c r="P11" s="274">
        <v>0</v>
      </c>
      <c r="Q11" s="271">
        <v>1303900</v>
      </c>
      <c r="R11" s="192">
        <v>0</v>
      </c>
      <c r="S11" s="136">
        <v>1500000</v>
      </c>
      <c r="T11" s="271">
        <v>1269547.01</v>
      </c>
      <c r="U11" s="260"/>
      <c r="V11" s="260"/>
      <c r="W11" s="261"/>
      <c r="X11" s="261"/>
      <c r="Y11" s="251" t="b">
        <f t="shared" si="0"/>
        <v>1</v>
      </c>
      <c r="Z11" s="262">
        <f t="shared" si="1"/>
        <v>0.7</v>
      </c>
      <c r="AA11" s="20" t="b">
        <f t="shared" si="2"/>
        <v>1</v>
      </c>
      <c r="AB11" s="20" t="b">
        <f t="shared" si="3"/>
        <v>1</v>
      </c>
    </row>
    <row r="12" spans="1:28" ht="30" hidden="1" customHeight="1" x14ac:dyDescent="0.3">
      <c r="A12" s="257">
        <v>10</v>
      </c>
      <c r="B12" s="151" t="s">
        <v>172</v>
      </c>
      <c r="C12" s="151" t="s">
        <v>68</v>
      </c>
      <c r="D12" s="159" t="s">
        <v>158</v>
      </c>
      <c r="E12" s="257">
        <v>280502</v>
      </c>
      <c r="F12" s="154" t="s">
        <v>128</v>
      </c>
      <c r="G12" s="189" t="s">
        <v>173</v>
      </c>
      <c r="H12" s="151" t="s">
        <v>80</v>
      </c>
      <c r="I12" s="161">
        <v>3.25</v>
      </c>
      <c r="J12" s="162" t="s">
        <v>174</v>
      </c>
      <c r="K12" s="137">
        <v>7586046</v>
      </c>
      <c r="L12" s="270">
        <f>ROUND(K12*N12,2)</f>
        <v>5310232.2</v>
      </c>
      <c r="M12" s="136">
        <f t="shared" si="4"/>
        <v>2275813.7999999998</v>
      </c>
      <c r="N12" s="166">
        <v>0.7</v>
      </c>
      <c r="O12" s="274">
        <v>0</v>
      </c>
      <c r="P12" s="274">
        <v>0</v>
      </c>
      <c r="Q12" s="271">
        <v>1536700</v>
      </c>
      <c r="R12" s="192">
        <v>0</v>
      </c>
      <c r="S12" s="136">
        <v>2000000</v>
      </c>
      <c r="T12" s="271">
        <v>1773532.2</v>
      </c>
      <c r="U12" s="260"/>
      <c r="V12" s="260"/>
      <c r="W12" s="261"/>
      <c r="X12" s="261"/>
      <c r="Y12" s="251" t="b">
        <f t="shared" si="0"/>
        <v>1</v>
      </c>
      <c r="Z12" s="262">
        <f t="shared" si="1"/>
        <v>0.7</v>
      </c>
      <c r="AA12" s="20" t="b">
        <f t="shared" si="2"/>
        <v>1</v>
      </c>
      <c r="AB12" s="20" t="b">
        <f t="shared" si="3"/>
        <v>1</v>
      </c>
    </row>
    <row r="13" spans="1:28" ht="43.5" hidden="1" customHeight="1" x14ac:dyDescent="0.3">
      <c r="A13" s="257">
        <v>11</v>
      </c>
      <c r="B13" s="151" t="s">
        <v>175</v>
      </c>
      <c r="C13" s="151" t="s">
        <v>68</v>
      </c>
      <c r="D13" s="159" t="s">
        <v>176</v>
      </c>
      <c r="E13" s="257">
        <v>281405</v>
      </c>
      <c r="F13" s="154" t="s">
        <v>104</v>
      </c>
      <c r="G13" s="189" t="s">
        <v>177</v>
      </c>
      <c r="H13" s="151" t="s">
        <v>85</v>
      </c>
      <c r="I13" s="161">
        <v>3.79</v>
      </c>
      <c r="J13" s="162" t="s">
        <v>178</v>
      </c>
      <c r="K13" s="137">
        <v>2989152.5</v>
      </c>
      <c r="L13" s="270">
        <f>ROUND(K13*N13,2)</f>
        <v>1494576.25</v>
      </c>
      <c r="M13" s="136">
        <f t="shared" si="4"/>
        <v>1494576.25</v>
      </c>
      <c r="N13" s="166">
        <v>0.5</v>
      </c>
      <c r="O13" s="274">
        <v>0</v>
      </c>
      <c r="P13" s="274">
        <v>0</v>
      </c>
      <c r="Q13" s="271">
        <v>60576.25</v>
      </c>
      <c r="R13" s="271">
        <v>429750</v>
      </c>
      <c r="S13" s="136">
        <v>1004250</v>
      </c>
      <c r="T13" s="275"/>
      <c r="U13" s="260"/>
      <c r="V13" s="260"/>
      <c r="W13" s="261"/>
      <c r="X13" s="261"/>
      <c r="Y13" s="251" t="b">
        <f t="shared" si="0"/>
        <v>1</v>
      </c>
      <c r="Z13" s="262">
        <f t="shared" si="1"/>
        <v>0.5</v>
      </c>
      <c r="AA13" s="20" t="b">
        <f t="shared" si="2"/>
        <v>1</v>
      </c>
      <c r="AB13" s="20" t="b">
        <f t="shared" si="3"/>
        <v>1</v>
      </c>
    </row>
    <row r="14" spans="1:28" ht="30" hidden="1" customHeight="1" x14ac:dyDescent="0.3">
      <c r="A14" s="257">
        <v>12</v>
      </c>
      <c r="B14" s="151" t="s">
        <v>179</v>
      </c>
      <c r="C14" s="151" t="s">
        <v>68</v>
      </c>
      <c r="D14" s="159" t="s">
        <v>180</v>
      </c>
      <c r="E14" s="257">
        <v>281304</v>
      </c>
      <c r="F14" s="154" t="s">
        <v>88</v>
      </c>
      <c r="G14" s="189" t="s">
        <v>181</v>
      </c>
      <c r="H14" s="151" t="s">
        <v>80</v>
      </c>
      <c r="I14" s="161">
        <v>2.6110000000000002</v>
      </c>
      <c r="J14" s="162" t="s">
        <v>182</v>
      </c>
      <c r="K14" s="137">
        <v>11979862.810000001</v>
      </c>
      <c r="L14" s="270">
        <v>7187917.6799999997</v>
      </c>
      <c r="M14" s="136">
        <f t="shared" si="4"/>
        <v>4791945.1300000008</v>
      </c>
      <c r="N14" s="166">
        <v>0.6</v>
      </c>
      <c r="O14" s="274">
        <v>0</v>
      </c>
      <c r="P14" s="274">
        <v>0</v>
      </c>
      <c r="Q14" s="271">
        <v>300098.40000000002</v>
      </c>
      <c r="R14" s="271">
        <v>2387692.85</v>
      </c>
      <c r="S14" s="136">
        <v>3034207.8</v>
      </c>
      <c r="T14" s="139">
        <v>1465918.63</v>
      </c>
      <c r="U14" s="260"/>
      <c r="V14" s="260"/>
      <c r="W14" s="261"/>
      <c r="X14" s="261"/>
      <c r="Y14" s="251" t="b">
        <f t="shared" si="0"/>
        <v>1</v>
      </c>
      <c r="Z14" s="262">
        <f t="shared" si="1"/>
        <v>0.6</v>
      </c>
      <c r="AA14" s="20" t="b">
        <f t="shared" si="2"/>
        <v>1</v>
      </c>
      <c r="AB14" s="20" t="b">
        <f t="shared" si="3"/>
        <v>1</v>
      </c>
    </row>
    <row r="15" spans="1:28" ht="30" hidden="1" customHeight="1" x14ac:dyDescent="0.3">
      <c r="A15" s="257">
        <v>13</v>
      </c>
      <c r="B15" s="151" t="s">
        <v>791</v>
      </c>
      <c r="C15" s="151" t="s">
        <v>68</v>
      </c>
      <c r="D15" s="159" t="s">
        <v>180</v>
      </c>
      <c r="E15" s="257">
        <v>281304</v>
      </c>
      <c r="F15" s="154" t="s">
        <v>88</v>
      </c>
      <c r="G15" s="189" t="s">
        <v>792</v>
      </c>
      <c r="H15" s="151" t="s">
        <v>80</v>
      </c>
      <c r="I15" s="161">
        <v>1.1299999999999999</v>
      </c>
      <c r="J15" s="162" t="s">
        <v>793</v>
      </c>
      <c r="K15" s="137">
        <v>2446250</v>
      </c>
      <c r="L15" s="270">
        <f>ROUND(K15*N15,2)</f>
        <v>1467750</v>
      </c>
      <c r="M15" s="136">
        <f t="shared" si="4"/>
        <v>978500</v>
      </c>
      <c r="N15" s="166">
        <v>0.6</v>
      </c>
      <c r="O15" s="274">
        <v>0</v>
      </c>
      <c r="P15" s="274">
        <v>0</v>
      </c>
      <c r="Q15" s="271">
        <v>46693.55</v>
      </c>
      <c r="R15" s="271">
        <v>1421056.45</v>
      </c>
      <c r="S15" s="136"/>
      <c r="T15" s="139"/>
      <c r="U15" s="260"/>
      <c r="V15" s="260"/>
      <c r="W15" s="261"/>
      <c r="X15" s="261"/>
      <c r="Y15" s="251" t="b">
        <f t="shared" si="0"/>
        <v>1</v>
      </c>
      <c r="Z15" s="262">
        <f t="shared" si="1"/>
        <v>0.6</v>
      </c>
      <c r="AA15" s="20" t="b">
        <f t="shared" si="2"/>
        <v>1</v>
      </c>
      <c r="AB15" s="20" t="b">
        <f t="shared" si="3"/>
        <v>1</v>
      </c>
    </row>
    <row r="16" spans="1:28" ht="60.75" hidden="1" customHeight="1" x14ac:dyDescent="0.3">
      <c r="A16" s="257">
        <v>14</v>
      </c>
      <c r="B16" s="151" t="s">
        <v>794</v>
      </c>
      <c r="C16" s="151" t="s">
        <v>68</v>
      </c>
      <c r="D16" s="159" t="s">
        <v>180</v>
      </c>
      <c r="E16" s="257">
        <v>281304</v>
      </c>
      <c r="F16" s="154" t="s">
        <v>88</v>
      </c>
      <c r="G16" s="189" t="s">
        <v>795</v>
      </c>
      <c r="H16" s="151" t="s">
        <v>85</v>
      </c>
      <c r="I16" s="161">
        <v>2.57</v>
      </c>
      <c r="J16" s="162" t="s">
        <v>796</v>
      </c>
      <c r="K16" s="137">
        <v>2864834.35</v>
      </c>
      <c r="L16" s="270">
        <f>ROUND(K16*N16,2)</f>
        <v>1718900.61</v>
      </c>
      <c r="M16" s="136">
        <f t="shared" si="4"/>
        <v>1145933.74</v>
      </c>
      <c r="N16" s="166">
        <v>0.6</v>
      </c>
      <c r="O16" s="274">
        <v>0</v>
      </c>
      <c r="P16" s="274">
        <v>0</v>
      </c>
      <c r="Q16" s="271">
        <v>59176.79</v>
      </c>
      <c r="R16" s="271">
        <v>1659723.82</v>
      </c>
      <c r="S16" s="136"/>
      <c r="T16" s="139"/>
      <c r="U16" s="260"/>
      <c r="V16" s="260"/>
      <c r="W16" s="261"/>
      <c r="X16" s="261"/>
      <c r="Y16" s="251" t="b">
        <f t="shared" si="0"/>
        <v>1</v>
      </c>
      <c r="Z16" s="262">
        <f t="shared" si="1"/>
        <v>0.6</v>
      </c>
      <c r="AA16" s="20" t="b">
        <f t="shared" si="2"/>
        <v>1</v>
      </c>
      <c r="AB16" s="20" t="b">
        <f t="shared" si="3"/>
        <v>1</v>
      </c>
    </row>
    <row r="17" spans="1:28" ht="45" hidden="1" customHeight="1" x14ac:dyDescent="0.3">
      <c r="A17" s="257">
        <v>15</v>
      </c>
      <c r="B17" s="150" t="s">
        <v>797</v>
      </c>
      <c r="C17" s="150" t="s">
        <v>68</v>
      </c>
      <c r="D17" s="185" t="s">
        <v>180</v>
      </c>
      <c r="E17" s="276">
        <v>281304</v>
      </c>
      <c r="F17" s="173" t="s">
        <v>88</v>
      </c>
      <c r="G17" s="186" t="s">
        <v>798</v>
      </c>
      <c r="H17" s="150" t="s">
        <v>85</v>
      </c>
      <c r="I17" s="174">
        <v>1.1910000000000001</v>
      </c>
      <c r="J17" s="175" t="s">
        <v>796</v>
      </c>
      <c r="K17" s="277">
        <v>1389098.3</v>
      </c>
      <c r="L17" s="278">
        <f>ROUND(K17*N17,2)</f>
        <v>833458.98</v>
      </c>
      <c r="M17" s="188">
        <f t="shared" si="4"/>
        <v>555639.32000000007</v>
      </c>
      <c r="N17" s="179">
        <v>0.6</v>
      </c>
      <c r="O17" s="279">
        <v>0</v>
      </c>
      <c r="P17" s="279">
        <v>0</v>
      </c>
      <c r="Q17" s="280">
        <v>37684.85</v>
      </c>
      <c r="R17" s="280">
        <v>795774.13</v>
      </c>
      <c r="S17" s="136"/>
      <c r="T17" s="139"/>
      <c r="U17" s="260"/>
      <c r="V17" s="260"/>
      <c r="W17" s="261"/>
      <c r="X17" s="261"/>
      <c r="Y17" s="251" t="b">
        <f t="shared" si="0"/>
        <v>1</v>
      </c>
      <c r="Z17" s="262">
        <f t="shared" si="1"/>
        <v>0.6</v>
      </c>
      <c r="AA17" s="20" t="b">
        <f t="shared" si="2"/>
        <v>1</v>
      </c>
      <c r="AB17" s="20" t="b">
        <f t="shared" si="3"/>
        <v>1</v>
      </c>
    </row>
    <row r="18" spans="1:28" ht="63.6" hidden="1" customHeight="1" x14ac:dyDescent="0.3">
      <c r="A18" s="257">
        <v>16</v>
      </c>
      <c r="B18" s="151" t="s">
        <v>183</v>
      </c>
      <c r="C18" s="151" t="s">
        <v>68</v>
      </c>
      <c r="D18" s="159" t="s">
        <v>184</v>
      </c>
      <c r="E18" s="281">
        <v>280306</v>
      </c>
      <c r="F18" s="154" t="s">
        <v>185</v>
      </c>
      <c r="G18" s="189" t="s">
        <v>186</v>
      </c>
      <c r="H18" s="151" t="s">
        <v>80</v>
      </c>
      <c r="I18" s="161">
        <v>1.6539999999999999</v>
      </c>
      <c r="J18" s="162" t="s">
        <v>187</v>
      </c>
      <c r="K18" s="137">
        <v>10081814.23</v>
      </c>
      <c r="L18" s="270">
        <v>6049088.5300000003</v>
      </c>
      <c r="M18" s="136">
        <f t="shared" si="4"/>
        <v>4032725.7</v>
      </c>
      <c r="N18" s="166">
        <v>0.6</v>
      </c>
      <c r="O18" s="274">
        <v>0</v>
      </c>
      <c r="P18" s="274">
        <v>0</v>
      </c>
      <c r="Q18" s="271">
        <v>10944</v>
      </c>
      <c r="R18" s="271">
        <v>1893575.38</v>
      </c>
      <c r="S18" s="136">
        <v>2383636.89</v>
      </c>
      <c r="T18" s="282">
        <v>1091632.46</v>
      </c>
      <c r="U18" s="282">
        <v>669299.80000000005</v>
      </c>
      <c r="V18" s="260"/>
      <c r="W18" s="261"/>
      <c r="X18" s="261"/>
      <c r="Y18" s="251" t="b">
        <f t="shared" si="0"/>
        <v>1</v>
      </c>
      <c r="Z18" s="262">
        <f t="shared" si="1"/>
        <v>0.6</v>
      </c>
      <c r="AA18" s="20" t="b">
        <f t="shared" si="2"/>
        <v>1</v>
      </c>
      <c r="AB18" s="20" t="b">
        <f t="shared" si="3"/>
        <v>1</v>
      </c>
    </row>
    <row r="19" spans="1:28" ht="30" hidden="1" customHeight="1" x14ac:dyDescent="0.3">
      <c r="A19" s="257">
        <v>17</v>
      </c>
      <c r="B19" s="151" t="s">
        <v>188</v>
      </c>
      <c r="C19" s="151" t="s">
        <v>68</v>
      </c>
      <c r="D19" s="159" t="s">
        <v>189</v>
      </c>
      <c r="E19" s="257">
        <v>281204</v>
      </c>
      <c r="F19" s="154" t="s">
        <v>190</v>
      </c>
      <c r="G19" s="189" t="s">
        <v>191</v>
      </c>
      <c r="H19" s="151" t="s">
        <v>85</v>
      </c>
      <c r="I19" s="161">
        <v>2.8940000000000001</v>
      </c>
      <c r="J19" s="162" t="s">
        <v>192</v>
      </c>
      <c r="K19" s="137">
        <v>3129600.39</v>
      </c>
      <c r="L19" s="270">
        <f>ROUND(K19*N19,2)</f>
        <v>1877760.23</v>
      </c>
      <c r="M19" s="136">
        <f t="shared" si="4"/>
        <v>1251840.1600000001</v>
      </c>
      <c r="N19" s="166">
        <v>0.6</v>
      </c>
      <c r="O19" s="274">
        <v>0</v>
      </c>
      <c r="P19" s="274">
        <v>0</v>
      </c>
      <c r="Q19" s="271">
        <v>115709.29</v>
      </c>
      <c r="R19" s="271">
        <v>881025.47</v>
      </c>
      <c r="S19" s="136">
        <v>881025.47</v>
      </c>
      <c r="T19" s="139"/>
      <c r="U19" s="260"/>
      <c r="V19" s="260"/>
      <c r="W19" s="261"/>
      <c r="X19" s="261"/>
      <c r="Y19" s="251" t="b">
        <f t="shared" si="0"/>
        <v>1</v>
      </c>
      <c r="Z19" s="262">
        <f t="shared" si="1"/>
        <v>0.6</v>
      </c>
      <c r="AA19" s="20" t="b">
        <f t="shared" si="2"/>
        <v>1</v>
      </c>
      <c r="AB19" s="20" t="b">
        <f t="shared" si="3"/>
        <v>1</v>
      </c>
    </row>
    <row r="20" spans="1:28" ht="39" hidden="1" customHeight="1" x14ac:dyDescent="0.3">
      <c r="A20" s="257">
        <v>18</v>
      </c>
      <c r="B20" s="151" t="s">
        <v>193</v>
      </c>
      <c r="C20" s="151" t="s">
        <v>68</v>
      </c>
      <c r="D20" s="159" t="s">
        <v>158</v>
      </c>
      <c r="E20" s="283">
        <v>280502</v>
      </c>
      <c r="F20" s="154" t="s">
        <v>194</v>
      </c>
      <c r="G20" s="189" t="s">
        <v>195</v>
      </c>
      <c r="H20" s="151" t="s">
        <v>85</v>
      </c>
      <c r="I20" s="161">
        <v>0.53200000000000003</v>
      </c>
      <c r="J20" s="162" t="s">
        <v>171</v>
      </c>
      <c r="K20" s="137">
        <v>1100500</v>
      </c>
      <c r="L20" s="270">
        <f>ROUND(K20*N20,2)</f>
        <v>550250</v>
      </c>
      <c r="M20" s="136">
        <f t="shared" si="4"/>
        <v>550250</v>
      </c>
      <c r="N20" s="166">
        <v>0.5</v>
      </c>
      <c r="O20" s="274">
        <v>0</v>
      </c>
      <c r="P20" s="274">
        <v>0</v>
      </c>
      <c r="Q20" s="271">
        <v>1000</v>
      </c>
      <c r="R20" s="271">
        <v>16000</v>
      </c>
      <c r="S20" s="136">
        <v>533250</v>
      </c>
      <c r="T20" s="139"/>
      <c r="U20" s="260"/>
      <c r="V20" s="260"/>
      <c r="W20" s="261"/>
      <c r="X20" s="261"/>
      <c r="Y20" s="251" t="b">
        <f t="shared" si="0"/>
        <v>1</v>
      </c>
      <c r="Z20" s="262">
        <f t="shared" si="1"/>
        <v>0.5</v>
      </c>
      <c r="AA20" s="20" t="b">
        <f t="shared" si="2"/>
        <v>1</v>
      </c>
      <c r="AB20" s="20" t="b">
        <f t="shared" si="3"/>
        <v>1</v>
      </c>
    </row>
    <row r="21" spans="1:28" ht="54" hidden="1" customHeight="1" x14ac:dyDescent="0.3">
      <c r="A21" s="257">
        <v>19</v>
      </c>
      <c r="B21" s="151" t="s">
        <v>799</v>
      </c>
      <c r="C21" s="151" t="s">
        <v>68</v>
      </c>
      <c r="D21" s="159" t="s">
        <v>180</v>
      </c>
      <c r="E21" s="281">
        <v>281304</v>
      </c>
      <c r="F21" s="154" t="s">
        <v>88</v>
      </c>
      <c r="G21" s="189" t="s">
        <v>800</v>
      </c>
      <c r="H21" s="151" t="s">
        <v>85</v>
      </c>
      <c r="I21" s="161">
        <v>2.11</v>
      </c>
      <c r="J21" s="162" t="s">
        <v>796</v>
      </c>
      <c r="K21" s="137">
        <v>1616791.65</v>
      </c>
      <c r="L21" s="270">
        <f>ROUND(K21*N21,2)</f>
        <v>970074.99</v>
      </c>
      <c r="M21" s="136">
        <f t="shared" si="4"/>
        <v>646716.65999999992</v>
      </c>
      <c r="N21" s="166">
        <v>0.6</v>
      </c>
      <c r="O21" s="274">
        <v>0</v>
      </c>
      <c r="P21" s="274">
        <v>0</v>
      </c>
      <c r="Q21" s="271">
        <v>37955.4</v>
      </c>
      <c r="R21" s="271">
        <v>932119.59</v>
      </c>
      <c r="S21" s="136"/>
      <c r="T21" s="139"/>
      <c r="U21" s="260"/>
      <c r="V21" s="260"/>
      <c r="W21" s="261"/>
      <c r="X21" s="261"/>
      <c r="Y21" s="251" t="b">
        <f t="shared" si="0"/>
        <v>1</v>
      </c>
      <c r="Z21" s="262">
        <f t="shared" si="1"/>
        <v>0.6</v>
      </c>
      <c r="AA21" s="20" t="b">
        <f t="shared" si="2"/>
        <v>1</v>
      </c>
      <c r="AB21" s="20" t="b">
        <f t="shared" si="3"/>
        <v>1</v>
      </c>
    </row>
    <row r="22" spans="1:28" ht="39.75" hidden="1" customHeight="1" x14ac:dyDescent="0.3">
      <c r="A22" s="257">
        <v>20</v>
      </c>
      <c r="B22" s="151" t="s">
        <v>196</v>
      </c>
      <c r="C22" s="151" t="s">
        <v>68</v>
      </c>
      <c r="D22" s="159" t="s">
        <v>197</v>
      </c>
      <c r="E22" s="257">
        <v>280106</v>
      </c>
      <c r="F22" s="154" t="s">
        <v>83</v>
      </c>
      <c r="G22" s="189" t="s">
        <v>198</v>
      </c>
      <c r="H22" s="151" t="s">
        <v>80</v>
      </c>
      <c r="I22" s="161">
        <v>0.50800000000000001</v>
      </c>
      <c r="J22" s="162" t="s">
        <v>199</v>
      </c>
      <c r="K22" s="137">
        <v>947946.88</v>
      </c>
      <c r="L22" s="270">
        <v>568768.12</v>
      </c>
      <c r="M22" s="136">
        <f t="shared" si="4"/>
        <v>379178.76</v>
      </c>
      <c r="N22" s="166">
        <v>0.6</v>
      </c>
      <c r="O22" s="274">
        <v>0</v>
      </c>
      <c r="P22" s="274">
        <v>0</v>
      </c>
      <c r="Q22" s="192">
        <v>0</v>
      </c>
      <c r="R22" s="271">
        <f>L22</f>
        <v>568768.12</v>
      </c>
      <c r="S22" s="136"/>
      <c r="T22" s="139"/>
      <c r="U22" s="260"/>
      <c r="V22" s="260"/>
      <c r="W22" s="261"/>
      <c r="X22" s="261"/>
      <c r="Y22" s="251" t="b">
        <f t="shared" si="0"/>
        <v>1</v>
      </c>
      <c r="Z22" s="262">
        <f t="shared" si="1"/>
        <v>0.6</v>
      </c>
      <c r="AA22" s="20" t="b">
        <f t="shared" si="2"/>
        <v>1</v>
      </c>
      <c r="AB22" s="20" t="b">
        <f t="shared" si="3"/>
        <v>1</v>
      </c>
    </row>
    <row r="23" spans="1:28" ht="55.5" hidden="1" customHeight="1" x14ac:dyDescent="0.3">
      <c r="A23" s="257">
        <v>21</v>
      </c>
      <c r="B23" s="151" t="s">
        <v>801</v>
      </c>
      <c r="C23" s="151" t="s">
        <v>68</v>
      </c>
      <c r="D23" s="159" t="s">
        <v>180</v>
      </c>
      <c r="E23" s="257">
        <v>281304</v>
      </c>
      <c r="F23" s="154" t="s">
        <v>88</v>
      </c>
      <c r="G23" s="189" t="s">
        <v>802</v>
      </c>
      <c r="H23" s="151" t="s">
        <v>80</v>
      </c>
      <c r="I23" s="161">
        <v>0.755</v>
      </c>
      <c r="J23" s="162" t="s">
        <v>793</v>
      </c>
      <c r="K23" s="137">
        <v>1081722.24</v>
      </c>
      <c r="L23" s="270">
        <f>ROUND(K23*N23,2)</f>
        <v>649033.34</v>
      </c>
      <c r="M23" s="136">
        <f t="shared" si="4"/>
        <v>432688.9</v>
      </c>
      <c r="N23" s="166">
        <v>0.6</v>
      </c>
      <c r="O23" s="274">
        <v>0</v>
      </c>
      <c r="P23" s="274">
        <v>0</v>
      </c>
      <c r="Q23" s="271">
        <v>25906.76</v>
      </c>
      <c r="R23" s="271">
        <v>623126.57999999996</v>
      </c>
      <c r="S23" s="136"/>
      <c r="T23" s="139"/>
      <c r="U23" s="260"/>
      <c r="V23" s="260"/>
      <c r="W23" s="261"/>
      <c r="X23" s="261"/>
      <c r="Y23" s="251" t="b">
        <f t="shared" si="0"/>
        <v>1</v>
      </c>
      <c r="Z23" s="262">
        <f t="shared" si="1"/>
        <v>0.6</v>
      </c>
      <c r="AA23" s="20" t="b">
        <f t="shared" si="2"/>
        <v>1</v>
      </c>
      <c r="AB23" s="20" t="b">
        <f t="shared" si="3"/>
        <v>1</v>
      </c>
    </row>
    <row r="24" spans="1:28" ht="30" hidden="1" customHeight="1" x14ac:dyDescent="0.3">
      <c r="A24" s="257">
        <v>22</v>
      </c>
      <c r="B24" s="151" t="s">
        <v>200</v>
      </c>
      <c r="C24" s="151" t="s">
        <v>68</v>
      </c>
      <c r="D24" s="159" t="s">
        <v>143</v>
      </c>
      <c r="E24" s="257">
        <v>281410</v>
      </c>
      <c r="F24" s="154" t="s">
        <v>104</v>
      </c>
      <c r="G24" s="189" t="s">
        <v>201</v>
      </c>
      <c r="H24" s="151" t="s">
        <v>85</v>
      </c>
      <c r="I24" s="161">
        <v>1.08</v>
      </c>
      <c r="J24" s="162" t="s">
        <v>202</v>
      </c>
      <c r="K24" s="137">
        <v>2097150</v>
      </c>
      <c r="L24" s="270">
        <f>ROUND(K24*N24,2)</f>
        <v>1258290</v>
      </c>
      <c r="M24" s="136">
        <f t="shared" si="4"/>
        <v>838860</v>
      </c>
      <c r="N24" s="166">
        <v>0.6</v>
      </c>
      <c r="O24" s="274">
        <v>0</v>
      </c>
      <c r="P24" s="274">
        <v>0</v>
      </c>
      <c r="Q24" s="271">
        <v>43173</v>
      </c>
      <c r="R24" s="271">
        <v>75030</v>
      </c>
      <c r="S24" s="136">
        <v>786093</v>
      </c>
      <c r="T24" s="139">
        <v>353994</v>
      </c>
      <c r="U24" s="260"/>
      <c r="V24" s="260"/>
      <c r="W24" s="261"/>
      <c r="X24" s="261"/>
      <c r="Y24" s="251" t="b">
        <f t="shared" si="0"/>
        <v>1</v>
      </c>
      <c r="Z24" s="262">
        <f t="shared" si="1"/>
        <v>0.6</v>
      </c>
      <c r="AA24" s="20" t="b">
        <f t="shared" si="2"/>
        <v>1</v>
      </c>
      <c r="AB24" s="20" t="b">
        <f t="shared" si="3"/>
        <v>1</v>
      </c>
    </row>
    <row r="25" spans="1:28" ht="30" hidden="1" customHeight="1" x14ac:dyDescent="0.3">
      <c r="A25" s="257">
        <v>23</v>
      </c>
      <c r="B25" s="151" t="s">
        <v>203</v>
      </c>
      <c r="C25" s="151" t="s">
        <v>68</v>
      </c>
      <c r="D25" s="159" t="s">
        <v>158</v>
      </c>
      <c r="E25" s="257">
        <v>280502</v>
      </c>
      <c r="F25" s="154" t="s">
        <v>128</v>
      </c>
      <c r="G25" s="189" t="s">
        <v>204</v>
      </c>
      <c r="H25" s="151" t="s">
        <v>80</v>
      </c>
      <c r="I25" s="161">
        <v>1.55</v>
      </c>
      <c r="J25" s="162" t="s">
        <v>174</v>
      </c>
      <c r="K25" s="137">
        <v>1867500</v>
      </c>
      <c r="L25" s="270">
        <f>ROUND(K25*N25,2)</f>
        <v>933750</v>
      </c>
      <c r="M25" s="136">
        <f>K25-L25</f>
        <v>933750</v>
      </c>
      <c r="N25" s="166">
        <v>0.5</v>
      </c>
      <c r="O25" s="274">
        <v>0</v>
      </c>
      <c r="P25" s="274">
        <v>0</v>
      </c>
      <c r="Q25" s="271">
        <v>1000</v>
      </c>
      <c r="R25" s="271">
        <v>35000</v>
      </c>
      <c r="S25" s="136">
        <v>775000</v>
      </c>
      <c r="T25" s="139">
        <v>122750</v>
      </c>
      <c r="U25" s="260"/>
      <c r="V25" s="260"/>
      <c r="W25" s="261"/>
      <c r="X25" s="261"/>
      <c r="Y25" s="251" t="b">
        <f t="shared" si="0"/>
        <v>1</v>
      </c>
      <c r="Z25" s="262">
        <f t="shared" si="1"/>
        <v>0.5</v>
      </c>
      <c r="AA25" s="20" t="b">
        <f t="shared" si="2"/>
        <v>1</v>
      </c>
      <c r="AB25" s="20" t="b">
        <f t="shared" si="3"/>
        <v>1</v>
      </c>
    </row>
    <row r="26" spans="1:28" ht="30" hidden="1" customHeight="1" x14ac:dyDescent="0.3">
      <c r="A26" s="257">
        <v>24</v>
      </c>
      <c r="B26" s="151" t="s">
        <v>803</v>
      </c>
      <c r="C26" s="151" t="s">
        <v>68</v>
      </c>
      <c r="D26" s="159" t="s">
        <v>273</v>
      </c>
      <c r="E26" s="257">
        <v>281501</v>
      </c>
      <c r="F26" s="154" t="s">
        <v>258</v>
      </c>
      <c r="G26" s="189" t="s">
        <v>804</v>
      </c>
      <c r="H26" s="151" t="s">
        <v>80</v>
      </c>
      <c r="I26" s="161">
        <v>0.89800000000000002</v>
      </c>
      <c r="J26" s="162" t="s">
        <v>805</v>
      </c>
      <c r="K26" s="139">
        <v>4844727.8099999996</v>
      </c>
      <c r="L26" s="284">
        <v>2422363.9</v>
      </c>
      <c r="M26" s="271">
        <f>K26-L26</f>
        <v>2422363.9099999997</v>
      </c>
      <c r="N26" s="166">
        <v>0.5</v>
      </c>
      <c r="O26" s="274">
        <v>0</v>
      </c>
      <c r="P26" s="274">
        <v>0</v>
      </c>
      <c r="Q26" s="271">
        <v>1259671.57</v>
      </c>
      <c r="R26" s="271">
        <v>1162692.33</v>
      </c>
      <c r="S26" s="136"/>
      <c r="T26" s="139"/>
      <c r="U26" s="260"/>
      <c r="V26" s="260"/>
      <c r="W26" s="261"/>
      <c r="X26" s="261"/>
      <c r="Y26" s="251" t="b">
        <f t="shared" si="0"/>
        <v>1</v>
      </c>
      <c r="Z26" s="262">
        <f t="shared" si="1"/>
        <v>0.5</v>
      </c>
      <c r="AA26" s="20" t="b">
        <f t="shared" si="2"/>
        <v>1</v>
      </c>
      <c r="AB26" s="20" t="b">
        <f t="shared" si="3"/>
        <v>1</v>
      </c>
    </row>
    <row r="27" spans="1:28" ht="30" hidden="1" customHeight="1" x14ac:dyDescent="0.3">
      <c r="A27" s="257">
        <v>25</v>
      </c>
      <c r="B27" s="151" t="s">
        <v>205</v>
      </c>
      <c r="C27" s="151" t="s">
        <v>68</v>
      </c>
      <c r="D27" s="159" t="s">
        <v>206</v>
      </c>
      <c r="E27" s="281">
        <v>281411</v>
      </c>
      <c r="F27" s="154" t="s">
        <v>104</v>
      </c>
      <c r="G27" s="189" t="s">
        <v>207</v>
      </c>
      <c r="H27" s="151" t="s">
        <v>80</v>
      </c>
      <c r="I27" s="161">
        <v>0.63400000000000001</v>
      </c>
      <c r="J27" s="162" t="s">
        <v>208</v>
      </c>
      <c r="K27" s="137">
        <v>3475402.85</v>
      </c>
      <c r="L27" s="270">
        <v>1737701.42</v>
      </c>
      <c r="M27" s="136">
        <f t="shared" ref="M27:M61" si="5">K27-L27</f>
        <v>1737701.4300000002</v>
      </c>
      <c r="N27" s="166">
        <v>0.5</v>
      </c>
      <c r="O27" s="274">
        <v>0</v>
      </c>
      <c r="P27" s="274">
        <v>0</v>
      </c>
      <c r="Q27" s="271">
        <v>75000</v>
      </c>
      <c r="R27" s="271">
        <v>1662701.42</v>
      </c>
      <c r="S27" s="259"/>
      <c r="T27" s="260"/>
      <c r="U27" s="260"/>
      <c r="V27" s="260"/>
      <c r="W27" s="261"/>
      <c r="X27" s="261"/>
      <c r="Y27" s="251" t="b">
        <f t="shared" si="0"/>
        <v>1</v>
      </c>
      <c r="Z27" s="262">
        <f t="shared" si="1"/>
        <v>0.5</v>
      </c>
      <c r="AA27" s="20" t="b">
        <f t="shared" si="2"/>
        <v>1</v>
      </c>
      <c r="AB27" s="20" t="b">
        <f t="shared" si="3"/>
        <v>1</v>
      </c>
    </row>
    <row r="28" spans="1:28" ht="55.2" hidden="1" customHeight="1" x14ac:dyDescent="0.3">
      <c r="A28" s="257">
        <v>26</v>
      </c>
      <c r="B28" s="151" t="s">
        <v>209</v>
      </c>
      <c r="C28" s="151" t="s">
        <v>68</v>
      </c>
      <c r="D28" s="159" t="s">
        <v>176</v>
      </c>
      <c r="E28" s="257">
        <v>281405</v>
      </c>
      <c r="F28" s="154" t="s">
        <v>104</v>
      </c>
      <c r="G28" s="189" t="s">
        <v>210</v>
      </c>
      <c r="H28" s="151" t="s">
        <v>80</v>
      </c>
      <c r="I28" s="161">
        <v>0.57699999999999996</v>
      </c>
      <c r="J28" s="162" t="s">
        <v>211</v>
      </c>
      <c r="K28" s="137">
        <v>824276.5</v>
      </c>
      <c r="L28" s="270">
        <f>ROUND(K28*N28,2)</f>
        <v>412138.25</v>
      </c>
      <c r="M28" s="136">
        <f t="shared" si="5"/>
        <v>412138.25</v>
      </c>
      <c r="N28" s="166">
        <v>0.5</v>
      </c>
      <c r="O28" s="274">
        <v>0</v>
      </c>
      <c r="P28" s="274">
        <v>0</v>
      </c>
      <c r="Q28" s="271">
        <v>33576.25</v>
      </c>
      <c r="R28" s="271">
        <v>153574.79999999999</v>
      </c>
      <c r="S28" s="136">
        <v>224987.2</v>
      </c>
      <c r="T28" s="285"/>
      <c r="U28" s="260"/>
      <c r="V28" s="260"/>
      <c r="W28" s="261"/>
      <c r="X28" s="261"/>
      <c r="Y28" s="251" t="b">
        <f t="shared" si="0"/>
        <v>1</v>
      </c>
      <c r="Z28" s="262">
        <f t="shared" si="1"/>
        <v>0.5</v>
      </c>
      <c r="AA28" s="20" t="b">
        <f t="shared" si="2"/>
        <v>1</v>
      </c>
      <c r="AB28" s="20" t="b">
        <f t="shared" si="3"/>
        <v>1</v>
      </c>
    </row>
    <row r="29" spans="1:28" ht="30" hidden="1" customHeight="1" x14ac:dyDescent="0.3">
      <c r="A29" s="257">
        <v>27</v>
      </c>
      <c r="B29" s="151" t="s">
        <v>212</v>
      </c>
      <c r="C29" s="151" t="s">
        <v>68</v>
      </c>
      <c r="D29" s="159" t="s">
        <v>158</v>
      </c>
      <c r="E29" s="257">
        <v>280502</v>
      </c>
      <c r="F29" s="154" t="s">
        <v>128</v>
      </c>
      <c r="G29" s="189" t="s">
        <v>213</v>
      </c>
      <c r="H29" s="151" t="s">
        <v>80</v>
      </c>
      <c r="I29" s="161">
        <v>0.443</v>
      </c>
      <c r="J29" s="162" t="s">
        <v>174</v>
      </c>
      <c r="K29" s="137">
        <v>1268500</v>
      </c>
      <c r="L29" s="270">
        <f>ROUND(K29*N29,2)</f>
        <v>634250</v>
      </c>
      <c r="M29" s="136">
        <f t="shared" si="5"/>
        <v>634250</v>
      </c>
      <c r="N29" s="166">
        <v>0.5</v>
      </c>
      <c r="O29" s="274">
        <v>0</v>
      </c>
      <c r="P29" s="274">
        <v>0</v>
      </c>
      <c r="Q29" s="271">
        <v>1000</v>
      </c>
      <c r="R29" s="192">
        <v>0</v>
      </c>
      <c r="S29" s="136">
        <v>100000</v>
      </c>
      <c r="T29" s="139">
        <v>533250</v>
      </c>
      <c r="U29" s="260"/>
      <c r="V29" s="260"/>
      <c r="W29" s="261"/>
      <c r="X29" s="261"/>
      <c r="Y29" s="251" t="b">
        <f t="shared" si="0"/>
        <v>1</v>
      </c>
      <c r="Z29" s="262">
        <f t="shared" si="1"/>
        <v>0.5</v>
      </c>
      <c r="AA29" s="20" t="b">
        <f t="shared" si="2"/>
        <v>1</v>
      </c>
      <c r="AB29" s="20" t="b">
        <f t="shared" si="3"/>
        <v>1</v>
      </c>
    </row>
    <row r="30" spans="1:28" ht="54.6" hidden="1" customHeight="1" x14ac:dyDescent="0.3">
      <c r="A30" s="257">
        <v>28</v>
      </c>
      <c r="B30" s="151" t="s">
        <v>214</v>
      </c>
      <c r="C30" s="151" t="s">
        <v>68</v>
      </c>
      <c r="D30" s="159" t="s">
        <v>176</v>
      </c>
      <c r="E30" s="257">
        <v>281405</v>
      </c>
      <c r="F30" s="154" t="s">
        <v>104</v>
      </c>
      <c r="G30" s="189" t="s">
        <v>215</v>
      </c>
      <c r="H30" s="151" t="s">
        <v>85</v>
      </c>
      <c r="I30" s="161">
        <v>1.2869999999999999</v>
      </c>
      <c r="J30" s="162" t="s">
        <v>216</v>
      </c>
      <c r="K30" s="137">
        <v>1509545.88</v>
      </c>
      <c r="L30" s="270">
        <v>754772.94</v>
      </c>
      <c r="M30" s="136">
        <f t="shared" si="5"/>
        <v>754772.94</v>
      </c>
      <c r="N30" s="166">
        <v>0.5</v>
      </c>
      <c r="O30" s="274">
        <v>0</v>
      </c>
      <c r="P30" s="274">
        <v>0</v>
      </c>
      <c r="Q30" s="271">
        <v>68148</v>
      </c>
      <c r="R30" s="271">
        <v>228564.5</v>
      </c>
      <c r="S30" s="136">
        <v>458060.44</v>
      </c>
      <c r="T30" s="260"/>
      <c r="U30" s="260"/>
      <c r="V30" s="260"/>
      <c r="W30" s="261"/>
      <c r="X30" s="261"/>
      <c r="Y30" s="251" t="b">
        <f t="shared" si="0"/>
        <v>1</v>
      </c>
      <c r="Z30" s="262">
        <f t="shared" si="1"/>
        <v>0.5</v>
      </c>
      <c r="AA30" s="20" t="b">
        <f t="shared" si="2"/>
        <v>1</v>
      </c>
      <c r="AB30" s="20" t="b">
        <f t="shared" si="3"/>
        <v>1</v>
      </c>
    </row>
    <row r="31" spans="1:28" ht="30" hidden="1" customHeight="1" x14ac:dyDescent="0.3">
      <c r="A31" s="257">
        <v>29</v>
      </c>
      <c r="B31" s="151" t="s">
        <v>217</v>
      </c>
      <c r="C31" s="151" t="s">
        <v>68</v>
      </c>
      <c r="D31" s="159" t="s">
        <v>143</v>
      </c>
      <c r="E31" s="257">
        <v>281410</v>
      </c>
      <c r="F31" s="154" t="s">
        <v>104</v>
      </c>
      <c r="G31" s="189" t="s">
        <v>218</v>
      </c>
      <c r="H31" s="151" t="s">
        <v>85</v>
      </c>
      <c r="I31" s="161">
        <v>0.28000000000000003</v>
      </c>
      <c r="J31" s="162" t="s">
        <v>219</v>
      </c>
      <c r="K31" s="137">
        <v>1169803.8</v>
      </c>
      <c r="L31" s="270">
        <v>701882.28</v>
      </c>
      <c r="M31" s="136">
        <f t="shared" si="5"/>
        <v>467921.52</v>
      </c>
      <c r="N31" s="166">
        <v>0.6</v>
      </c>
      <c r="O31" s="274">
        <v>0</v>
      </c>
      <c r="P31" s="274">
        <v>0</v>
      </c>
      <c r="Q31" s="271">
        <v>8118</v>
      </c>
      <c r="R31" s="271">
        <v>141976.44</v>
      </c>
      <c r="S31" s="136">
        <v>551787.84</v>
      </c>
      <c r="T31" s="260"/>
      <c r="U31" s="260"/>
      <c r="V31" s="260"/>
      <c r="W31" s="261"/>
      <c r="X31" s="261"/>
      <c r="Y31" s="251" t="b">
        <f t="shared" si="0"/>
        <v>1</v>
      </c>
      <c r="Z31" s="262">
        <f t="shared" si="1"/>
        <v>0.6</v>
      </c>
      <c r="AA31" s="20" t="b">
        <f t="shared" si="2"/>
        <v>1</v>
      </c>
      <c r="AB31" s="20" t="b">
        <f t="shared" si="3"/>
        <v>1</v>
      </c>
    </row>
    <row r="32" spans="1:28" ht="30" hidden="1" customHeight="1" x14ac:dyDescent="0.3">
      <c r="A32" s="257">
        <v>30</v>
      </c>
      <c r="B32" s="151" t="s">
        <v>220</v>
      </c>
      <c r="C32" s="151" t="s">
        <v>68</v>
      </c>
      <c r="D32" s="159" t="s">
        <v>143</v>
      </c>
      <c r="E32" s="281">
        <v>281410</v>
      </c>
      <c r="F32" s="154" t="s">
        <v>104</v>
      </c>
      <c r="G32" s="189" t="s">
        <v>221</v>
      </c>
      <c r="H32" s="151" t="s">
        <v>85</v>
      </c>
      <c r="I32" s="161">
        <v>0.501</v>
      </c>
      <c r="J32" s="162" t="s">
        <v>222</v>
      </c>
      <c r="K32" s="137">
        <v>1049328.45</v>
      </c>
      <c r="L32" s="270">
        <v>629597.06999999995</v>
      </c>
      <c r="M32" s="136">
        <f t="shared" si="5"/>
        <v>419731.38</v>
      </c>
      <c r="N32" s="166">
        <v>0.6</v>
      </c>
      <c r="O32" s="274">
        <v>0</v>
      </c>
      <c r="P32" s="274">
        <v>0</v>
      </c>
      <c r="Q32" s="271">
        <v>200926.75</v>
      </c>
      <c r="R32" s="271">
        <v>87061.86</v>
      </c>
      <c r="S32" s="136">
        <v>259255.04000000001</v>
      </c>
      <c r="T32" s="271">
        <v>82353.42</v>
      </c>
      <c r="U32" s="260"/>
      <c r="V32" s="260"/>
      <c r="W32" s="261"/>
      <c r="X32" s="261"/>
      <c r="Y32" s="251" t="b">
        <f t="shared" si="0"/>
        <v>1</v>
      </c>
      <c r="Z32" s="262">
        <f t="shared" si="1"/>
        <v>0.6</v>
      </c>
      <c r="AA32" s="20" t="b">
        <f t="shared" si="2"/>
        <v>1</v>
      </c>
      <c r="AB32" s="20" t="b">
        <f t="shared" si="3"/>
        <v>1</v>
      </c>
    </row>
    <row r="33" spans="1:28" ht="38.4" hidden="1" customHeight="1" x14ac:dyDescent="0.3">
      <c r="A33" s="257">
        <v>31</v>
      </c>
      <c r="B33" s="151" t="s">
        <v>223</v>
      </c>
      <c r="C33" s="151" t="s">
        <v>68</v>
      </c>
      <c r="D33" s="159" t="s">
        <v>224</v>
      </c>
      <c r="E33" s="257">
        <v>281404</v>
      </c>
      <c r="F33" s="154" t="s">
        <v>104</v>
      </c>
      <c r="G33" s="189" t="s">
        <v>225</v>
      </c>
      <c r="H33" s="151" t="s">
        <v>85</v>
      </c>
      <c r="I33" s="161">
        <v>2.4279999999999999</v>
      </c>
      <c r="J33" s="162" t="s">
        <v>226</v>
      </c>
      <c r="K33" s="137">
        <v>9556034.7699999996</v>
      </c>
      <c r="L33" s="270">
        <v>4682457.04</v>
      </c>
      <c r="M33" s="136">
        <f t="shared" si="5"/>
        <v>4873577.7299999995</v>
      </c>
      <c r="N33" s="166">
        <v>0.5</v>
      </c>
      <c r="O33" s="274">
        <v>0</v>
      </c>
      <c r="P33" s="274">
        <v>0</v>
      </c>
      <c r="Q33" s="192">
        <v>0</v>
      </c>
      <c r="R33" s="271">
        <v>1048557</v>
      </c>
      <c r="S33" s="136">
        <v>2179721</v>
      </c>
      <c r="T33" s="271">
        <v>1454179.04</v>
      </c>
      <c r="U33" s="260"/>
      <c r="V33" s="260"/>
      <c r="W33" s="261"/>
      <c r="X33" s="261"/>
      <c r="Y33" s="251" t="b">
        <f t="shared" si="0"/>
        <v>1</v>
      </c>
      <c r="Z33" s="262">
        <f t="shared" si="1"/>
        <v>0.49</v>
      </c>
      <c r="AA33" s="20" t="b">
        <f t="shared" si="2"/>
        <v>0</v>
      </c>
      <c r="AB33" s="20" t="b">
        <f t="shared" si="3"/>
        <v>1</v>
      </c>
    </row>
    <row r="34" spans="1:28" ht="42" hidden="1" customHeight="1" x14ac:dyDescent="0.3">
      <c r="A34" s="257">
        <v>32</v>
      </c>
      <c r="B34" s="151" t="s">
        <v>227</v>
      </c>
      <c r="C34" s="151" t="s">
        <v>68</v>
      </c>
      <c r="D34" s="159" t="s">
        <v>176</v>
      </c>
      <c r="E34" s="257">
        <v>281405</v>
      </c>
      <c r="F34" s="154" t="s">
        <v>104</v>
      </c>
      <c r="G34" s="189" t="s">
        <v>228</v>
      </c>
      <c r="H34" s="151" t="s">
        <v>85</v>
      </c>
      <c r="I34" s="161">
        <v>0.84499999999999997</v>
      </c>
      <c r="J34" s="162" t="s">
        <v>229</v>
      </c>
      <c r="K34" s="137">
        <v>935585.16</v>
      </c>
      <c r="L34" s="270">
        <v>467792.58</v>
      </c>
      <c r="M34" s="136">
        <f t="shared" si="5"/>
        <v>467792.58</v>
      </c>
      <c r="N34" s="166">
        <v>0.5</v>
      </c>
      <c r="O34" s="274">
        <v>0</v>
      </c>
      <c r="P34" s="274">
        <v>0</v>
      </c>
      <c r="Q34" s="271">
        <v>47615</v>
      </c>
      <c r="R34" s="271">
        <v>126813.5</v>
      </c>
      <c r="S34" s="136">
        <v>293364.08</v>
      </c>
      <c r="T34" s="260"/>
      <c r="U34" s="260"/>
      <c r="V34" s="260"/>
      <c r="W34" s="261"/>
      <c r="X34" s="261"/>
      <c r="Y34" s="251" t="b">
        <f t="shared" si="0"/>
        <v>1</v>
      </c>
      <c r="Z34" s="262">
        <f t="shared" si="1"/>
        <v>0.5</v>
      </c>
      <c r="AA34" s="20" t="b">
        <f t="shared" si="2"/>
        <v>1</v>
      </c>
      <c r="AB34" s="20" t="b">
        <f t="shared" si="3"/>
        <v>1</v>
      </c>
    </row>
    <row r="35" spans="1:28" ht="30" hidden="1" customHeight="1" x14ac:dyDescent="0.3">
      <c r="A35" s="257">
        <v>33</v>
      </c>
      <c r="B35" s="151" t="s">
        <v>230</v>
      </c>
      <c r="C35" s="151" t="s">
        <v>68</v>
      </c>
      <c r="D35" s="159" t="s">
        <v>231</v>
      </c>
      <c r="E35" s="257">
        <v>281603</v>
      </c>
      <c r="F35" s="154" t="s">
        <v>232</v>
      </c>
      <c r="G35" s="189" t="s">
        <v>233</v>
      </c>
      <c r="H35" s="151" t="s">
        <v>80</v>
      </c>
      <c r="I35" s="161">
        <v>1.095</v>
      </c>
      <c r="J35" s="162" t="s">
        <v>234</v>
      </c>
      <c r="K35" s="137">
        <v>5172500</v>
      </c>
      <c r="L35" s="270">
        <v>3103500</v>
      </c>
      <c r="M35" s="136">
        <f t="shared" si="5"/>
        <v>2069000</v>
      </c>
      <c r="N35" s="166">
        <v>0.6</v>
      </c>
      <c r="O35" s="274">
        <v>0</v>
      </c>
      <c r="P35" s="274">
        <v>0</v>
      </c>
      <c r="Q35" s="192">
        <v>0</v>
      </c>
      <c r="R35" s="271">
        <v>1800</v>
      </c>
      <c r="S35" s="137">
        <v>1531960.51</v>
      </c>
      <c r="T35" s="139">
        <v>1569739.49</v>
      </c>
      <c r="U35" s="260"/>
      <c r="V35" s="260"/>
      <c r="W35" s="261"/>
      <c r="X35" s="261"/>
      <c r="Y35" s="251" t="b">
        <f t="shared" si="0"/>
        <v>1</v>
      </c>
      <c r="Z35" s="262">
        <f t="shared" si="1"/>
        <v>0.6</v>
      </c>
      <c r="AA35" s="20" t="b">
        <f t="shared" si="2"/>
        <v>1</v>
      </c>
      <c r="AB35" s="20" t="b">
        <f t="shared" si="3"/>
        <v>1</v>
      </c>
    </row>
    <row r="36" spans="1:28" ht="30" hidden="1" customHeight="1" x14ac:dyDescent="0.3">
      <c r="A36" s="257">
        <v>34</v>
      </c>
      <c r="B36" s="151" t="s">
        <v>235</v>
      </c>
      <c r="C36" s="151" t="s">
        <v>68</v>
      </c>
      <c r="D36" s="159" t="s">
        <v>224</v>
      </c>
      <c r="E36" s="257">
        <v>281404</v>
      </c>
      <c r="F36" s="154" t="s">
        <v>104</v>
      </c>
      <c r="G36" s="189" t="s">
        <v>236</v>
      </c>
      <c r="H36" s="151" t="s">
        <v>80</v>
      </c>
      <c r="I36" s="161">
        <v>2.2029999999999998</v>
      </c>
      <c r="J36" s="162" t="s">
        <v>237</v>
      </c>
      <c r="K36" s="137">
        <v>10189599.890000001</v>
      </c>
      <c r="L36" s="270">
        <v>5094799.95</v>
      </c>
      <c r="M36" s="136">
        <f t="shared" si="5"/>
        <v>5094799.9400000004</v>
      </c>
      <c r="N36" s="166">
        <v>0.5</v>
      </c>
      <c r="O36" s="274">
        <v>0</v>
      </c>
      <c r="P36" s="274">
        <v>0</v>
      </c>
      <c r="Q36" s="192">
        <v>0</v>
      </c>
      <c r="R36" s="271">
        <v>191766.15</v>
      </c>
      <c r="S36" s="137">
        <v>1979885.33</v>
      </c>
      <c r="T36" s="139">
        <v>2923148.47</v>
      </c>
      <c r="U36" s="260"/>
      <c r="V36" s="260"/>
      <c r="W36" s="261"/>
      <c r="X36" s="261"/>
      <c r="Y36" s="251" t="b">
        <f t="shared" si="0"/>
        <v>1</v>
      </c>
      <c r="Z36" s="262">
        <f t="shared" si="1"/>
        <v>0.5</v>
      </c>
      <c r="AA36" s="20" t="b">
        <f t="shared" si="2"/>
        <v>1</v>
      </c>
      <c r="AB36" s="20" t="b">
        <f t="shared" si="3"/>
        <v>1</v>
      </c>
    </row>
    <row r="37" spans="1:28" ht="37.5" hidden="1" customHeight="1" x14ac:dyDescent="0.3">
      <c r="A37" s="257">
        <v>35</v>
      </c>
      <c r="B37" s="151" t="s">
        <v>238</v>
      </c>
      <c r="C37" s="151" t="s">
        <v>68</v>
      </c>
      <c r="D37" s="159" t="s">
        <v>231</v>
      </c>
      <c r="E37" s="257">
        <v>281603</v>
      </c>
      <c r="F37" s="154" t="s">
        <v>232</v>
      </c>
      <c r="G37" s="189" t="s">
        <v>239</v>
      </c>
      <c r="H37" s="151" t="s">
        <v>80</v>
      </c>
      <c r="I37" s="161">
        <v>2.15</v>
      </c>
      <c r="J37" s="162" t="s">
        <v>234</v>
      </c>
      <c r="K37" s="137">
        <v>3406067.93</v>
      </c>
      <c r="L37" s="270">
        <v>2043640.76</v>
      </c>
      <c r="M37" s="136">
        <f t="shared" si="5"/>
        <v>1362427.1700000002</v>
      </c>
      <c r="N37" s="166">
        <v>0.6</v>
      </c>
      <c r="O37" s="274">
        <v>0</v>
      </c>
      <c r="P37" s="274">
        <v>0</v>
      </c>
      <c r="Q37" s="192">
        <v>0</v>
      </c>
      <c r="R37" s="192">
        <v>1800</v>
      </c>
      <c r="S37" s="137">
        <v>1015382.41</v>
      </c>
      <c r="T37" s="139">
        <v>1026458.35</v>
      </c>
      <c r="U37" s="260"/>
      <c r="V37" s="260"/>
      <c r="W37" s="261"/>
      <c r="X37" s="261"/>
      <c r="Y37" s="251" t="b">
        <f t="shared" si="0"/>
        <v>1</v>
      </c>
      <c r="Z37" s="262">
        <f t="shared" si="1"/>
        <v>0.6</v>
      </c>
      <c r="AA37" s="20" t="b">
        <f t="shared" si="2"/>
        <v>1</v>
      </c>
      <c r="AB37" s="20" t="b">
        <f t="shared" si="3"/>
        <v>1</v>
      </c>
    </row>
    <row r="38" spans="1:28" ht="30" hidden="1" customHeight="1" x14ac:dyDescent="0.3">
      <c r="A38" s="257">
        <v>36</v>
      </c>
      <c r="B38" s="151" t="s">
        <v>240</v>
      </c>
      <c r="C38" s="151" t="s">
        <v>68</v>
      </c>
      <c r="D38" s="159" t="s">
        <v>241</v>
      </c>
      <c r="E38" s="257">
        <v>281402</v>
      </c>
      <c r="F38" s="154" t="s">
        <v>104</v>
      </c>
      <c r="G38" s="189" t="s">
        <v>242</v>
      </c>
      <c r="H38" s="151" t="s">
        <v>85</v>
      </c>
      <c r="I38" s="161">
        <v>0.255</v>
      </c>
      <c r="J38" s="162" t="s">
        <v>243</v>
      </c>
      <c r="K38" s="137">
        <v>2371070</v>
      </c>
      <c r="L38" s="270">
        <v>1185535</v>
      </c>
      <c r="M38" s="136">
        <f t="shared" si="5"/>
        <v>1185535</v>
      </c>
      <c r="N38" s="166">
        <v>0.5</v>
      </c>
      <c r="O38" s="274">
        <v>0</v>
      </c>
      <c r="P38" s="274">
        <v>0</v>
      </c>
      <c r="Q38" s="192">
        <v>0</v>
      </c>
      <c r="R38" s="192">
        <v>0</v>
      </c>
      <c r="S38" s="137">
        <v>1185535</v>
      </c>
      <c r="T38" s="275"/>
      <c r="U38" s="260"/>
      <c r="V38" s="260"/>
      <c r="W38" s="261"/>
      <c r="X38" s="261"/>
      <c r="Y38" s="251" t="b">
        <f t="shared" si="0"/>
        <v>1</v>
      </c>
      <c r="Z38" s="262">
        <f t="shared" si="1"/>
        <v>0.5</v>
      </c>
      <c r="AA38" s="20" t="b">
        <f t="shared" si="2"/>
        <v>1</v>
      </c>
      <c r="AB38" s="20" t="b">
        <f t="shared" si="3"/>
        <v>1</v>
      </c>
    </row>
    <row r="39" spans="1:28" ht="52.5" hidden="1" customHeight="1" x14ac:dyDescent="0.3">
      <c r="A39" s="257">
        <v>37</v>
      </c>
      <c r="B39" s="151" t="s">
        <v>244</v>
      </c>
      <c r="C39" s="151" t="s">
        <v>68</v>
      </c>
      <c r="D39" s="159" t="s">
        <v>180</v>
      </c>
      <c r="E39" s="257">
        <v>281304</v>
      </c>
      <c r="F39" s="154" t="s">
        <v>88</v>
      </c>
      <c r="G39" s="189" t="s">
        <v>245</v>
      </c>
      <c r="H39" s="151" t="s">
        <v>80</v>
      </c>
      <c r="I39" s="161">
        <v>2.427</v>
      </c>
      <c r="J39" s="162" t="s">
        <v>691</v>
      </c>
      <c r="K39" s="137">
        <v>2770952</v>
      </c>
      <c r="L39" s="270">
        <v>1662571.2</v>
      </c>
      <c r="M39" s="136">
        <f t="shared" si="5"/>
        <v>1108380.8</v>
      </c>
      <c r="N39" s="166">
        <v>0.6</v>
      </c>
      <c r="O39" s="274">
        <v>0</v>
      </c>
      <c r="P39" s="274">
        <v>0</v>
      </c>
      <c r="Q39" s="192">
        <v>0</v>
      </c>
      <c r="R39" s="271">
        <v>65937</v>
      </c>
      <c r="S39" s="137">
        <v>1596634.2</v>
      </c>
      <c r="T39" s="260"/>
      <c r="U39" s="260"/>
      <c r="V39" s="260"/>
      <c r="W39" s="261"/>
      <c r="X39" s="261"/>
      <c r="Y39" s="251" t="b">
        <f t="shared" si="0"/>
        <v>1</v>
      </c>
      <c r="Z39" s="262">
        <f t="shared" si="1"/>
        <v>0.6</v>
      </c>
      <c r="AA39" s="20" t="b">
        <f t="shared" si="2"/>
        <v>1</v>
      </c>
      <c r="AB39" s="20" t="b">
        <f t="shared" si="3"/>
        <v>1</v>
      </c>
    </row>
    <row r="40" spans="1:28" ht="51" hidden="1" customHeight="1" x14ac:dyDescent="0.3">
      <c r="A40" s="257">
        <v>38</v>
      </c>
      <c r="B40" s="151" t="s">
        <v>247</v>
      </c>
      <c r="C40" s="151" t="s">
        <v>68</v>
      </c>
      <c r="D40" s="159" t="s">
        <v>241</v>
      </c>
      <c r="E40" s="257">
        <v>281402</v>
      </c>
      <c r="F40" s="154" t="s">
        <v>104</v>
      </c>
      <c r="G40" s="189" t="s">
        <v>248</v>
      </c>
      <c r="H40" s="151" t="s">
        <v>85</v>
      </c>
      <c r="I40" s="161">
        <v>1.6459999999999999</v>
      </c>
      <c r="J40" s="162" t="s">
        <v>692</v>
      </c>
      <c r="K40" s="137">
        <v>8138000</v>
      </c>
      <c r="L40" s="270">
        <v>4069000</v>
      </c>
      <c r="M40" s="136">
        <f t="shared" si="5"/>
        <v>4069000</v>
      </c>
      <c r="N40" s="166">
        <v>0.5</v>
      </c>
      <c r="O40" s="274">
        <v>0</v>
      </c>
      <c r="P40" s="274">
        <v>0</v>
      </c>
      <c r="Q40" s="192">
        <v>0</v>
      </c>
      <c r="R40" s="271">
        <v>52500</v>
      </c>
      <c r="S40" s="137">
        <v>4016500</v>
      </c>
      <c r="T40" s="260"/>
      <c r="U40" s="260"/>
      <c r="V40" s="260"/>
      <c r="W40" s="261"/>
      <c r="X40" s="261"/>
      <c r="Y40" s="251" t="b">
        <f t="shared" ref="Y40:Y87" si="6">L40=SUM(O40:X40)</f>
        <v>1</v>
      </c>
      <c r="Z40" s="262">
        <f t="shared" ref="Z40:Z87" si="7">ROUND(L40/K40,4)</f>
        <v>0.5</v>
      </c>
      <c r="AA40" s="20" t="b">
        <f t="shared" ref="AA40:AA93" si="8">Z40=N40</f>
        <v>1</v>
      </c>
      <c r="AB40" s="20" t="b">
        <f t="shared" ref="AB40:AB87" si="9">K40=L40+M40</f>
        <v>1</v>
      </c>
    </row>
    <row r="41" spans="1:28" ht="25.95" hidden="1" customHeight="1" x14ac:dyDescent="0.3">
      <c r="A41" s="257">
        <v>39</v>
      </c>
      <c r="B41" s="150" t="s">
        <v>250</v>
      </c>
      <c r="C41" s="151" t="s">
        <v>68</v>
      </c>
      <c r="D41" s="185" t="s">
        <v>251</v>
      </c>
      <c r="E41" s="276">
        <v>280101</v>
      </c>
      <c r="F41" s="173" t="s">
        <v>83</v>
      </c>
      <c r="G41" s="186" t="s">
        <v>252</v>
      </c>
      <c r="H41" s="150" t="s">
        <v>85</v>
      </c>
      <c r="I41" s="286">
        <v>0.58099999999999996</v>
      </c>
      <c r="J41" s="286" t="s">
        <v>253</v>
      </c>
      <c r="K41" s="277">
        <v>2381317.7200000002</v>
      </c>
      <c r="L41" s="278">
        <v>1666922.41</v>
      </c>
      <c r="M41" s="188">
        <f t="shared" si="5"/>
        <v>714395.31000000029</v>
      </c>
      <c r="N41" s="179">
        <v>0.7</v>
      </c>
      <c r="O41" s="279">
        <v>0</v>
      </c>
      <c r="P41" s="279">
        <v>0</v>
      </c>
      <c r="Q41" s="193">
        <v>0</v>
      </c>
      <c r="R41" s="280">
        <v>1000153.44</v>
      </c>
      <c r="S41" s="277">
        <v>666768.97</v>
      </c>
      <c r="T41" s="139"/>
      <c r="U41" s="260"/>
      <c r="V41" s="260"/>
      <c r="W41" s="261"/>
      <c r="X41" s="261"/>
      <c r="Y41" s="251" t="b">
        <f t="shared" si="6"/>
        <v>1</v>
      </c>
      <c r="Z41" s="262">
        <f t="shared" si="7"/>
        <v>0.7</v>
      </c>
      <c r="AA41" s="20" t="b">
        <f t="shared" si="8"/>
        <v>1</v>
      </c>
      <c r="AB41" s="20" t="b">
        <f t="shared" si="9"/>
        <v>1</v>
      </c>
    </row>
    <row r="42" spans="1:28" ht="30" hidden="1" customHeight="1" x14ac:dyDescent="0.3">
      <c r="A42" s="257">
        <v>40</v>
      </c>
      <c r="B42" s="150" t="s">
        <v>254</v>
      </c>
      <c r="C42" s="151" t="s">
        <v>68</v>
      </c>
      <c r="D42" s="185" t="s">
        <v>143</v>
      </c>
      <c r="E42" s="276">
        <v>281410</v>
      </c>
      <c r="F42" s="173" t="s">
        <v>104</v>
      </c>
      <c r="G42" s="186" t="s">
        <v>255</v>
      </c>
      <c r="H42" s="150" t="s">
        <v>85</v>
      </c>
      <c r="I42" s="286">
        <v>0.93400000000000005</v>
      </c>
      <c r="J42" s="286" t="s">
        <v>693</v>
      </c>
      <c r="K42" s="277">
        <v>1957400</v>
      </c>
      <c r="L42" s="278">
        <v>978700</v>
      </c>
      <c r="M42" s="188">
        <f t="shared" si="5"/>
        <v>978700</v>
      </c>
      <c r="N42" s="179">
        <v>0.5</v>
      </c>
      <c r="O42" s="279">
        <v>0</v>
      </c>
      <c r="P42" s="279">
        <v>0</v>
      </c>
      <c r="Q42" s="193">
        <v>0</v>
      </c>
      <c r="R42" s="193">
        <v>0</v>
      </c>
      <c r="S42" s="277">
        <v>295970</v>
      </c>
      <c r="T42" s="287">
        <v>682730</v>
      </c>
      <c r="U42" s="260"/>
      <c r="V42" s="260"/>
      <c r="W42" s="261"/>
      <c r="X42" s="261"/>
      <c r="Y42" s="251" t="b">
        <f t="shared" si="6"/>
        <v>1</v>
      </c>
      <c r="Z42" s="262">
        <f t="shared" si="7"/>
        <v>0.5</v>
      </c>
      <c r="AA42" s="20" t="b">
        <f t="shared" si="8"/>
        <v>1</v>
      </c>
      <c r="AB42" s="20" t="b">
        <f t="shared" si="9"/>
        <v>1</v>
      </c>
    </row>
    <row r="43" spans="1:28" ht="45.6" hidden="1" customHeight="1" x14ac:dyDescent="0.3">
      <c r="A43" s="257">
        <v>41</v>
      </c>
      <c r="B43" s="150" t="s">
        <v>256</v>
      </c>
      <c r="C43" s="184" t="s">
        <v>68</v>
      </c>
      <c r="D43" s="185" t="s">
        <v>257</v>
      </c>
      <c r="E43" s="276">
        <v>281509</v>
      </c>
      <c r="F43" s="173" t="s">
        <v>258</v>
      </c>
      <c r="G43" s="186" t="s">
        <v>259</v>
      </c>
      <c r="H43" s="150" t="s">
        <v>85</v>
      </c>
      <c r="I43" s="174">
        <v>1.321</v>
      </c>
      <c r="J43" s="175" t="s">
        <v>260</v>
      </c>
      <c r="K43" s="277">
        <v>2868505</v>
      </c>
      <c r="L43" s="278">
        <v>1434252.5</v>
      </c>
      <c r="M43" s="188">
        <f t="shared" si="5"/>
        <v>1434252.5</v>
      </c>
      <c r="N43" s="179">
        <v>0.5</v>
      </c>
      <c r="O43" s="279">
        <v>0</v>
      </c>
      <c r="P43" s="279">
        <v>0</v>
      </c>
      <c r="Q43" s="193">
        <v>0</v>
      </c>
      <c r="R43" s="280">
        <v>54548</v>
      </c>
      <c r="S43" s="277">
        <v>1379704.5</v>
      </c>
      <c r="T43" s="139"/>
      <c r="U43" s="139"/>
      <c r="V43" s="260"/>
      <c r="W43" s="261"/>
      <c r="X43" s="261"/>
      <c r="Y43" s="251" t="b">
        <f t="shared" si="6"/>
        <v>1</v>
      </c>
      <c r="Z43" s="262">
        <f t="shared" si="7"/>
        <v>0.5</v>
      </c>
      <c r="AA43" s="20" t="b">
        <f t="shared" si="8"/>
        <v>1</v>
      </c>
      <c r="AB43" s="20" t="b">
        <f t="shared" si="9"/>
        <v>1</v>
      </c>
    </row>
    <row r="44" spans="1:28" ht="30" hidden="1" customHeight="1" x14ac:dyDescent="0.3">
      <c r="A44" s="151" t="s">
        <v>806</v>
      </c>
      <c r="B44" s="150" t="s">
        <v>261</v>
      </c>
      <c r="C44" s="184" t="s">
        <v>68</v>
      </c>
      <c r="D44" s="185" t="s">
        <v>262</v>
      </c>
      <c r="E44" s="276">
        <v>280802</v>
      </c>
      <c r="F44" s="173" t="s">
        <v>117</v>
      </c>
      <c r="G44" s="186" t="s">
        <v>263</v>
      </c>
      <c r="H44" s="150" t="s">
        <v>85</v>
      </c>
      <c r="I44" s="174">
        <v>1.95</v>
      </c>
      <c r="J44" s="175" t="s">
        <v>264</v>
      </c>
      <c r="K44" s="277">
        <v>2063883.45</v>
      </c>
      <c r="L44" s="278">
        <v>804629.06</v>
      </c>
      <c r="M44" s="188">
        <f>K44-L44</f>
        <v>1259254.3899999999</v>
      </c>
      <c r="N44" s="179">
        <v>0.6</v>
      </c>
      <c r="O44" s="279">
        <v>0</v>
      </c>
      <c r="P44" s="279">
        <v>0</v>
      </c>
      <c r="Q44" s="193">
        <v>0</v>
      </c>
      <c r="R44" s="280">
        <v>176819.7</v>
      </c>
      <c r="S44" s="277">
        <v>627809.36</v>
      </c>
      <c r="T44" s="287"/>
      <c r="U44" s="287"/>
      <c r="V44" s="260"/>
      <c r="W44" s="261"/>
      <c r="X44" s="261"/>
      <c r="Y44" s="251" t="b">
        <f t="shared" si="6"/>
        <v>1</v>
      </c>
      <c r="Z44" s="262">
        <f t="shared" si="7"/>
        <v>0.38990000000000002</v>
      </c>
      <c r="AA44" s="20" t="b">
        <f t="shared" si="8"/>
        <v>0</v>
      </c>
      <c r="AB44" s="20" t="b">
        <f t="shared" si="9"/>
        <v>1</v>
      </c>
    </row>
    <row r="45" spans="1:28" ht="39.75" hidden="1" customHeight="1" x14ac:dyDescent="0.3">
      <c r="A45" s="151" t="s">
        <v>807</v>
      </c>
      <c r="B45" s="151" t="s">
        <v>265</v>
      </c>
      <c r="C45" s="151" t="s">
        <v>68</v>
      </c>
      <c r="D45" s="159" t="s">
        <v>224</v>
      </c>
      <c r="E45" s="257">
        <v>281404</v>
      </c>
      <c r="F45" s="154" t="s">
        <v>104</v>
      </c>
      <c r="G45" s="189" t="s">
        <v>266</v>
      </c>
      <c r="H45" s="151" t="s">
        <v>85</v>
      </c>
      <c r="I45" s="161">
        <v>1.6140000000000001</v>
      </c>
      <c r="J45" s="162" t="s">
        <v>267</v>
      </c>
      <c r="K45" s="137">
        <v>7714257.21</v>
      </c>
      <c r="L45" s="270">
        <v>3796171.33</v>
      </c>
      <c r="M45" s="136">
        <f t="shared" ref="M45:M51" si="10">K45-L45</f>
        <v>3918085.88</v>
      </c>
      <c r="N45" s="166">
        <v>0.5</v>
      </c>
      <c r="O45" s="274">
        <v>0</v>
      </c>
      <c r="P45" s="274">
        <v>0</v>
      </c>
      <c r="Q45" s="192">
        <v>0</v>
      </c>
      <c r="R45" s="271">
        <v>56592.75</v>
      </c>
      <c r="S45" s="288">
        <v>0</v>
      </c>
      <c r="T45" s="139">
        <v>3224169.58</v>
      </c>
      <c r="U45" s="139">
        <v>515409</v>
      </c>
      <c r="V45" s="260"/>
      <c r="W45" s="261"/>
      <c r="X45" s="261"/>
      <c r="Y45" s="251" t="b">
        <f t="shared" si="6"/>
        <v>1</v>
      </c>
      <c r="Z45" s="262">
        <f t="shared" si="7"/>
        <v>0.49209999999999998</v>
      </c>
      <c r="AA45" s="20" t="b">
        <f t="shared" si="8"/>
        <v>0</v>
      </c>
      <c r="AB45" s="20" t="b">
        <f t="shared" si="9"/>
        <v>1</v>
      </c>
    </row>
    <row r="46" spans="1:28" ht="30" hidden="1" customHeight="1" x14ac:dyDescent="0.3">
      <c r="A46" s="151" t="s">
        <v>808</v>
      </c>
      <c r="B46" s="151" t="s">
        <v>268</v>
      </c>
      <c r="C46" s="151" t="s">
        <v>68</v>
      </c>
      <c r="D46" s="159" t="s">
        <v>269</v>
      </c>
      <c r="E46" s="257">
        <v>281303</v>
      </c>
      <c r="F46" s="154" t="s">
        <v>88</v>
      </c>
      <c r="G46" s="189" t="s">
        <v>270</v>
      </c>
      <c r="H46" s="151" t="s">
        <v>85</v>
      </c>
      <c r="I46" s="161">
        <v>1.7</v>
      </c>
      <c r="J46" s="162" t="s">
        <v>271</v>
      </c>
      <c r="K46" s="137">
        <v>3827000</v>
      </c>
      <c r="L46" s="270">
        <v>36000</v>
      </c>
      <c r="M46" s="136">
        <f t="shared" si="10"/>
        <v>3791000</v>
      </c>
      <c r="N46" s="166">
        <v>0.6</v>
      </c>
      <c r="O46" s="274">
        <v>0</v>
      </c>
      <c r="P46" s="274">
        <v>0</v>
      </c>
      <c r="Q46" s="192">
        <v>0</v>
      </c>
      <c r="R46" s="271">
        <v>36000</v>
      </c>
      <c r="S46" s="288">
        <v>0</v>
      </c>
      <c r="T46" s="260"/>
      <c r="U46" s="260"/>
      <c r="V46" s="260"/>
      <c r="W46" s="261"/>
      <c r="X46" s="261"/>
      <c r="Y46" s="251" t="b">
        <f t="shared" si="6"/>
        <v>1</v>
      </c>
      <c r="Z46" s="262">
        <f t="shared" si="7"/>
        <v>9.4000000000000004E-3</v>
      </c>
      <c r="AA46" s="20" t="b">
        <f t="shared" si="8"/>
        <v>0</v>
      </c>
      <c r="AB46" s="20" t="b">
        <f t="shared" si="9"/>
        <v>1</v>
      </c>
    </row>
    <row r="47" spans="1:28" ht="30" hidden="1" customHeight="1" x14ac:dyDescent="0.3">
      <c r="A47" s="151" t="s">
        <v>809</v>
      </c>
      <c r="B47" s="151" t="s">
        <v>272</v>
      </c>
      <c r="C47" s="151" t="s">
        <v>68</v>
      </c>
      <c r="D47" s="159" t="s">
        <v>273</v>
      </c>
      <c r="E47" s="257">
        <v>281501</v>
      </c>
      <c r="F47" s="154" t="s">
        <v>258</v>
      </c>
      <c r="G47" s="189" t="s">
        <v>274</v>
      </c>
      <c r="H47" s="151" t="s">
        <v>85</v>
      </c>
      <c r="I47" s="161">
        <v>0.76100000000000001</v>
      </c>
      <c r="J47" s="162" t="s">
        <v>275</v>
      </c>
      <c r="K47" s="137">
        <v>2178552</v>
      </c>
      <c r="L47" s="270">
        <v>325482.5</v>
      </c>
      <c r="M47" s="136">
        <f t="shared" si="10"/>
        <v>1853069.5</v>
      </c>
      <c r="N47" s="166">
        <v>0.7</v>
      </c>
      <c r="O47" s="274">
        <v>0</v>
      </c>
      <c r="P47" s="274">
        <v>0</v>
      </c>
      <c r="Q47" s="192">
        <v>0</v>
      </c>
      <c r="R47" s="271">
        <v>325482.5</v>
      </c>
      <c r="S47" s="288">
        <v>0</v>
      </c>
      <c r="T47" s="260"/>
      <c r="U47" s="260"/>
      <c r="V47" s="260"/>
      <c r="W47" s="261"/>
      <c r="X47" s="261"/>
      <c r="Y47" s="251" t="b">
        <f t="shared" si="6"/>
        <v>1</v>
      </c>
      <c r="Z47" s="262">
        <f t="shared" si="7"/>
        <v>0.14940000000000001</v>
      </c>
      <c r="AA47" s="20" t="b">
        <f t="shared" si="8"/>
        <v>0</v>
      </c>
      <c r="AB47" s="20" t="b">
        <f t="shared" si="9"/>
        <v>1</v>
      </c>
    </row>
    <row r="48" spans="1:28" ht="30" hidden="1" customHeight="1" x14ac:dyDescent="0.3">
      <c r="A48" s="151" t="s">
        <v>810</v>
      </c>
      <c r="B48" s="151" t="s">
        <v>276</v>
      </c>
      <c r="C48" s="151" t="s">
        <v>68</v>
      </c>
      <c r="D48" s="159" t="s">
        <v>262</v>
      </c>
      <c r="E48" s="257">
        <v>280802</v>
      </c>
      <c r="F48" s="154" t="s">
        <v>117</v>
      </c>
      <c r="G48" s="189" t="s">
        <v>277</v>
      </c>
      <c r="H48" s="151" t="s">
        <v>85</v>
      </c>
      <c r="I48" s="161">
        <v>1.218</v>
      </c>
      <c r="J48" s="162" t="s">
        <v>264</v>
      </c>
      <c r="K48" s="137">
        <v>657965.5</v>
      </c>
      <c r="L48" s="270">
        <v>45300</v>
      </c>
      <c r="M48" s="136">
        <f t="shared" si="10"/>
        <v>612665.5</v>
      </c>
      <c r="N48" s="166">
        <v>0.6</v>
      </c>
      <c r="O48" s="274">
        <v>0</v>
      </c>
      <c r="P48" s="274">
        <v>0</v>
      </c>
      <c r="Q48" s="192">
        <v>0</v>
      </c>
      <c r="R48" s="271">
        <v>45300</v>
      </c>
      <c r="S48" s="288">
        <v>0</v>
      </c>
      <c r="T48" s="260"/>
      <c r="U48" s="260"/>
      <c r="V48" s="260"/>
      <c r="W48" s="261"/>
      <c r="X48" s="261"/>
      <c r="Y48" s="251" t="b">
        <f t="shared" si="6"/>
        <v>1</v>
      </c>
      <c r="Z48" s="262">
        <f t="shared" si="7"/>
        <v>6.88E-2</v>
      </c>
      <c r="AA48" s="20" t="b">
        <f t="shared" si="8"/>
        <v>0</v>
      </c>
      <c r="AB48" s="20" t="b">
        <f t="shared" si="9"/>
        <v>1</v>
      </c>
    </row>
    <row r="49" spans="1:28" ht="30" hidden="1" customHeight="1" x14ac:dyDescent="0.3">
      <c r="A49" s="151" t="s">
        <v>707</v>
      </c>
      <c r="B49" s="150" t="s">
        <v>278</v>
      </c>
      <c r="C49" s="184" t="s">
        <v>68</v>
      </c>
      <c r="D49" s="185" t="s">
        <v>279</v>
      </c>
      <c r="E49" s="276">
        <v>280304</v>
      </c>
      <c r="F49" s="173" t="s">
        <v>185</v>
      </c>
      <c r="G49" s="186" t="s">
        <v>280</v>
      </c>
      <c r="H49" s="150" t="s">
        <v>85</v>
      </c>
      <c r="I49" s="174">
        <v>1.85</v>
      </c>
      <c r="J49" s="175" t="s">
        <v>281</v>
      </c>
      <c r="K49" s="277">
        <v>2172700</v>
      </c>
      <c r="L49" s="278">
        <v>459612</v>
      </c>
      <c r="M49" s="188">
        <f t="shared" si="10"/>
        <v>1713088</v>
      </c>
      <c r="N49" s="179">
        <v>0.6</v>
      </c>
      <c r="O49" s="279">
        <v>0</v>
      </c>
      <c r="P49" s="279">
        <v>0</v>
      </c>
      <c r="Q49" s="193">
        <v>0</v>
      </c>
      <c r="R49" s="280">
        <v>459612</v>
      </c>
      <c r="S49" s="289">
        <v>0</v>
      </c>
      <c r="T49" s="260"/>
      <c r="U49" s="260"/>
      <c r="V49" s="260"/>
      <c r="W49" s="261"/>
      <c r="X49" s="261"/>
      <c r="Y49" s="251" t="b">
        <f t="shared" si="6"/>
        <v>1</v>
      </c>
      <c r="Z49" s="262">
        <f t="shared" si="7"/>
        <v>0.21149999999999999</v>
      </c>
      <c r="AA49" s="20" t="b">
        <f t="shared" si="8"/>
        <v>0</v>
      </c>
      <c r="AB49" s="20" t="b">
        <f t="shared" si="9"/>
        <v>1</v>
      </c>
    </row>
    <row r="50" spans="1:28" ht="40.950000000000003" hidden="1" customHeight="1" x14ac:dyDescent="0.3">
      <c r="A50" s="151" t="s">
        <v>811</v>
      </c>
      <c r="B50" s="150" t="s">
        <v>282</v>
      </c>
      <c r="C50" s="184" t="s">
        <v>68</v>
      </c>
      <c r="D50" s="185" t="s">
        <v>283</v>
      </c>
      <c r="E50" s="276">
        <v>281703</v>
      </c>
      <c r="F50" s="173" t="s">
        <v>284</v>
      </c>
      <c r="G50" s="186" t="s">
        <v>285</v>
      </c>
      <c r="H50" s="150" t="s">
        <v>85</v>
      </c>
      <c r="I50" s="174">
        <v>1.171</v>
      </c>
      <c r="J50" s="175" t="s">
        <v>286</v>
      </c>
      <c r="K50" s="277">
        <v>1178340</v>
      </c>
      <c r="L50" s="278">
        <v>423120</v>
      </c>
      <c r="M50" s="188">
        <f t="shared" si="10"/>
        <v>755220</v>
      </c>
      <c r="N50" s="179">
        <v>0.5</v>
      </c>
      <c r="O50" s="279">
        <v>0</v>
      </c>
      <c r="P50" s="279">
        <v>0</v>
      </c>
      <c r="Q50" s="193">
        <v>0</v>
      </c>
      <c r="R50" s="280">
        <v>423120</v>
      </c>
      <c r="S50" s="289">
        <v>0</v>
      </c>
      <c r="T50" s="260"/>
      <c r="U50" s="260"/>
      <c r="V50" s="260"/>
      <c r="W50" s="261"/>
      <c r="X50" s="261"/>
      <c r="Y50" s="251" t="b">
        <f t="shared" si="6"/>
        <v>1</v>
      </c>
      <c r="Z50" s="262">
        <f t="shared" si="7"/>
        <v>0.35909999999999997</v>
      </c>
      <c r="AA50" s="20" t="b">
        <f t="shared" si="8"/>
        <v>0</v>
      </c>
      <c r="AB50" s="20" t="b">
        <f t="shared" si="9"/>
        <v>1</v>
      </c>
    </row>
    <row r="51" spans="1:28" ht="30" hidden="1" customHeight="1" x14ac:dyDescent="0.3">
      <c r="A51" s="151" t="s">
        <v>789</v>
      </c>
      <c r="B51" s="150" t="s">
        <v>287</v>
      </c>
      <c r="C51" s="184" t="s">
        <v>68</v>
      </c>
      <c r="D51" s="185" t="s">
        <v>197</v>
      </c>
      <c r="E51" s="276">
        <v>280106</v>
      </c>
      <c r="F51" s="173" t="s">
        <v>83</v>
      </c>
      <c r="G51" s="186" t="s">
        <v>288</v>
      </c>
      <c r="H51" s="150" t="s">
        <v>85</v>
      </c>
      <c r="I51" s="174">
        <v>0.33500000000000002</v>
      </c>
      <c r="J51" s="175" t="s">
        <v>289</v>
      </c>
      <c r="K51" s="277">
        <v>740214</v>
      </c>
      <c r="L51" s="278">
        <v>4065.03</v>
      </c>
      <c r="M51" s="188">
        <f t="shared" si="10"/>
        <v>736148.97</v>
      </c>
      <c r="N51" s="179">
        <v>0.6</v>
      </c>
      <c r="O51" s="279">
        <v>0</v>
      </c>
      <c r="P51" s="279">
        <v>0</v>
      </c>
      <c r="Q51" s="193">
        <v>0</v>
      </c>
      <c r="R51" s="280">
        <v>4065.03</v>
      </c>
      <c r="S51" s="289">
        <v>0</v>
      </c>
      <c r="T51" s="139"/>
      <c r="U51" s="260"/>
      <c r="V51" s="260"/>
      <c r="W51" s="261"/>
      <c r="X51" s="261"/>
      <c r="Y51" s="251" t="b">
        <f t="shared" si="6"/>
        <v>1</v>
      </c>
      <c r="Z51" s="262">
        <f t="shared" si="7"/>
        <v>5.4999999999999997E-3</v>
      </c>
      <c r="AA51" s="20" t="b">
        <f t="shared" si="8"/>
        <v>0</v>
      </c>
      <c r="AB51" s="20" t="b">
        <f t="shared" si="9"/>
        <v>1</v>
      </c>
    </row>
    <row r="52" spans="1:28" ht="30" hidden="1" customHeight="1" x14ac:dyDescent="0.3">
      <c r="A52" s="151" t="s">
        <v>812</v>
      </c>
      <c r="B52" s="151" t="s">
        <v>290</v>
      </c>
      <c r="C52" s="151" t="s">
        <v>68</v>
      </c>
      <c r="D52" s="159" t="s">
        <v>176</v>
      </c>
      <c r="E52" s="257">
        <v>281405</v>
      </c>
      <c r="F52" s="154" t="s">
        <v>104</v>
      </c>
      <c r="G52" s="189" t="s">
        <v>291</v>
      </c>
      <c r="H52" s="151" t="s">
        <v>85</v>
      </c>
      <c r="I52" s="161">
        <v>0.68</v>
      </c>
      <c r="J52" s="162" t="s">
        <v>292</v>
      </c>
      <c r="K52" s="137">
        <v>954517</v>
      </c>
      <c r="L52" s="290">
        <v>0</v>
      </c>
      <c r="M52" s="136">
        <f t="shared" si="5"/>
        <v>954517</v>
      </c>
      <c r="N52" s="166">
        <v>0.5</v>
      </c>
      <c r="O52" s="274">
        <v>0</v>
      </c>
      <c r="P52" s="274">
        <v>0</v>
      </c>
      <c r="Q52" s="192">
        <v>0</v>
      </c>
      <c r="R52" s="192">
        <v>0</v>
      </c>
      <c r="S52" s="288">
        <v>0</v>
      </c>
      <c r="T52" s="139"/>
      <c r="U52" s="260"/>
      <c r="V52" s="260"/>
      <c r="W52" s="261"/>
      <c r="X52" s="261"/>
      <c r="Y52" s="251" t="b">
        <f t="shared" si="6"/>
        <v>1</v>
      </c>
      <c r="Z52" s="262">
        <f t="shared" si="7"/>
        <v>0</v>
      </c>
      <c r="AA52" s="20" t="b">
        <f t="shared" si="8"/>
        <v>0</v>
      </c>
      <c r="AB52" s="20" t="b">
        <f t="shared" si="9"/>
        <v>1</v>
      </c>
    </row>
    <row r="53" spans="1:28" ht="30" hidden="1" customHeight="1" x14ac:dyDescent="0.3">
      <c r="A53" s="151" t="s">
        <v>813</v>
      </c>
      <c r="B53" s="151" t="s">
        <v>293</v>
      </c>
      <c r="C53" s="151" t="s">
        <v>68</v>
      </c>
      <c r="D53" s="159" t="s">
        <v>294</v>
      </c>
      <c r="E53" s="257">
        <v>281406</v>
      </c>
      <c r="F53" s="154" t="s">
        <v>104</v>
      </c>
      <c r="G53" s="189" t="s">
        <v>295</v>
      </c>
      <c r="H53" s="151" t="s">
        <v>71</v>
      </c>
      <c r="I53" s="161">
        <v>4.7270000000000003</v>
      </c>
      <c r="J53" s="162" t="s">
        <v>296</v>
      </c>
      <c r="K53" s="137">
        <v>5008330</v>
      </c>
      <c r="L53" s="270">
        <v>1447149</v>
      </c>
      <c r="M53" s="136">
        <f t="shared" si="5"/>
        <v>3561181</v>
      </c>
      <c r="N53" s="166">
        <v>0.6</v>
      </c>
      <c r="O53" s="274">
        <v>0</v>
      </c>
      <c r="P53" s="274">
        <v>0</v>
      </c>
      <c r="Q53" s="192">
        <v>0</v>
      </c>
      <c r="R53" s="192">
        <v>0</v>
      </c>
      <c r="S53" s="288">
        <v>0</v>
      </c>
      <c r="T53" s="139">
        <v>1447149</v>
      </c>
      <c r="U53" s="260"/>
      <c r="V53" s="260"/>
      <c r="W53" s="261"/>
      <c r="X53" s="261"/>
      <c r="Y53" s="251" t="b">
        <f t="shared" si="6"/>
        <v>1</v>
      </c>
      <c r="Z53" s="262">
        <f t="shared" si="7"/>
        <v>0.28889999999999999</v>
      </c>
      <c r="AA53" s="20" t="b">
        <f t="shared" si="8"/>
        <v>0</v>
      </c>
      <c r="AB53" s="20" t="b">
        <f t="shared" si="9"/>
        <v>1</v>
      </c>
    </row>
    <row r="54" spans="1:28" ht="41.25" hidden="1" customHeight="1" x14ac:dyDescent="0.3">
      <c r="A54" s="151" t="s">
        <v>708</v>
      </c>
      <c r="B54" s="151" t="s">
        <v>297</v>
      </c>
      <c r="C54" s="151" t="s">
        <v>68</v>
      </c>
      <c r="D54" s="159" t="s">
        <v>269</v>
      </c>
      <c r="E54" s="257">
        <v>281303</v>
      </c>
      <c r="F54" s="189" t="s">
        <v>88</v>
      </c>
      <c r="G54" s="189" t="s">
        <v>298</v>
      </c>
      <c r="H54" s="151" t="s">
        <v>85</v>
      </c>
      <c r="I54" s="161">
        <v>0.96</v>
      </c>
      <c r="J54" s="162" t="s">
        <v>299</v>
      </c>
      <c r="K54" s="163">
        <v>907000</v>
      </c>
      <c r="L54" s="164">
        <v>0</v>
      </c>
      <c r="M54" s="165">
        <f t="shared" si="5"/>
        <v>907000</v>
      </c>
      <c r="N54" s="166">
        <v>0.6</v>
      </c>
      <c r="O54" s="167">
        <v>0</v>
      </c>
      <c r="P54" s="167">
        <v>0</v>
      </c>
      <c r="Q54" s="190">
        <v>0</v>
      </c>
      <c r="R54" s="192">
        <v>0</v>
      </c>
      <c r="S54" s="288">
        <v>0</v>
      </c>
      <c r="T54" s="260"/>
      <c r="U54" s="260"/>
      <c r="V54" s="260"/>
      <c r="W54" s="261"/>
      <c r="X54" s="261"/>
      <c r="Y54" s="251" t="b">
        <f t="shared" si="6"/>
        <v>1</v>
      </c>
      <c r="Z54" s="262">
        <f t="shared" si="7"/>
        <v>0</v>
      </c>
      <c r="AA54" s="20" t="b">
        <f t="shared" si="8"/>
        <v>0</v>
      </c>
      <c r="AB54" s="20" t="b">
        <f t="shared" si="9"/>
        <v>1</v>
      </c>
    </row>
    <row r="55" spans="1:28" ht="40.5" hidden="1" customHeight="1" x14ac:dyDescent="0.3">
      <c r="A55" s="151" t="s">
        <v>814</v>
      </c>
      <c r="B55" s="151" t="s">
        <v>300</v>
      </c>
      <c r="C55" s="151" t="s">
        <v>68</v>
      </c>
      <c r="D55" s="159" t="s">
        <v>180</v>
      </c>
      <c r="E55" s="257">
        <v>281304</v>
      </c>
      <c r="F55" s="189" t="s">
        <v>88</v>
      </c>
      <c r="G55" s="189" t="s">
        <v>301</v>
      </c>
      <c r="H55" s="151" t="s">
        <v>80</v>
      </c>
      <c r="I55" s="161">
        <v>3.734</v>
      </c>
      <c r="J55" s="162" t="s">
        <v>246</v>
      </c>
      <c r="K55" s="163">
        <v>4963867</v>
      </c>
      <c r="L55" s="164">
        <v>0</v>
      </c>
      <c r="M55" s="165">
        <f t="shared" si="5"/>
        <v>4963867</v>
      </c>
      <c r="N55" s="166">
        <v>0.7</v>
      </c>
      <c r="O55" s="167">
        <v>0</v>
      </c>
      <c r="P55" s="167">
        <v>0</v>
      </c>
      <c r="Q55" s="190">
        <v>0</v>
      </c>
      <c r="R55" s="192">
        <v>0</v>
      </c>
      <c r="S55" s="288">
        <v>0</v>
      </c>
      <c r="T55" s="260"/>
      <c r="U55" s="260"/>
      <c r="V55" s="260"/>
      <c r="W55" s="261"/>
      <c r="X55" s="261"/>
      <c r="Y55" s="251" t="b">
        <f t="shared" si="6"/>
        <v>1</v>
      </c>
      <c r="Z55" s="262">
        <f t="shared" si="7"/>
        <v>0</v>
      </c>
      <c r="AA55" s="20" t="b">
        <f t="shared" si="8"/>
        <v>0</v>
      </c>
      <c r="AB55" s="20" t="b">
        <f t="shared" si="9"/>
        <v>1</v>
      </c>
    </row>
    <row r="56" spans="1:28" ht="66" hidden="1" customHeight="1" x14ac:dyDescent="0.3">
      <c r="A56" s="151" t="s">
        <v>790</v>
      </c>
      <c r="B56" s="151" t="s">
        <v>302</v>
      </c>
      <c r="C56" s="151" t="s">
        <v>68</v>
      </c>
      <c r="D56" s="159" t="s">
        <v>303</v>
      </c>
      <c r="E56" s="257">
        <v>280803</v>
      </c>
      <c r="F56" s="151" t="s">
        <v>117</v>
      </c>
      <c r="G56" s="189" t="s">
        <v>304</v>
      </c>
      <c r="H56" s="151" t="s">
        <v>85</v>
      </c>
      <c r="I56" s="161">
        <v>0.38100000000000001</v>
      </c>
      <c r="J56" s="162" t="s">
        <v>126</v>
      </c>
      <c r="K56" s="163">
        <v>2360387.89</v>
      </c>
      <c r="L56" s="164">
        <v>0</v>
      </c>
      <c r="M56" s="165">
        <f t="shared" si="5"/>
        <v>2360387.89</v>
      </c>
      <c r="N56" s="166">
        <v>0.6</v>
      </c>
      <c r="O56" s="167">
        <v>0</v>
      </c>
      <c r="P56" s="167">
        <v>0</v>
      </c>
      <c r="Q56" s="190">
        <v>0</v>
      </c>
      <c r="R56" s="192">
        <v>0</v>
      </c>
      <c r="S56" s="288">
        <v>0</v>
      </c>
      <c r="T56" s="260"/>
      <c r="U56" s="260"/>
      <c r="V56" s="260"/>
      <c r="W56" s="261"/>
      <c r="X56" s="261"/>
      <c r="Y56" s="251" t="b">
        <f t="shared" si="6"/>
        <v>1</v>
      </c>
      <c r="Z56" s="262">
        <f t="shared" si="7"/>
        <v>0</v>
      </c>
      <c r="AA56" s="20" t="b">
        <f t="shared" si="8"/>
        <v>0</v>
      </c>
      <c r="AB56" s="20" t="b">
        <f t="shared" si="9"/>
        <v>1</v>
      </c>
    </row>
    <row r="57" spans="1:28" ht="37.200000000000003" hidden="1" customHeight="1" x14ac:dyDescent="0.3">
      <c r="A57" s="151" t="s">
        <v>815</v>
      </c>
      <c r="B57" s="151" t="s">
        <v>305</v>
      </c>
      <c r="C57" s="151" t="s">
        <v>68</v>
      </c>
      <c r="D57" s="159" t="s">
        <v>257</v>
      </c>
      <c r="E57" s="257">
        <v>281509</v>
      </c>
      <c r="F57" s="189" t="s">
        <v>258</v>
      </c>
      <c r="G57" s="189" t="s">
        <v>306</v>
      </c>
      <c r="H57" s="151" t="s">
        <v>85</v>
      </c>
      <c r="I57" s="161">
        <v>2.2759999999999998</v>
      </c>
      <c r="J57" s="162" t="s">
        <v>286</v>
      </c>
      <c r="K57" s="163">
        <v>5361396</v>
      </c>
      <c r="L57" s="164">
        <v>0</v>
      </c>
      <c r="M57" s="165">
        <f t="shared" si="5"/>
        <v>5361396</v>
      </c>
      <c r="N57" s="166">
        <v>0.5</v>
      </c>
      <c r="O57" s="167">
        <v>0</v>
      </c>
      <c r="P57" s="167">
        <v>0</v>
      </c>
      <c r="Q57" s="190">
        <v>0</v>
      </c>
      <c r="R57" s="192">
        <v>0</v>
      </c>
      <c r="S57" s="288">
        <v>0</v>
      </c>
      <c r="T57" s="275"/>
      <c r="U57" s="260"/>
      <c r="V57" s="260"/>
      <c r="W57" s="261"/>
      <c r="X57" s="261"/>
      <c r="Y57" s="251" t="b">
        <f t="shared" si="6"/>
        <v>1</v>
      </c>
      <c r="Z57" s="262">
        <f t="shared" si="7"/>
        <v>0</v>
      </c>
      <c r="AA57" s="20" t="b">
        <f t="shared" si="8"/>
        <v>0</v>
      </c>
      <c r="AB57" s="20" t="b">
        <f t="shared" si="9"/>
        <v>1</v>
      </c>
    </row>
    <row r="58" spans="1:28" ht="30" hidden="1" customHeight="1" x14ac:dyDescent="0.3">
      <c r="A58" s="151" t="s">
        <v>816</v>
      </c>
      <c r="B58" s="151" t="s">
        <v>307</v>
      </c>
      <c r="C58" s="151" t="s">
        <v>68</v>
      </c>
      <c r="D58" s="159" t="s">
        <v>143</v>
      </c>
      <c r="E58" s="257">
        <v>281410</v>
      </c>
      <c r="F58" s="189" t="s">
        <v>104</v>
      </c>
      <c r="G58" s="189" t="s">
        <v>308</v>
      </c>
      <c r="H58" s="151" t="s">
        <v>85</v>
      </c>
      <c r="I58" s="161">
        <v>0.24399999999999999</v>
      </c>
      <c r="J58" s="162" t="s">
        <v>780</v>
      </c>
      <c r="K58" s="163">
        <v>1122128</v>
      </c>
      <c r="L58" s="164">
        <v>390821.8</v>
      </c>
      <c r="M58" s="165">
        <f t="shared" si="5"/>
        <v>731306.2</v>
      </c>
      <c r="N58" s="166">
        <v>0.5</v>
      </c>
      <c r="O58" s="167">
        <v>0</v>
      </c>
      <c r="P58" s="167">
        <v>0</v>
      </c>
      <c r="Q58" s="190">
        <v>0</v>
      </c>
      <c r="R58" s="192">
        <v>0</v>
      </c>
      <c r="S58" s="288">
        <v>0</v>
      </c>
      <c r="T58" s="139">
        <v>390821.8</v>
      </c>
      <c r="U58" s="260"/>
      <c r="V58" s="260"/>
      <c r="W58" s="261"/>
      <c r="X58" s="261"/>
      <c r="Y58" s="251" t="b">
        <f t="shared" si="6"/>
        <v>1</v>
      </c>
      <c r="Z58" s="262">
        <f t="shared" si="7"/>
        <v>0.3483</v>
      </c>
      <c r="AA58" s="20" t="b">
        <f t="shared" si="8"/>
        <v>0</v>
      </c>
      <c r="AB58" s="20" t="b">
        <f t="shared" si="9"/>
        <v>1</v>
      </c>
    </row>
    <row r="59" spans="1:28" ht="39" hidden="1" customHeight="1" x14ac:dyDescent="0.3">
      <c r="A59" s="151" t="s">
        <v>817</v>
      </c>
      <c r="B59" s="151" t="s">
        <v>309</v>
      </c>
      <c r="C59" s="151" t="s">
        <v>68</v>
      </c>
      <c r="D59" s="159" t="s">
        <v>180</v>
      </c>
      <c r="E59" s="257">
        <v>281304</v>
      </c>
      <c r="F59" s="189" t="s">
        <v>88</v>
      </c>
      <c r="G59" s="189" t="s">
        <v>310</v>
      </c>
      <c r="H59" s="151" t="s">
        <v>80</v>
      </c>
      <c r="I59" s="161">
        <v>2.83</v>
      </c>
      <c r="J59" s="162" t="s">
        <v>246</v>
      </c>
      <c r="K59" s="163">
        <v>3436538</v>
      </c>
      <c r="L59" s="164">
        <v>0</v>
      </c>
      <c r="M59" s="165">
        <f t="shared" si="5"/>
        <v>3436538</v>
      </c>
      <c r="N59" s="166">
        <v>0.6</v>
      </c>
      <c r="O59" s="167">
        <v>0</v>
      </c>
      <c r="P59" s="167">
        <v>0</v>
      </c>
      <c r="Q59" s="190">
        <v>0</v>
      </c>
      <c r="R59" s="192">
        <v>0</v>
      </c>
      <c r="S59" s="221">
        <v>0</v>
      </c>
      <c r="T59" s="260"/>
      <c r="U59" s="260"/>
      <c r="V59" s="260"/>
      <c r="W59" s="261"/>
      <c r="X59" s="261"/>
      <c r="Y59" s="251" t="b">
        <f t="shared" si="6"/>
        <v>1</v>
      </c>
      <c r="Z59" s="262">
        <f t="shared" si="7"/>
        <v>0</v>
      </c>
      <c r="AA59" s="20" t="b">
        <f t="shared" si="8"/>
        <v>0</v>
      </c>
      <c r="AB59" s="20" t="b">
        <f t="shared" si="9"/>
        <v>1</v>
      </c>
    </row>
    <row r="60" spans="1:28" ht="41.25" hidden="1" customHeight="1" x14ac:dyDescent="0.3">
      <c r="A60" s="151" t="s">
        <v>818</v>
      </c>
      <c r="B60" s="151" t="s">
        <v>311</v>
      </c>
      <c r="C60" s="151" t="s">
        <v>68</v>
      </c>
      <c r="D60" s="159" t="s">
        <v>269</v>
      </c>
      <c r="E60" s="257">
        <v>281303</v>
      </c>
      <c r="F60" s="189" t="s">
        <v>88</v>
      </c>
      <c r="G60" s="189" t="s">
        <v>312</v>
      </c>
      <c r="H60" s="151" t="s">
        <v>80</v>
      </c>
      <c r="I60" s="161">
        <v>1.157</v>
      </c>
      <c r="J60" s="162" t="s">
        <v>299</v>
      </c>
      <c r="K60" s="163">
        <v>1865000</v>
      </c>
      <c r="L60" s="164">
        <v>0</v>
      </c>
      <c r="M60" s="165">
        <f t="shared" si="5"/>
        <v>1865000</v>
      </c>
      <c r="N60" s="166">
        <v>0.6</v>
      </c>
      <c r="O60" s="167">
        <v>0</v>
      </c>
      <c r="P60" s="167">
        <v>0</v>
      </c>
      <c r="Q60" s="190">
        <v>0</v>
      </c>
      <c r="R60" s="190">
        <v>0</v>
      </c>
      <c r="S60" s="288">
        <v>0</v>
      </c>
      <c r="T60" s="291"/>
      <c r="U60" s="260"/>
      <c r="V60" s="260"/>
      <c r="W60" s="261"/>
      <c r="X60" s="261"/>
      <c r="Y60" s="251" t="b">
        <f t="shared" si="6"/>
        <v>1</v>
      </c>
      <c r="Z60" s="262">
        <f t="shared" si="7"/>
        <v>0</v>
      </c>
      <c r="AA60" s="20" t="b">
        <f t="shared" si="8"/>
        <v>0</v>
      </c>
      <c r="AB60" s="20" t="b">
        <f t="shared" si="9"/>
        <v>1</v>
      </c>
    </row>
    <row r="61" spans="1:28" ht="45" hidden="1" customHeight="1" x14ac:dyDescent="0.3">
      <c r="A61" s="151" t="s">
        <v>819</v>
      </c>
      <c r="B61" s="151" t="s">
        <v>313</v>
      </c>
      <c r="C61" s="151" t="s">
        <v>68</v>
      </c>
      <c r="D61" s="159" t="s">
        <v>231</v>
      </c>
      <c r="E61" s="257">
        <v>281603</v>
      </c>
      <c r="F61" s="189" t="s">
        <v>232</v>
      </c>
      <c r="G61" s="189" t="s">
        <v>314</v>
      </c>
      <c r="H61" s="151" t="s">
        <v>80</v>
      </c>
      <c r="I61" s="161">
        <v>4.5</v>
      </c>
      <c r="J61" s="162" t="s">
        <v>234</v>
      </c>
      <c r="K61" s="163">
        <v>7641318.2599999998</v>
      </c>
      <c r="L61" s="164">
        <v>2319241.48</v>
      </c>
      <c r="M61" s="165">
        <f t="shared" si="5"/>
        <v>5322076.7799999993</v>
      </c>
      <c r="N61" s="166">
        <v>0.6</v>
      </c>
      <c r="O61" s="167">
        <v>0</v>
      </c>
      <c r="P61" s="167">
        <v>0</v>
      </c>
      <c r="Q61" s="190">
        <v>0</v>
      </c>
      <c r="R61" s="192">
        <v>0</v>
      </c>
      <c r="S61" s="288">
        <v>0</v>
      </c>
      <c r="T61" s="139">
        <v>2319241.48</v>
      </c>
      <c r="U61" s="260"/>
      <c r="V61" s="260"/>
      <c r="W61" s="261"/>
      <c r="X61" s="261"/>
      <c r="Y61" s="251" t="b">
        <f t="shared" si="6"/>
        <v>1</v>
      </c>
      <c r="Z61" s="262">
        <f t="shared" si="7"/>
        <v>0.30349999999999999</v>
      </c>
      <c r="AA61" s="20" t="b">
        <f t="shared" si="8"/>
        <v>0</v>
      </c>
      <c r="AB61" s="20" t="b">
        <f t="shared" si="9"/>
        <v>1</v>
      </c>
    </row>
    <row r="62" spans="1:28" ht="30" customHeight="1" x14ac:dyDescent="0.3">
      <c r="A62" s="292">
        <v>60</v>
      </c>
      <c r="B62" s="237" t="s">
        <v>613</v>
      </c>
      <c r="C62" s="228" t="s">
        <v>315</v>
      </c>
      <c r="D62" s="235" t="s">
        <v>614</v>
      </c>
      <c r="E62" s="236" t="s">
        <v>779</v>
      </c>
      <c r="F62" s="237" t="s">
        <v>190</v>
      </c>
      <c r="G62" s="237" t="s">
        <v>615</v>
      </c>
      <c r="H62" s="218" t="s">
        <v>80</v>
      </c>
      <c r="I62" s="231">
        <v>1.7390000000000001</v>
      </c>
      <c r="J62" s="293" t="s">
        <v>529</v>
      </c>
      <c r="K62" s="238">
        <v>12435661</v>
      </c>
      <c r="L62" s="203">
        <f t="shared" ref="L62:L83" si="11">ROUND(K62*N62,2)</f>
        <v>7461396.5999999996</v>
      </c>
      <c r="M62" s="204">
        <f t="shared" ref="M62:M91" si="12">K62-L62</f>
        <v>4974264.4000000004</v>
      </c>
      <c r="N62" s="234">
        <v>0.6</v>
      </c>
      <c r="O62" s="167">
        <v>0</v>
      </c>
      <c r="P62" s="167">
        <v>0</v>
      </c>
      <c r="Q62" s="190">
        <v>0</v>
      </c>
      <c r="R62" s="192">
        <v>0</v>
      </c>
      <c r="S62" s="238">
        <f>SUM(L62)</f>
        <v>7461396.5999999996</v>
      </c>
      <c r="T62" s="260"/>
      <c r="U62" s="260"/>
      <c r="V62" s="260"/>
      <c r="W62" s="261"/>
      <c r="X62" s="261"/>
      <c r="Y62" s="251" t="b">
        <f t="shared" si="6"/>
        <v>1</v>
      </c>
      <c r="Z62" s="262">
        <f t="shared" si="7"/>
        <v>0.6</v>
      </c>
      <c r="AA62" s="20" t="b">
        <f t="shared" si="8"/>
        <v>1</v>
      </c>
      <c r="AB62" s="20" t="b">
        <f t="shared" si="9"/>
        <v>1</v>
      </c>
    </row>
    <row r="63" spans="1:28" ht="30" customHeight="1" x14ac:dyDescent="0.3">
      <c r="A63" s="292">
        <v>61</v>
      </c>
      <c r="B63" s="237" t="s">
        <v>320</v>
      </c>
      <c r="C63" s="228" t="s">
        <v>315</v>
      </c>
      <c r="D63" s="235" t="s">
        <v>321</v>
      </c>
      <c r="E63" s="236" t="s">
        <v>647</v>
      </c>
      <c r="F63" s="237" t="s">
        <v>94</v>
      </c>
      <c r="G63" s="237" t="s">
        <v>322</v>
      </c>
      <c r="H63" s="218" t="s">
        <v>85</v>
      </c>
      <c r="I63" s="231">
        <v>0.70399999999999996</v>
      </c>
      <c r="J63" s="293" t="s">
        <v>323</v>
      </c>
      <c r="K63" s="238">
        <v>7069818</v>
      </c>
      <c r="L63" s="203">
        <f t="shared" si="11"/>
        <v>3534909</v>
      </c>
      <c r="M63" s="204">
        <f t="shared" si="12"/>
        <v>3534909</v>
      </c>
      <c r="N63" s="234">
        <v>0.5</v>
      </c>
      <c r="O63" s="167">
        <v>0</v>
      </c>
      <c r="P63" s="167">
        <v>0</v>
      </c>
      <c r="Q63" s="190">
        <v>0</v>
      </c>
      <c r="R63" s="192">
        <v>0</v>
      </c>
      <c r="S63" s="238">
        <f t="shared" ref="S63:S71" si="13">SUM(L63)</f>
        <v>3534909</v>
      </c>
      <c r="T63" s="260"/>
      <c r="U63" s="260"/>
      <c r="V63" s="260"/>
      <c r="W63" s="261"/>
      <c r="X63" s="261"/>
      <c r="Y63" s="251" t="b">
        <f t="shared" si="6"/>
        <v>1</v>
      </c>
      <c r="Z63" s="262">
        <f t="shared" si="7"/>
        <v>0.5</v>
      </c>
      <c r="AA63" s="20" t="b">
        <f t="shared" si="8"/>
        <v>1</v>
      </c>
      <c r="AB63" s="20" t="b">
        <f t="shared" si="9"/>
        <v>1</v>
      </c>
    </row>
    <row r="64" spans="1:28" ht="31.95" customHeight="1" x14ac:dyDescent="0.3">
      <c r="A64" s="292">
        <v>62</v>
      </c>
      <c r="B64" s="237" t="s">
        <v>437</v>
      </c>
      <c r="C64" s="228" t="s">
        <v>315</v>
      </c>
      <c r="D64" s="235" t="s">
        <v>432</v>
      </c>
      <c r="E64" s="236" t="s">
        <v>648</v>
      </c>
      <c r="F64" s="237" t="s">
        <v>258</v>
      </c>
      <c r="G64" s="237" t="s">
        <v>438</v>
      </c>
      <c r="H64" s="218" t="s">
        <v>85</v>
      </c>
      <c r="I64" s="231">
        <v>0.46500000000000002</v>
      </c>
      <c r="J64" s="293" t="s">
        <v>439</v>
      </c>
      <c r="K64" s="238">
        <v>1489437</v>
      </c>
      <c r="L64" s="203">
        <f t="shared" si="11"/>
        <v>744718.5</v>
      </c>
      <c r="M64" s="204">
        <f t="shared" si="12"/>
        <v>744718.5</v>
      </c>
      <c r="N64" s="234">
        <v>0.5</v>
      </c>
      <c r="O64" s="167">
        <v>0</v>
      </c>
      <c r="P64" s="167">
        <v>0</v>
      </c>
      <c r="Q64" s="190">
        <v>0</v>
      </c>
      <c r="R64" s="192">
        <v>0</v>
      </c>
      <c r="S64" s="238">
        <f t="shared" si="13"/>
        <v>744718.5</v>
      </c>
      <c r="T64" s="260"/>
      <c r="U64" s="260"/>
      <c r="V64" s="260"/>
      <c r="W64" s="261"/>
      <c r="X64" s="261"/>
      <c r="Y64" s="251" t="b">
        <f t="shared" si="6"/>
        <v>1</v>
      </c>
      <c r="Z64" s="262">
        <f t="shared" si="7"/>
        <v>0.5</v>
      </c>
      <c r="AA64" s="20" t="b">
        <f t="shared" si="8"/>
        <v>1</v>
      </c>
      <c r="AB64" s="20" t="b">
        <f t="shared" si="9"/>
        <v>1</v>
      </c>
    </row>
    <row r="65" spans="1:28" ht="31.95" customHeight="1" x14ac:dyDescent="0.3">
      <c r="A65" s="292">
        <v>63</v>
      </c>
      <c r="B65" s="237" t="s">
        <v>542</v>
      </c>
      <c r="C65" s="228" t="s">
        <v>315</v>
      </c>
      <c r="D65" s="235" t="s">
        <v>143</v>
      </c>
      <c r="E65" s="236" t="s">
        <v>649</v>
      </c>
      <c r="F65" s="237" t="s">
        <v>104</v>
      </c>
      <c r="G65" s="237" t="s">
        <v>704</v>
      </c>
      <c r="H65" s="218" t="s">
        <v>85</v>
      </c>
      <c r="I65" s="231">
        <v>1.04</v>
      </c>
      <c r="J65" s="293" t="s">
        <v>541</v>
      </c>
      <c r="K65" s="238">
        <v>5070000</v>
      </c>
      <c r="L65" s="203">
        <f t="shared" si="11"/>
        <v>2535000</v>
      </c>
      <c r="M65" s="204">
        <f t="shared" si="12"/>
        <v>2535000</v>
      </c>
      <c r="N65" s="234">
        <v>0.5</v>
      </c>
      <c r="O65" s="167">
        <v>0</v>
      </c>
      <c r="P65" s="167">
        <v>0</v>
      </c>
      <c r="Q65" s="190">
        <v>0</v>
      </c>
      <c r="R65" s="192">
        <v>0</v>
      </c>
      <c r="S65" s="238">
        <f t="shared" si="13"/>
        <v>2535000</v>
      </c>
      <c r="T65" s="260"/>
      <c r="U65" s="260"/>
      <c r="V65" s="260"/>
      <c r="W65" s="261"/>
      <c r="X65" s="261"/>
      <c r="Y65" s="251" t="b">
        <f t="shared" si="6"/>
        <v>1</v>
      </c>
      <c r="Z65" s="262">
        <f t="shared" si="7"/>
        <v>0.5</v>
      </c>
      <c r="AA65" s="20" t="b">
        <f t="shared" si="8"/>
        <v>1</v>
      </c>
      <c r="AB65" s="20" t="b">
        <f t="shared" si="9"/>
        <v>1</v>
      </c>
    </row>
    <row r="66" spans="1:28" ht="66.75" hidden="1" customHeight="1" x14ac:dyDescent="0.3">
      <c r="A66" s="257" t="s">
        <v>821</v>
      </c>
      <c r="B66" s="189" t="s">
        <v>603</v>
      </c>
      <c r="C66" s="294" t="s">
        <v>111</v>
      </c>
      <c r="D66" s="159" t="s">
        <v>604</v>
      </c>
      <c r="E66" s="160" t="s">
        <v>650</v>
      </c>
      <c r="F66" s="189" t="s">
        <v>112</v>
      </c>
      <c r="G66" s="189" t="s">
        <v>605</v>
      </c>
      <c r="H66" s="151" t="s">
        <v>80</v>
      </c>
      <c r="I66" s="161">
        <v>1.9419999999999999</v>
      </c>
      <c r="J66" s="295" t="s">
        <v>606</v>
      </c>
      <c r="K66" s="296">
        <v>12820838</v>
      </c>
      <c r="L66" s="213">
        <v>4452502.8</v>
      </c>
      <c r="M66" s="214">
        <f t="shared" si="12"/>
        <v>8368335.2000000002</v>
      </c>
      <c r="N66" s="166">
        <v>0.6</v>
      </c>
      <c r="O66" s="167">
        <v>0</v>
      </c>
      <c r="P66" s="167">
        <v>0</v>
      </c>
      <c r="Q66" s="190">
        <v>0</v>
      </c>
      <c r="R66" s="192">
        <v>0</v>
      </c>
      <c r="S66" s="297">
        <v>0</v>
      </c>
      <c r="T66" s="298">
        <v>4452502.8</v>
      </c>
      <c r="U66" s="260"/>
      <c r="V66" s="260"/>
      <c r="W66" s="261"/>
      <c r="X66" s="261"/>
      <c r="Y66" s="251" t="b">
        <f t="shared" si="6"/>
        <v>1</v>
      </c>
      <c r="Z66" s="262">
        <f t="shared" si="7"/>
        <v>0.3473</v>
      </c>
      <c r="AA66" s="20" t="b">
        <f t="shared" si="8"/>
        <v>0</v>
      </c>
      <c r="AB66" s="20" t="b">
        <f t="shared" si="9"/>
        <v>1</v>
      </c>
    </row>
    <row r="67" spans="1:28" ht="41.25" customHeight="1" x14ac:dyDescent="0.3">
      <c r="A67" s="292">
        <v>65</v>
      </c>
      <c r="B67" s="237" t="s">
        <v>381</v>
      </c>
      <c r="C67" s="228" t="s">
        <v>315</v>
      </c>
      <c r="D67" s="235" t="s">
        <v>206</v>
      </c>
      <c r="E67" s="236" t="s">
        <v>651</v>
      </c>
      <c r="F67" s="237" t="s">
        <v>104</v>
      </c>
      <c r="G67" s="237" t="s">
        <v>382</v>
      </c>
      <c r="H67" s="218" t="s">
        <v>85</v>
      </c>
      <c r="I67" s="231">
        <v>1.4450000000000001</v>
      </c>
      <c r="J67" s="293" t="s">
        <v>374</v>
      </c>
      <c r="K67" s="238">
        <v>1722000</v>
      </c>
      <c r="L67" s="203">
        <f t="shared" si="11"/>
        <v>861000</v>
      </c>
      <c r="M67" s="204">
        <f t="shared" si="12"/>
        <v>861000</v>
      </c>
      <c r="N67" s="234">
        <v>0.5</v>
      </c>
      <c r="O67" s="167">
        <v>0</v>
      </c>
      <c r="P67" s="167">
        <v>0</v>
      </c>
      <c r="Q67" s="190">
        <v>0</v>
      </c>
      <c r="R67" s="192">
        <v>0</v>
      </c>
      <c r="S67" s="238">
        <f t="shared" si="13"/>
        <v>861000</v>
      </c>
      <c r="T67" s="260"/>
      <c r="U67" s="260"/>
      <c r="V67" s="260"/>
      <c r="W67" s="261"/>
      <c r="X67" s="261"/>
      <c r="Y67" s="251" t="b">
        <f t="shared" si="6"/>
        <v>1</v>
      </c>
      <c r="Z67" s="262">
        <f t="shared" si="7"/>
        <v>0.5</v>
      </c>
      <c r="AA67" s="20" t="b">
        <f t="shared" si="8"/>
        <v>1</v>
      </c>
      <c r="AB67" s="20" t="b">
        <f t="shared" si="9"/>
        <v>1</v>
      </c>
    </row>
    <row r="68" spans="1:28" ht="28.95" customHeight="1" x14ac:dyDescent="0.3">
      <c r="A68" s="292">
        <v>66</v>
      </c>
      <c r="B68" s="237" t="s">
        <v>367</v>
      </c>
      <c r="C68" s="228" t="s">
        <v>315</v>
      </c>
      <c r="D68" s="235" t="s">
        <v>356</v>
      </c>
      <c r="E68" s="236" t="s">
        <v>652</v>
      </c>
      <c r="F68" s="237" t="s">
        <v>112</v>
      </c>
      <c r="G68" s="237" t="s">
        <v>368</v>
      </c>
      <c r="H68" s="218" t="s">
        <v>85</v>
      </c>
      <c r="I68" s="231">
        <v>1.9450000000000001</v>
      </c>
      <c r="J68" s="293" t="s">
        <v>358</v>
      </c>
      <c r="K68" s="238">
        <v>1544736</v>
      </c>
      <c r="L68" s="203">
        <f t="shared" si="11"/>
        <v>772368</v>
      </c>
      <c r="M68" s="204">
        <f t="shared" si="12"/>
        <v>772368</v>
      </c>
      <c r="N68" s="234">
        <v>0.5</v>
      </c>
      <c r="O68" s="167">
        <v>0</v>
      </c>
      <c r="P68" s="167">
        <v>0</v>
      </c>
      <c r="Q68" s="190">
        <v>0</v>
      </c>
      <c r="R68" s="192">
        <v>0</v>
      </c>
      <c r="S68" s="238">
        <f t="shared" si="13"/>
        <v>772368</v>
      </c>
      <c r="T68" s="260"/>
      <c r="U68" s="260"/>
      <c r="V68" s="260"/>
      <c r="W68" s="261"/>
      <c r="X68" s="261"/>
      <c r="Y68" s="251" t="b">
        <f t="shared" si="6"/>
        <v>1</v>
      </c>
      <c r="Z68" s="262">
        <f t="shared" si="7"/>
        <v>0.5</v>
      </c>
      <c r="AA68" s="20" t="b">
        <f t="shared" si="8"/>
        <v>1</v>
      </c>
      <c r="AB68" s="20" t="b">
        <f t="shared" si="9"/>
        <v>1</v>
      </c>
    </row>
    <row r="69" spans="1:28" ht="24.75" customHeight="1" x14ac:dyDescent="0.3">
      <c r="A69" s="292">
        <v>67</v>
      </c>
      <c r="B69" s="237" t="s">
        <v>617</v>
      </c>
      <c r="C69" s="228" t="s">
        <v>315</v>
      </c>
      <c r="D69" s="235" t="s">
        <v>231</v>
      </c>
      <c r="E69" s="236" t="s">
        <v>653</v>
      </c>
      <c r="F69" s="237" t="s">
        <v>232</v>
      </c>
      <c r="G69" s="237" t="s">
        <v>618</v>
      </c>
      <c r="H69" s="218" t="s">
        <v>71</v>
      </c>
      <c r="I69" s="231">
        <v>0.42799999999999999</v>
      </c>
      <c r="J69" s="293" t="s">
        <v>616</v>
      </c>
      <c r="K69" s="238">
        <v>5037113</v>
      </c>
      <c r="L69" s="203">
        <f t="shared" si="11"/>
        <v>2518556.5</v>
      </c>
      <c r="M69" s="204">
        <f t="shared" si="12"/>
        <v>2518556.5</v>
      </c>
      <c r="N69" s="234">
        <v>0.5</v>
      </c>
      <c r="O69" s="167">
        <v>0</v>
      </c>
      <c r="P69" s="167">
        <v>0</v>
      </c>
      <c r="Q69" s="190">
        <v>0</v>
      </c>
      <c r="R69" s="192">
        <v>0</v>
      </c>
      <c r="S69" s="238">
        <f t="shared" si="13"/>
        <v>2518556.5</v>
      </c>
      <c r="T69" s="260"/>
      <c r="U69" s="260"/>
      <c r="V69" s="260"/>
      <c r="W69" s="261"/>
      <c r="X69" s="261"/>
      <c r="Y69" s="251" t="b">
        <f t="shared" si="6"/>
        <v>1</v>
      </c>
      <c r="Z69" s="262">
        <f t="shared" si="7"/>
        <v>0.5</v>
      </c>
      <c r="AA69" s="20" t="b">
        <f t="shared" si="8"/>
        <v>1</v>
      </c>
      <c r="AB69" s="20" t="b">
        <f t="shared" si="9"/>
        <v>1</v>
      </c>
    </row>
    <row r="70" spans="1:28" ht="28.95" customHeight="1" x14ac:dyDescent="0.3">
      <c r="A70" s="292">
        <v>68</v>
      </c>
      <c r="B70" s="237" t="s">
        <v>516</v>
      </c>
      <c r="C70" s="228" t="s">
        <v>315</v>
      </c>
      <c r="D70" s="235" t="s">
        <v>517</v>
      </c>
      <c r="E70" s="236" t="s">
        <v>654</v>
      </c>
      <c r="F70" s="237" t="s">
        <v>185</v>
      </c>
      <c r="G70" s="237" t="s">
        <v>518</v>
      </c>
      <c r="H70" s="218" t="s">
        <v>85</v>
      </c>
      <c r="I70" s="231">
        <v>0.39400000000000002</v>
      </c>
      <c r="J70" s="293" t="s">
        <v>467</v>
      </c>
      <c r="K70" s="238">
        <v>2370706</v>
      </c>
      <c r="L70" s="203">
        <f t="shared" si="11"/>
        <v>1422423.6</v>
      </c>
      <c r="M70" s="204">
        <f t="shared" si="12"/>
        <v>948282.39999999991</v>
      </c>
      <c r="N70" s="234">
        <v>0.6</v>
      </c>
      <c r="O70" s="167">
        <v>0</v>
      </c>
      <c r="P70" s="167">
        <v>0</v>
      </c>
      <c r="Q70" s="190">
        <v>0</v>
      </c>
      <c r="R70" s="192">
        <v>0</v>
      </c>
      <c r="S70" s="238">
        <f t="shared" si="13"/>
        <v>1422423.6</v>
      </c>
      <c r="T70" s="260"/>
      <c r="U70" s="260"/>
      <c r="V70" s="260"/>
      <c r="W70" s="261"/>
      <c r="X70" s="261"/>
      <c r="Y70" s="251" t="b">
        <f t="shared" si="6"/>
        <v>1</v>
      </c>
      <c r="Z70" s="262">
        <f t="shared" si="7"/>
        <v>0.6</v>
      </c>
      <c r="AA70" s="20" t="b">
        <f t="shared" si="8"/>
        <v>1</v>
      </c>
      <c r="AB70" s="20" t="b">
        <f t="shared" si="9"/>
        <v>1</v>
      </c>
    </row>
    <row r="71" spans="1:28" ht="48.75" customHeight="1" x14ac:dyDescent="0.3">
      <c r="A71" s="292">
        <v>69</v>
      </c>
      <c r="B71" s="237" t="s">
        <v>388</v>
      </c>
      <c r="C71" s="228" t="s">
        <v>315</v>
      </c>
      <c r="D71" s="235" t="s">
        <v>384</v>
      </c>
      <c r="E71" s="236" t="s">
        <v>655</v>
      </c>
      <c r="F71" s="237" t="s">
        <v>385</v>
      </c>
      <c r="G71" s="237" t="s">
        <v>389</v>
      </c>
      <c r="H71" s="218" t="s">
        <v>80</v>
      </c>
      <c r="I71" s="231">
        <v>0.94399999999999995</v>
      </c>
      <c r="J71" s="293" t="s">
        <v>387</v>
      </c>
      <c r="K71" s="238">
        <v>3321698</v>
      </c>
      <c r="L71" s="203">
        <f t="shared" si="11"/>
        <v>1993018.8</v>
      </c>
      <c r="M71" s="204">
        <f t="shared" si="12"/>
        <v>1328679.2</v>
      </c>
      <c r="N71" s="234">
        <v>0.6</v>
      </c>
      <c r="O71" s="167">
        <v>0</v>
      </c>
      <c r="P71" s="167">
        <v>0</v>
      </c>
      <c r="Q71" s="190">
        <v>0</v>
      </c>
      <c r="R71" s="192">
        <v>0</v>
      </c>
      <c r="S71" s="238">
        <f t="shared" si="13"/>
        <v>1993018.8</v>
      </c>
      <c r="T71" s="260"/>
      <c r="U71" s="260"/>
      <c r="V71" s="260"/>
      <c r="W71" s="261"/>
      <c r="X71" s="261"/>
      <c r="Y71" s="251" t="b">
        <f t="shared" si="6"/>
        <v>1</v>
      </c>
      <c r="Z71" s="262">
        <f t="shared" si="7"/>
        <v>0.6</v>
      </c>
      <c r="AA71" s="20" t="b">
        <f t="shared" si="8"/>
        <v>1</v>
      </c>
      <c r="AB71" s="20" t="b">
        <f t="shared" si="9"/>
        <v>1</v>
      </c>
    </row>
    <row r="72" spans="1:28" ht="44.4" hidden="1" customHeight="1" x14ac:dyDescent="0.3">
      <c r="A72" s="257" t="s">
        <v>822</v>
      </c>
      <c r="B72" s="189" t="s">
        <v>552</v>
      </c>
      <c r="C72" s="294" t="s">
        <v>111</v>
      </c>
      <c r="D72" s="159" t="s">
        <v>550</v>
      </c>
      <c r="E72" s="160" t="s">
        <v>702</v>
      </c>
      <c r="F72" s="189" t="s">
        <v>83</v>
      </c>
      <c r="G72" s="189" t="s">
        <v>553</v>
      </c>
      <c r="H72" s="151" t="s">
        <v>85</v>
      </c>
      <c r="I72" s="161">
        <v>1.946</v>
      </c>
      <c r="J72" s="295" t="s">
        <v>551</v>
      </c>
      <c r="K72" s="296">
        <v>2008633</v>
      </c>
      <c r="L72" s="213">
        <v>500000</v>
      </c>
      <c r="M72" s="214">
        <f t="shared" si="12"/>
        <v>1508633</v>
      </c>
      <c r="N72" s="166">
        <v>0.5</v>
      </c>
      <c r="O72" s="167">
        <v>0</v>
      </c>
      <c r="P72" s="167">
        <v>0</v>
      </c>
      <c r="Q72" s="190">
        <v>0</v>
      </c>
      <c r="R72" s="192">
        <v>0</v>
      </c>
      <c r="S72" s="297">
        <v>0</v>
      </c>
      <c r="T72" s="298">
        <v>500000</v>
      </c>
      <c r="U72" s="299"/>
      <c r="V72" s="299"/>
      <c r="W72" s="300"/>
      <c r="X72" s="300"/>
      <c r="Y72" s="251" t="b">
        <f t="shared" si="6"/>
        <v>1</v>
      </c>
      <c r="Z72" s="262">
        <f t="shared" si="7"/>
        <v>0.24890000000000001</v>
      </c>
      <c r="AA72" s="20" t="b">
        <f t="shared" si="8"/>
        <v>0</v>
      </c>
      <c r="AB72" s="20" t="b">
        <f t="shared" si="9"/>
        <v>1</v>
      </c>
    </row>
    <row r="73" spans="1:28" ht="44.4" hidden="1" customHeight="1" x14ac:dyDescent="0.3">
      <c r="A73" s="257" t="s">
        <v>820</v>
      </c>
      <c r="B73" s="189" t="s">
        <v>554</v>
      </c>
      <c r="C73" s="294" t="s">
        <v>111</v>
      </c>
      <c r="D73" s="159" t="s">
        <v>550</v>
      </c>
      <c r="E73" s="160" t="s">
        <v>702</v>
      </c>
      <c r="F73" s="189" t="s">
        <v>83</v>
      </c>
      <c r="G73" s="189" t="s">
        <v>555</v>
      </c>
      <c r="H73" s="151" t="s">
        <v>85</v>
      </c>
      <c r="I73" s="161">
        <v>2.056</v>
      </c>
      <c r="J73" s="295" t="s">
        <v>551</v>
      </c>
      <c r="K73" s="296">
        <v>3059342</v>
      </c>
      <c r="L73" s="213">
        <v>750000</v>
      </c>
      <c r="M73" s="214">
        <f t="shared" si="12"/>
        <v>2309342</v>
      </c>
      <c r="N73" s="166">
        <v>0.5</v>
      </c>
      <c r="O73" s="167">
        <v>0</v>
      </c>
      <c r="P73" s="167">
        <v>0</v>
      </c>
      <c r="Q73" s="190">
        <v>0</v>
      </c>
      <c r="R73" s="192">
        <v>0</v>
      </c>
      <c r="S73" s="297">
        <v>0</v>
      </c>
      <c r="T73" s="298">
        <v>750000</v>
      </c>
      <c r="U73" s="299"/>
      <c r="V73" s="299"/>
      <c r="W73" s="300"/>
      <c r="X73" s="300"/>
      <c r="Y73" s="251" t="b">
        <f t="shared" si="6"/>
        <v>1</v>
      </c>
      <c r="Z73" s="262">
        <f t="shared" si="7"/>
        <v>0.2452</v>
      </c>
      <c r="AA73" s="20" t="b">
        <f t="shared" si="8"/>
        <v>0</v>
      </c>
      <c r="AB73" s="20" t="b">
        <f t="shared" si="9"/>
        <v>1</v>
      </c>
    </row>
    <row r="74" spans="1:28" ht="28.5" customHeight="1" x14ac:dyDescent="0.3">
      <c r="A74" s="292">
        <v>72</v>
      </c>
      <c r="B74" s="237" t="s">
        <v>377</v>
      </c>
      <c r="C74" s="228" t="s">
        <v>315</v>
      </c>
      <c r="D74" s="235" t="s">
        <v>206</v>
      </c>
      <c r="E74" s="236" t="s">
        <v>651</v>
      </c>
      <c r="F74" s="237" t="s">
        <v>104</v>
      </c>
      <c r="G74" s="237" t="s">
        <v>378</v>
      </c>
      <c r="H74" s="218" t="s">
        <v>85</v>
      </c>
      <c r="I74" s="231">
        <v>0.183</v>
      </c>
      <c r="J74" s="293" t="s">
        <v>374</v>
      </c>
      <c r="K74" s="238">
        <v>666000</v>
      </c>
      <c r="L74" s="203">
        <f>ROUND(K74*N74,2)</f>
        <v>333000</v>
      </c>
      <c r="M74" s="204">
        <f>K74-L74</f>
        <v>333000</v>
      </c>
      <c r="N74" s="234">
        <v>0.5</v>
      </c>
      <c r="O74" s="167">
        <v>0</v>
      </c>
      <c r="P74" s="167">
        <v>0</v>
      </c>
      <c r="Q74" s="190">
        <v>0</v>
      </c>
      <c r="R74" s="192">
        <v>0</v>
      </c>
      <c r="S74" s="238">
        <f>SUM(L74)</f>
        <v>333000</v>
      </c>
      <c r="T74" s="298"/>
      <c r="U74" s="299"/>
      <c r="V74" s="299"/>
      <c r="W74" s="300"/>
      <c r="X74" s="300"/>
      <c r="Y74" s="251" t="b">
        <f t="shared" si="6"/>
        <v>1</v>
      </c>
      <c r="Z74" s="262">
        <f t="shared" si="7"/>
        <v>0.5</v>
      </c>
      <c r="AA74" s="20" t="b">
        <f t="shared" si="8"/>
        <v>1</v>
      </c>
      <c r="AB74" s="20" t="b">
        <f t="shared" si="9"/>
        <v>1</v>
      </c>
    </row>
    <row r="75" spans="1:28" ht="60" customHeight="1" x14ac:dyDescent="0.3">
      <c r="A75" s="292">
        <v>73</v>
      </c>
      <c r="B75" s="237" t="s">
        <v>624</v>
      </c>
      <c r="C75" s="228" t="s">
        <v>315</v>
      </c>
      <c r="D75" s="235" t="s">
        <v>557</v>
      </c>
      <c r="E75" s="236" t="s">
        <v>656</v>
      </c>
      <c r="F75" s="237" t="s">
        <v>112</v>
      </c>
      <c r="G75" s="237" t="s">
        <v>625</v>
      </c>
      <c r="H75" s="218" t="s">
        <v>85</v>
      </c>
      <c r="I75" s="231">
        <v>0.44</v>
      </c>
      <c r="J75" s="293" t="s">
        <v>559</v>
      </c>
      <c r="K75" s="238">
        <v>1034902</v>
      </c>
      <c r="L75" s="203">
        <f>ROUND(K75*N75,2)</f>
        <v>517451</v>
      </c>
      <c r="M75" s="204">
        <f>K75-L75</f>
        <v>517451</v>
      </c>
      <c r="N75" s="234">
        <v>0.5</v>
      </c>
      <c r="O75" s="167">
        <v>0</v>
      </c>
      <c r="P75" s="167">
        <v>0</v>
      </c>
      <c r="Q75" s="190">
        <v>0</v>
      </c>
      <c r="R75" s="192">
        <v>0</v>
      </c>
      <c r="S75" s="238">
        <f>SUM(L75)</f>
        <v>517451</v>
      </c>
      <c r="T75" s="298"/>
      <c r="U75" s="299"/>
      <c r="V75" s="299"/>
      <c r="W75" s="300"/>
      <c r="X75" s="300"/>
      <c r="Y75" s="251" t="b">
        <f t="shared" si="6"/>
        <v>1</v>
      </c>
      <c r="Z75" s="262">
        <f t="shared" si="7"/>
        <v>0.5</v>
      </c>
      <c r="AA75" s="20" t="b">
        <f t="shared" si="8"/>
        <v>1</v>
      </c>
      <c r="AB75" s="20" t="b">
        <f t="shared" si="9"/>
        <v>1</v>
      </c>
    </row>
    <row r="76" spans="1:28" ht="52.2" customHeight="1" x14ac:dyDescent="0.3">
      <c r="A76" s="292">
        <v>74</v>
      </c>
      <c r="B76" s="237" t="s">
        <v>442</v>
      </c>
      <c r="C76" s="228" t="s">
        <v>315</v>
      </c>
      <c r="D76" s="235" t="s">
        <v>257</v>
      </c>
      <c r="E76" s="236" t="s">
        <v>657</v>
      </c>
      <c r="F76" s="237" t="s">
        <v>258</v>
      </c>
      <c r="G76" s="237" t="s">
        <v>443</v>
      </c>
      <c r="H76" s="218" t="s">
        <v>85</v>
      </c>
      <c r="I76" s="231">
        <v>3.7970000000000002</v>
      </c>
      <c r="J76" s="293" t="s">
        <v>354</v>
      </c>
      <c r="K76" s="238">
        <v>10260009</v>
      </c>
      <c r="L76" s="203">
        <f t="shared" si="11"/>
        <v>5130004.5</v>
      </c>
      <c r="M76" s="204">
        <f t="shared" si="12"/>
        <v>5130004.5</v>
      </c>
      <c r="N76" s="234">
        <v>0.5</v>
      </c>
      <c r="O76" s="167">
        <v>0</v>
      </c>
      <c r="P76" s="167">
        <v>0</v>
      </c>
      <c r="Q76" s="190">
        <v>0</v>
      </c>
      <c r="R76" s="192">
        <v>0</v>
      </c>
      <c r="S76" s="238">
        <f>SUM(L76)</f>
        <v>5130004.5</v>
      </c>
      <c r="T76" s="260"/>
      <c r="U76" s="260"/>
      <c r="V76" s="260"/>
      <c r="W76" s="261"/>
      <c r="X76" s="261"/>
      <c r="Y76" s="251" t="b">
        <f t="shared" si="6"/>
        <v>1</v>
      </c>
      <c r="Z76" s="262">
        <f t="shared" si="7"/>
        <v>0.5</v>
      </c>
      <c r="AA76" s="20" t="b">
        <f t="shared" si="8"/>
        <v>1</v>
      </c>
      <c r="AB76" s="20" t="b">
        <f t="shared" si="9"/>
        <v>1</v>
      </c>
    </row>
    <row r="77" spans="1:28" ht="37.200000000000003" customHeight="1" x14ac:dyDescent="0.3">
      <c r="A77" s="292">
        <v>75</v>
      </c>
      <c r="B77" s="237" t="s">
        <v>705</v>
      </c>
      <c r="C77" s="228" t="s">
        <v>315</v>
      </c>
      <c r="D77" s="235" t="s">
        <v>241</v>
      </c>
      <c r="E77" s="236" t="s">
        <v>676</v>
      </c>
      <c r="F77" s="237" t="s">
        <v>104</v>
      </c>
      <c r="G77" s="237" t="s">
        <v>324</v>
      </c>
      <c r="H77" s="218" t="s">
        <v>85</v>
      </c>
      <c r="I77" s="231">
        <v>9.5000000000000001E-2</v>
      </c>
      <c r="J77" s="293" t="s">
        <v>319</v>
      </c>
      <c r="K77" s="238">
        <v>510000</v>
      </c>
      <c r="L77" s="203">
        <f t="shared" si="11"/>
        <v>255000</v>
      </c>
      <c r="M77" s="204">
        <f t="shared" si="12"/>
        <v>255000</v>
      </c>
      <c r="N77" s="234">
        <v>0.5</v>
      </c>
      <c r="O77" s="167">
        <v>0</v>
      </c>
      <c r="P77" s="167">
        <v>0</v>
      </c>
      <c r="Q77" s="190">
        <v>0</v>
      </c>
      <c r="R77" s="192">
        <v>0</v>
      </c>
      <c r="S77" s="238">
        <f t="shared" ref="S77:S84" si="14">SUM(L77)</f>
        <v>255000</v>
      </c>
      <c r="T77" s="260"/>
      <c r="U77" s="260"/>
      <c r="V77" s="260"/>
      <c r="W77" s="261"/>
      <c r="X77" s="261"/>
      <c r="Y77" s="251" t="b">
        <f t="shared" si="6"/>
        <v>1</v>
      </c>
      <c r="Z77" s="262">
        <f t="shared" si="7"/>
        <v>0.5</v>
      </c>
      <c r="AA77" s="20" t="b">
        <f t="shared" si="8"/>
        <v>1</v>
      </c>
      <c r="AB77" s="20" t="b">
        <f t="shared" si="9"/>
        <v>1</v>
      </c>
    </row>
    <row r="78" spans="1:28" ht="37.200000000000003" customHeight="1" x14ac:dyDescent="0.3">
      <c r="A78" s="292">
        <v>76</v>
      </c>
      <c r="B78" s="237" t="s">
        <v>379</v>
      </c>
      <c r="C78" s="228" t="s">
        <v>315</v>
      </c>
      <c r="D78" s="235" t="s">
        <v>206</v>
      </c>
      <c r="E78" s="236" t="s">
        <v>651</v>
      </c>
      <c r="F78" s="237" t="s">
        <v>104</v>
      </c>
      <c r="G78" s="237" t="s">
        <v>380</v>
      </c>
      <c r="H78" s="218" t="s">
        <v>85</v>
      </c>
      <c r="I78" s="231">
        <v>0.47699999999999998</v>
      </c>
      <c r="J78" s="293" t="s">
        <v>374</v>
      </c>
      <c r="K78" s="238">
        <v>1002700</v>
      </c>
      <c r="L78" s="203">
        <f t="shared" si="11"/>
        <v>501350</v>
      </c>
      <c r="M78" s="204">
        <f t="shared" si="12"/>
        <v>501350</v>
      </c>
      <c r="N78" s="234">
        <v>0.5</v>
      </c>
      <c r="O78" s="167">
        <v>0</v>
      </c>
      <c r="P78" s="167">
        <v>0</v>
      </c>
      <c r="Q78" s="190">
        <v>0</v>
      </c>
      <c r="R78" s="192">
        <v>0</v>
      </c>
      <c r="S78" s="238">
        <f t="shared" si="14"/>
        <v>501350</v>
      </c>
      <c r="T78" s="260"/>
      <c r="U78" s="260"/>
      <c r="V78" s="260"/>
      <c r="W78" s="261"/>
      <c r="X78" s="261"/>
      <c r="Y78" s="251" t="b">
        <f t="shared" si="6"/>
        <v>1</v>
      </c>
      <c r="Z78" s="262">
        <f t="shared" si="7"/>
        <v>0.5</v>
      </c>
      <c r="AA78" s="20" t="b">
        <f t="shared" si="8"/>
        <v>1</v>
      </c>
      <c r="AB78" s="20" t="b">
        <f t="shared" si="9"/>
        <v>1</v>
      </c>
    </row>
    <row r="79" spans="1:28" ht="49.2" customHeight="1" x14ac:dyDescent="0.3">
      <c r="A79" s="292">
        <v>77</v>
      </c>
      <c r="B79" s="237" t="s">
        <v>383</v>
      </c>
      <c r="C79" s="228" t="s">
        <v>315</v>
      </c>
      <c r="D79" s="235" t="s">
        <v>384</v>
      </c>
      <c r="E79" s="236" t="s">
        <v>655</v>
      </c>
      <c r="F79" s="237" t="s">
        <v>385</v>
      </c>
      <c r="G79" s="237" t="s">
        <v>386</v>
      </c>
      <c r="H79" s="218" t="s">
        <v>80</v>
      </c>
      <c r="I79" s="231">
        <v>0.435</v>
      </c>
      <c r="J79" s="293" t="s">
        <v>387</v>
      </c>
      <c r="K79" s="238">
        <v>2463194</v>
      </c>
      <c r="L79" s="203">
        <f t="shared" si="11"/>
        <v>1477916.4</v>
      </c>
      <c r="M79" s="204">
        <f t="shared" si="12"/>
        <v>985277.60000000009</v>
      </c>
      <c r="N79" s="234">
        <v>0.6</v>
      </c>
      <c r="O79" s="167">
        <v>0</v>
      </c>
      <c r="P79" s="167">
        <v>0</v>
      </c>
      <c r="Q79" s="190">
        <v>0</v>
      </c>
      <c r="R79" s="192">
        <v>0</v>
      </c>
      <c r="S79" s="238">
        <f t="shared" si="14"/>
        <v>1477916.4</v>
      </c>
      <c r="T79" s="260"/>
      <c r="U79" s="260"/>
      <c r="V79" s="260"/>
      <c r="W79" s="261"/>
      <c r="X79" s="261"/>
      <c r="Y79" s="251" t="b">
        <f t="shared" si="6"/>
        <v>1</v>
      </c>
      <c r="Z79" s="262">
        <f t="shared" si="7"/>
        <v>0.6</v>
      </c>
      <c r="AA79" s="20" t="b">
        <f t="shared" si="8"/>
        <v>1</v>
      </c>
      <c r="AB79" s="20" t="b">
        <f t="shared" si="9"/>
        <v>1</v>
      </c>
    </row>
    <row r="80" spans="1:28" ht="34.200000000000003" customHeight="1" x14ac:dyDescent="0.3">
      <c r="A80" s="292">
        <v>78</v>
      </c>
      <c r="B80" s="237" t="s">
        <v>539</v>
      </c>
      <c r="C80" s="228" t="s">
        <v>315</v>
      </c>
      <c r="D80" s="235" t="s">
        <v>143</v>
      </c>
      <c r="E80" s="236" t="s">
        <v>649</v>
      </c>
      <c r="F80" s="237" t="s">
        <v>104</v>
      </c>
      <c r="G80" s="237" t="s">
        <v>540</v>
      </c>
      <c r="H80" s="218" t="s">
        <v>85</v>
      </c>
      <c r="I80" s="231">
        <v>1.86</v>
      </c>
      <c r="J80" s="293" t="s">
        <v>541</v>
      </c>
      <c r="K80" s="238">
        <v>7180000</v>
      </c>
      <c r="L80" s="203">
        <f t="shared" si="11"/>
        <v>3590000</v>
      </c>
      <c r="M80" s="204">
        <f t="shared" si="12"/>
        <v>3590000</v>
      </c>
      <c r="N80" s="234">
        <v>0.5</v>
      </c>
      <c r="O80" s="167">
        <v>0</v>
      </c>
      <c r="P80" s="167">
        <v>0</v>
      </c>
      <c r="Q80" s="190">
        <v>0</v>
      </c>
      <c r="R80" s="192">
        <v>0</v>
      </c>
      <c r="S80" s="238">
        <f t="shared" si="14"/>
        <v>3590000</v>
      </c>
      <c r="T80" s="260"/>
      <c r="U80" s="260"/>
      <c r="V80" s="260"/>
      <c r="W80" s="261"/>
      <c r="X80" s="261"/>
      <c r="Y80" s="251" t="b">
        <f t="shared" si="6"/>
        <v>1</v>
      </c>
      <c r="Z80" s="262">
        <f t="shared" si="7"/>
        <v>0.5</v>
      </c>
      <c r="AA80" s="20" t="b">
        <f t="shared" si="8"/>
        <v>1</v>
      </c>
      <c r="AB80" s="20" t="b">
        <f t="shared" si="9"/>
        <v>1</v>
      </c>
    </row>
    <row r="81" spans="1:28" ht="53.25" customHeight="1" x14ac:dyDescent="0.3">
      <c r="A81" s="292">
        <v>79</v>
      </c>
      <c r="B81" s="237" t="s">
        <v>481</v>
      </c>
      <c r="C81" s="228" t="s">
        <v>315</v>
      </c>
      <c r="D81" s="235" t="s">
        <v>482</v>
      </c>
      <c r="E81" s="236" t="s">
        <v>658</v>
      </c>
      <c r="F81" s="237" t="s">
        <v>404</v>
      </c>
      <c r="G81" s="237" t="s">
        <v>483</v>
      </c>
      <c r="H81" s="218" t="s">
        <v>71</v>
      </c>
      <c r="I81" s="231">
        <v>1.0900000000000001</v>
      </c>
      <c r="J81" s="293" t="s">
        <v>337</v>
      </c>
      <c r="K81" s="238">
        <v>2538685</v>
      </c>
      <c r="L81" s="203">
        <f t="shared" si="11"/>
        <v>1269342.5</v>
      </c>
      <c r="M81" s="204">
        <f t="shared" si="12"/>
        <v>1269342.5</v>
      </c>
      <c r="N81" s="234">
        <v>0.5</v>
      </c>
      <c r="O81" s="167">
        <v>0</v>
      </c>
      <c r="P81" s="167">
        <v>0</v>
      </c>
      <c r="Q81" s="190">
        <v>0</v>
      </c>
      <c r="R81" s="192">
        <v>0</v>
      </c>
      <c r="S81" s="238">
        <f t="shared" si="14"/>
        <v>1269342.5</v>
      </c>
      <c r="T81" s="260"/>
      <c r="U81" s="260"/>
      <c r="V81" s="260"/>
      <c r="W81" s="261"/>
      <c r="X81" s="261"/>
      <c r="Y81" s="251" t="b">
        <f t="shared" si="6"/>
        <v>1</v>
      </c>
      <c r="Z81" s="262">
        <f t="shared" si="7"/>
        <v>0.5</v>
      </c>
      <c r="AA81" s="20" t="b">
        <f t="shared" si="8"/>
        <v>1</v>
      </c>
      <c r="AB81" s="20" t="b">
        <f t="shared" si="9"/>
        <v>1</v>
      </c>
    </row>
    <row r="82" spans="1:28" ht="30.6" customHeight="1" x14ac:dyDescent="0.3">
      <c r="A82" s="292">
        <v>80</v>
      </c>
      <c r="B82" s="237" t="s">
        <v>355</v>
      </c>
      <c r="C82" s="228" t="s">
        <v>315</v>
      </c>
      <c r="D82" s="235" t="s">
        <v>356</v>
      </c>
      <c r="E82" s="236" t="s">
        <v>652</v>
      </c>
      <c r="F82" s="237" t="s">
        <v>112</v>
      </c>
      <c r="G82" s="237" t="s">
        <v>357</v>
      </c>
      <c r="H82" s="218" t="s">
        <v>85</v>
      </c>
      <c r="I82" s="231">
        <v>2.44</v>
      </c>
      <c r="J82" s="293" t="s">
        <v>358</v>
      </c>
      <c r="K82" s="238">
        <v>1718849</v>
      </c>
      <c r="L82" s="203">
        <f t="shared" si="11"/>
        <v>859424.5</v>
      </c>
      <c r="M82" s="204">
        <f t="shared" si="12"/>
        <v>859424.5</v>
      </c>
      <c r="N82" s="234">
        <v>0.5</v>
      </c>
      <c r="O82" s="167">
        <v>0</v>
      </c>
      <c r="P82" s="167">
        <v>0</v>
      </c>
      <c r="Q82" s="190">
        <v>0</v>
      </c>
      <c r="R82" s="192">
        <v>0</v>
      </c>
      <c r="S82" s="238">
        <f t="shared" si="14"/>
        <v>859424.5</v>
      </c>
      <c r="T82" s="260"/>
      <c r="U82" s="260"/>
      <c r="V82" s="260"/>
      <c r="W82" s="261"/>
      <c r="X82" s="261"/>
      <c r="Y82" s="251" t="b">
        <f t="shared" si="6"/>
        <v>1</v>
      </c>
      <c r="Z82" s="262">
        <f t="shared" si="7"/>
        <v>0.5</v>
      </c>
      <c r="AA82" s="20" t="b">
        <f t="shared" si="8"/>
        <v>1</v>
      </c>
      <c r="AB82" s="20" t="b">
        <f t="shared" si="9"/>
        <v>1</v>
      </c>
    </row>
    <row r="83" spans="1:28" ht="51.75" customHeight="1" x14ac:dyDescent="0.3">
      <c r="A83" s="292">
        <v>81</v>
      </c>
      <c r="B83" s="237" t="s">
        <v>643</v>
      </c>
      <c r="C83" s="228" t="s">
        <v>315</v>
      </c>
      <c r="D83" s="235" t="s">
        <v>640</v>
      </c>
      <c r="E83" s="236" t="s">
        <v>659</v>
      </c>
      <c r="F83" s="237" t="s">
        <v>561</v>
      </c>
      <c r="G83" s="237" t="s">
        <v>644</v>
      </c>
      <c r="H83" s="218" t="s">
        <v>85</v>
      </c>
      <c r="I83" s="231">
        <v>1.2889999999999999</v>
      </c>
      <c r="J83" s="293" t="s">
        <v>353</v>
      </c>
      <c r="K83" s="238">
        <v>1525262</v>
      </c>
      <c r="L83" s="203">
        <f t="shared" si="11"/>
        <v>762631</v>
      </c>
      <c r="M83" s="204">
        <f t="shared" si="12"/>
        <v>762631</v>
      </c>
      <c r="N83" s="234">
        <v>0.5</v>
      </c>
      <c r="O83" s="167">
        <v>0</v>
      </c>
      <c r="P83" s="167">
        <v>0</v>
      </c>
      <c r="Q83" s="190">
        <v>0</v>
      </c>
      <c r="R83" s="192">
        <v>0</v>
      </c>
      <c r="S83" s="238">
        <f t="shared" si="14"/>
        <v>762631</v>
      </c>
      <c r="T83" s="260"/>
      <c r="U83" s="260"/>
      <c r="V83" s="260"/>
      <c r="W83" s="261"/>
      <c r="X83" s="261"/>
      <c r="Y83" s="251" t="b">
        <f t="shared" si="6"/>
        <v>1</v>
      </c>
      <c r="Z83" s="262">
        <f t="shared" si="7"/>
        <v>0.5</v>
      </c>
      <c r="AA83" s="20" t="b">
        <f t="shared" si="8"/>
        <v>1</v>
      </c>
      <c r="AB83" s="20" t="b">
        <f t="shared" si="9"/>
        <v>1</v>
      </c>
    </row>
    <row r="84" spans="1:28" ht="30.6" customHeight="1" x14ac:dyDescent="0.3">
      <c r="A84" s="292">
        <v>82</v>
      </c>
      <c r="B84" s="237" t="s">
        <v>632</v>
      </c>
      <c r="C84" s="228" t="s">
        <v>315</v>
      </c>
      <c r="D84" s="235" t="s">
        <v>633</v>
      </c>
      <c r="E84" s="236" t="s">
        <v>660</v>
      </c>
      <c r="F84" s="237" t="s">
        <v>124</v>
      </c>
      <c r="G84" s="237" t="s">
        <v>634</v>
      </c>
      <c r="H84" s="218" t="s">
        <v>85</v>
      </c>
      <c r="I84" s="231">
        <v>0.99299999999999999</v>
      </c>
      <c r="J84" s="293" t="s">
        <v>635</v>
      </c>
      <c r="K84" s="238">
        <v>3431652</v>
      </c>
      <c r="L84" s="203">
        <f>ROUNDDOWN(K84*N84,1)</f>
        <v>2402156.4</v>
      </c>
      <c r="M84" s="204">
        <f t="shared" si="12"/>
        <v>1029495.6000000001</v>
      </c>
      <c r="N84" s="234">
        <v>0.7</v>
      </c>
      <c r="O84" s="167">
        <v>0</v>
      </c>
      <c r="P84" s="167">
        <v>0</v>
      </c>
      <c r="Q84" s="190">
        <v>0</v>
      </c>
      <c r="R84" s="192">
        <v>0</v>
      </c>
      <c r="S84" s="238">
        <f t="shared" si="14"/>
        <v>2402156.4</v>
      </c>
      <c r="T84" s="260"/>
      <c r="U84" s="260"/>
      <c r="V84" s="260"/>
      <c r="W84" s="261"/>
      <c r="X84" s="261"/>
      <c r="Y84" s="251" t="b">
        <f t="shared" si="6"/>
        <v>1</v>
      </c>
      <c r="Z84" s="262">
        <f t="shared" si="7"/>
        <v>0.7</v>
      </c>
      <c r="AA84" s="20" t="b">
        <f t="shared" si="8"/>
        <v>1</v>
      </c>
      <c r="AB84" s="20" t="b">
        <f t="shared" si="9"/>
        <v>1</v>
      </c>
    </row>
    <row r="85" spans="1:28" ht="30.6" hidden="1" customHeight="1" x14ac:dyDescent="0.3">
      <c r="A85" s="257" t="s">
        <v>823</v>
      </c>
      <c r="B85" s="189" t="s">
        <v>570</v>
      </c>
      <c r="C85" s="294" t="s">
        <v>111</v>
      </c>
      <c r="D85" s="159" t="s">
        <v>565</v>
      </c>
      <c r="E85" s="160" t="s">
        <v>661</v>
      </c>
      <c r="F85" s="189" t="s">
        <v>190</v>
      </c>
      <c r="G85" s="189" t="s">
        <v>571</v>
      </c>
      <c r="H85" s="151" t="s">
        <v>85</v>
      </c>
      <c r="I85" s="161">
        <v>4.7569999999999997</v>
      </c>
      <c r="J85" s="295" t="s">
        <v>572</v>
      </c>
      <c r="K85" s="296">
        <v>8485476</v>
      </c>
      <c r="L85" s="213">
        <v>2121369</v>
      </c>
      <c r="M85" s="214">
        <f t="shared" si="12"/>
        <v>6364107</v>
      </c>
      <c r="N85" s="166">
        <v>0.5</v>
      </c>
      <c r="O85" s="167">
        <v>0</v>
      </c>
      <c r="P85" s="167">
        <v>0</v>
      </c>
      <c r="Q85" s="190">
        <v>0</v>
      </c>
      <c r="R85" s="192">
        <v>0</v>
      </c>
      <c r="S85" s="297">
        <v>0</v>
      </c>
      <c r="T85" s="298">
        <v>2121369</v>
      </c>
      <c r="U85" s="299"/>
      <c r="V85" s="299"/>
      <c r="W85" s="300"/>
      <c r="X85" s="300"/>
      <c r="Y85" s="251" t="b">
        <f t="shared" si="6"/>
        <v>1</v>
      </c>
      <c r="Z85" s="262">
        <f t="shared" si="7"/>
        <v>0.25</v>
      </c>
      <c r="AA85" s="20" t="b">
        <f t="shared" si="8"/>
        <v>0</v>
      </c>
      <c r="AB85" s="20" t="b">
        <f t="shared" si="9"/>
        <v>1</v>
      </c>
    </row>
    <row r="86" spans="1:28" ht="92.25" customHeight="1" x14ac:dyDescent="0.3">
      <c r="A86" s="292">
        <v>84</v>
      </c>
      <c r="B86" s="237" t="s">
        <v>556</v>
      </c>
      <c r="C86" s="228" t="s">
        <v>315</v>
      </c>
      <c r="D86" s="235" t="s">
        <v>557</v>
      </c>
      <c r="E86" s="236" t="s">
        <v>656</v>
      </c>
      <c r="F86" s="237" t="s">
        <v>112</v>
      </c>
      <c r="G86" s="237" t="s">
        <v>558</v>
      </c>
      <c r="H86" s="218" t="s">
        <v>85</v>
      </c>
      <c r="I86" s="231">
        <v>1.4379999999999999</v>
      </c>
      <c r="J86" s="293" t="s">
        <v>559</v>
      </c>
      <c r="K86" s="238">
        <v>1407091</v>
      </c>
      <c r="L86" s="203">
        <f>ROUND(K86*N86,2)</f>
        <v>703545.5</v>
      </c>
      <c r="M86" s="204">
        <f t="shared" si="12"/>
        <v>703545.5</v>
      </c>
      <c r="N86" s="234">
        <v>0.5</v>
      </c>
      <c r="O86" s="167">
        <v>0</v>
      </c>
      <c r="P86" s="167">
        <v>0</v>
      </c>
      <c r="Q86" s="190">
        <v>0</v>
      </c>
      <c r="R86" s="192">
        <v>0</v>
      </c>
      <c r="S86" s="238">
        <f t="shared" ref="S86:S91" si="15">SUM(L86)</f>
        <v>703545.5</v>
      </c>
      <c r="T86" s="298"/>
      <c r="U86" s="299"/>
      <c r="V86" s="299"/>
      <c r="W86" s="300"/>
      <c r="X86" s="300"/>
      <c r="Y86" s="251" t="b">
        <f t="shared" si="6"/>
        <v>1</v>
      </c>
      <c r="Z86" s="262">
        <f t="shared" si="7"/>
        <v>0.5</v>
      </c>
      <c r="AA86" s="20" t="b">
        <f t="shared" si="8"/>
        <v>1</v>
      </c>
      <c r="AB86" s="20" t="b">
        <f t="shared" si="9"/>
        <v>1</v>
      </c>
    </row>
    <row r="87" spans="1:28" ht="30.6" customHeight="1" x14ac:dyDescent="0.3">
      <c r="A87" s="292">
        <v>85</v>
      </c>
      <c r="B87" s="237" t="s">
        <v>359</v>
      </c>
      <c r="C87" s="228" t="s">
        <v>315</v>
      </c>
      <c r="D87" s="235" t="s">
        <v>356</v>
      </c>
      <c r="E87" s="236" t="s">
        <v>652</v>
      </c>
      <c r="F87" s="237" t="s">
        <v>112</v>
      </c>
      <c r="G87" s="237" t="s">
        <v>360</v>
      </c>
      <c r="H87" s="218" t="s">
        <v>85</v>
      </c>
      <c r="I87" s="231">
        <v>2.0089999999999999</v>
      </c>
      <c r="J87" s="293" t="s">
        <v>354</v>
      </c>
      <c r="K87" s="238">
        <v>3231106</v>
      </c>
      <c r="L87" s="203">
        <v>1615553</v>
      </c>
      <c r="M87" s="204">
        <f t="shared" si="12"/>
        <v>1615553</v>
      </c>
      <c r="N87" s="234">
        <v>0.5</v>
      </c>
      <c r="O87" s="167">
        <v>0</v>
      </c>
      <c r="P87" s="167">
        <v>0</v>
      </c>
      <c r="Q87" s="190">
        <v>0</v>
      </c>
      <c r="R87" s="192">
        <v>0</v>
      </c>
      <c r="S87" s="238">
        <f t="shared" si="15"/>
        <v>1615553</v>
      </c>
      <c r="T87" s="260"/>
      <c r="U87" s="260"/>
      <c r="V87" s="260"/>
      <c r="W87" s="261"/>
      <c r="X87" s="261"/>
      <c r="Y87" s="251" t="b">
        <f t="shared" si="6"/>
        <v>1</v>
      </c>
      <c r="Z87" s="262">
        <f t="shared" si="7"/>
        <v>0.5</v>
      </c>
      <c r="AA87" s="20" t="b">
        <f t="shared" si="8"/>
        <v>1</v>
      </c>
      <c r="AB87" s="20" t="b">
        <f t="shared" si="9"/>
        <v>1</v>
      </c>
    </row>
    <row r="88" spans="1:28" ht="30" customHeight="1" x14ac:dyDescent="0.3">
      <c r="A88" s="292">
        <v>86</v>
      </c>
      <c r="B88" s="237" t="s">
        <v>363</v>
      </c>
      <c r="C88" s="228" t="s">
        <v>315</v>
      </c>
      <c r="D88" s="235" t="s">
        <v>356</v>
      </c>
      <c r="E88" s="236" t="s">
        <v>652</v>
      </c>
      <c r="F88" s="237" t="s">
        <v>112</v>
      </c>
      <c r="G88" s="237" t="s">
        <v>364</v>
      </c>
      <c r="H88" s="218" t="s">
        <v>85</v>
      </c>
      <c r="I88" s="231">
        <v>0.48599999999999999</v>
      </c>
      <c r="J88" s="293" t="s">
        <v>354</v>
      </c>
      <c r="K88" s="238">
        <v>934182</v>
      </c>
      <c r="L88" s="203">
        <f>ROUND(K88*N88,2)</f>
        <v>467091</v>
      </c>
      <c r="M88" s="204">
        <f t="shared" si="12"/>
        <v>467091</v>
      </c>
      <c r="N88" s="234">
        <v>0.5</v>
      </c>
      <c r="O88" s="167">
        <v>0</v>
      </c>
      <c r="P88" s="167">
        <v>0</v>
      </c>
      <c r="Q88" s="190">
        <v>0</v>
      </c>
      <c r="R88" s="192">
        <v>0</v>
      </c>
      <c r="S88" s="238">
        <f t="shared" si="15"/>
        <v>467091</v>
      </c>
      <c r="T88" s="260"/>
      <c r="U88" s="260"/>
      <c r="V88" s="260"/>
      <c r="W88" s="261"/>
      <c r="X88" s="261"/>
      <c r="Y88" s="251" t="b">
        <f t="shared" ref="Y88:Y103" si="16">L88=SUM(O88:X88)</f>
        <v>1</v>
      </c>
      <c r="Z88" s="262">
        <f t="shared" ref="Z88:Z103" si="17">ROUND(L88/K88,4)</f>
        <v>0.5</v>
      </c>
      <c r="AA88" s="20" t="b">
        <f t="shared" si="8"/>
        <v>1</v>
      </c>
      <c r="AB88" s="20" t="b">
        <f t="shared" ref="AB88:AB103" si="18">K88=L88+M88</f>
        <v>1</v>
      </c>
    </row>
    <row r="89" spans="1:28" ht="47.25" customHeight="1" x14ac:dyDescent="0.3">
      <c r="A89" s="292">
        <v>87</v>
      </c>
      <c r="B89" s="237" t="s">
        <v>464</v>
      </c>
      <c r="C89" s="228" t="s">
        <v>315</v>
      </c>
      <c r="D89" s="235" t="s">
        <v>176</v>
      </c>
      <c r="E89" s="236" t="s">
        <v>685</v>
      </c>
      <c r="F89" s="237" t="s">
        <v>104</v>
      </c>
      <c r="G89" s="237" t="s">
        <v>465</v>
      </c>
      <c r="H89" s="218" t="s">
        <v>85</v>
      </c>
      <c r="I89" s="231">
        <v>0.89</v>
      </c>
      <c r="J89" s="293" t="s">
        <v>466</v>
      </c>
      <c r="K89" s="238">
        <v>1515167</v>
      </c>
      <c r="L89" s="203">
        <f>ROUND(K89*N89,2)</f>
        <v>757583.5</v>
      </c>
      <c r="M89" s="204">
        <f t="shared" si="12"/>
        <v>757583.5</v>
      </c>
      <c r="N89" s="234">
        <v>0.5</v>
      </c>
      <c r="O89" s="167">
        <v>0</v>
      </c>
      <c r="P89" s="167">
        <v>0</v>
      </c>
      <c r="Q89" s="190">
        <v>0</v>
      </c>
      <c r="R89" s="192">
        <v>0</v>
      </c>
      <c r="S89" s="238">
        <f t="shared" si="15"/>
        <v>757583.5</v>
      </c>
      <c r="T89" s="260"/>
      <c r="U89" s="260"/>
      <c r="V89" s="260"/>
      <c r="W89" s="261"/>
      <c r="X89" s="261"/>
      <c r="Y89" s="251" t="b">
        <f t="shared" si="16"/>
        <v>1</v>
      </c>
      <c r="Z89" s="262">
        <f t="shared" si="17"/>
        <v>0.5</v>
      </c>
      <c r="AA89" s="20" t="b">
        <f t="shared" si="8"/>
        <v>1</v>
      </c>
      <c r="AB89" s="20" t="b">
        <f t="shared" si="18"/>
        <v>1</v>
      </c>
    </row>
    <row r="90" spans="1:28" ht="36" customHeight="1" x14ac:dyDescent="0.3">
      <c r="A90" s="292">
        <v>88</v>
      </c>
      <c r="B90" s="237" t="s">
        <v>468</v>
      </c>
      <c r="C90" s="228" t="s">
        <v>315</v>
      </c>
      <c r="D90" s="235" t="s">
        <v>176</v>
      </c>
      <c r="E90" s="236" t="s">
        <v>685</v>
      </c>
      <c r="F90" s="237" t="s">
        <v>104</v>
      </c>
      <c r="G90" s="237" t="s">
        <v>706</v>
      </c>
      <c r="H90" s="218" t="s">
        <v>85</v>
      </c>
      <c r="I90" s="231">
        <v>0.49</v>
      </c>
      <c r="J90" s="293" t="s">
        <v>466</v>
      </c>
      <c r="K90" s="238">
        <v>777504</v>
      </c>
      <c r="L90" s="203">
        <f>ROUND(K90*N90,2)</f>
        <v>388752</v>
      </c>
      <c r="M90" s="204">
        <f t="shared" si="12"/>
        <v>388752</v>
      </c>
      <c r="N90" s="234">
        <v>0.5</v>
      </c>
      <c r="O90" s="167">
        <v>0</v>
      </c>
      <c r="P90" s="167">
        <v>0</v>
      </c>
      <c r="Q90" s="190">
        <v>0</v>
      </c>
      <c r="R90" s="192">
        <v>0</v>
      </c>
      <c r="S90" s="238">
        <f t="shared" si="15"/>
        <v>388752</v>
      </c>
      <c r="T90" s="260"/>
      <c r="U90" s="260"/>
      <c r="V90" s="260"/>
      <c r="W90" s="261"/>
      <c r="X90" s="261"/>
      <c r="Y90" s="251" t="b">
        <f t="shared" si="16"/>
        <v>1</v>
      </c>
      <c r="Z90" s="262">
        <f t="shared" si="17"/>
        <v>0.5</v>
      </c>
      <c r="AA90" s="20" t="b">
        <f t="shared" si="8"/>
        <v>1</v>
      </c>
      <c r="AB90" s="20" t="b">
        <f t="shared" si="18"/>
        <v>1</v>
      </c>
    </row>
    <row r="91" spans="1:28" ht="45" customHeight="1" x14ac:dyDescent="0.3">
      <c r="A91" s="292">
        <v>89</v>
      </c>
      <c r="B91" s="237" t="s">
        <v>619</v>
      </c>
      <c r="C91" s="228" t="s">
        <v>315</v>
      </c>
      <c r="D91" s="235" t="s">
        <v>231</v>
      </c>
      <c r="E91" s="236" t="s">
        <v>653</v>
      </c>
      <c r="F91" s="237" t="s">
        <v>232</v>
      </c>
      <c r="G91" s="237" t="s">
        <v>620</v>
      </c>
      <c r="H91" s="218" t="s">
        <v>85</v>
      </c>
      <c r="I91" s="231">
        <v>0.33100000000000002</v>
      </c>
      <c r="J91" s="293" t="s">
        <v>616</v>
      </c>
      <c r="K91" s="238">
        <v>3007225</v>
      </c>
      <c r="L91" s="203">
        <f>ROUND(K91*N91,2)</f>
        <v>1503612.5</v>
      </c>
      <c r="M91" s="204">
        <f t="shared" si="12"/>
        <v>1503612.5</v>
      </c>
      <c r="N91" s="234">
        <v>0.5</v>
      </c>
      <c r="O91" s="167">
        <v>0</v>
      </c>
      <c r="P91" s="167">
        <v>0</v>
      </c>
      <c r="Q91" s="190">
        <v>0</v>
      </c>
      <c r="R91" s="192">
        <v>0</v>
      </c>
      <c r="S91" s="238">
        <f t="shared" si="15"/>
        <v>1503612.5</v>
      </c>
      <c r="T91" s="260"/>
      <c r="U91" s="260"/>
      <c r="V91" s="260"/>
      <c r="W91" s="261"/>
      <c r="X91" s="261"/>
      <c r="Y91" s="251" t="b">
        <f t="shared" si="16"/>
        <v>1</v>
      </c>
      <c r="Z91" s="262">
        <f t="shared" si="17"/>
        <v>0.5</v>
      </c>
      <c r="AA91" s="20" t="b">
        <f t="shared" si="8"/>
        <v>1</v>
      </c>
      <c r="AB91" s="20" t="b">
        <f t="shared" si="18"/>
        <v>1</v>
      </c>
    </row>
    <row r="92" spans="1:28" ht="45" customHeight="1" x14ac:dyDescent="0.3">
      <c r="A92" s="292">
        <v>90</v>
      </c>
      <c r="B92" s="237" t="s">
        <v>397</v>
      </c>
      <c r="C92" s="228" t="s">
        <v>315</v>
      </c>
      <c r="D92" s="235" t="s">
        <v>398</v>
      </c>
      <c r="E92" s="236" t="s">
        <v>663</v>
      </c>
      <c r="F92" s="237" t="s">
        <v>104</v>
      </c>
      <c r="G92" s="237" t="s">
        <v>399</v>
      </c>
      <c r="H92" s="218" t="s">
        <v>85</v>
      </c>
      <c r="I92" s="231">
        <v>0.48899999999999999</v>
      </c>
      <c r="J92" s="293" t="s">
        <v>400</v>
      </c>
      <c r="K92" s="238">
        <v>1568800</v>
      </c>
      <c r="L92" s="203">
        <v>784400</v>
      </c>
      <c r="M92" s="204">
        <f>K92-L92</f>
        <v>784400</v>
      </c>
      <c r="N92" s="234">
        <v>0.5</v>
      </c>
      <c r="O92" s="167">
        <v>0</v>
      </c>
      <c r="P92" s="167">
        <v>0</v>
      </c>
      <c r="Q92" s="190">
        <v>0</v>
      </c>
      <c r="R92" s="192">
        <v>0</v>
      </c>
      <c r="S92" s="238">
        <f>SUM(L92)</f>
        <v>784400</v>
      </c>
      <c r="T92" s="260"/>
      <c r="U92" s="260"/>
      <c r="V92" s="260"/>
      <c r="W92" s="261"/>
      <c r="X92" s="261"/>
      <c r="Y92" s="251" t="b">
        <f t="shared" si="16"/>
        <v>1</v>
      </c>
      <c r="Z92" s="262">
        <f t="shared" si="17"/>
        <v>0.5</v>
      </c>
      <c r="AA92" s="20" t="b">
        <f t="shared" si="8"/>
        <v>1</v>
      </c>
      <c r="AB92" s="20" t="b">
        <f t="shared" si="18"/>
        <v>1</v>
      </c>
    </row>
    <row r="93" spans="1:28" ht="30.75" customHeight="1" x14ac:dyDescent="0.3">
      <c r="A93" s="292">
        <v>91</v>
      </c>
      <c r="B93" s="237" t="s">
        <v>392</v>
      </c>
      <c r="C93" s="228" t="s">
        <v>315</v>
      </c>
      <c r="D93" s="235" t="s">
        <v>390</v>
      </c>
      <c r="E93" s="236" t="s">
        <v>664</v>
      </c>
      <c r="F93" s="237" t="s">
        <v>284</v>
      </c>
      <c r="G93" s="237" t="s">
        <v>393</v>
      </c>
      <c r="H93" s="218" t="s">
        <v>85</v>
      </c>
      <c r="I93" s="231">
        <v>0.42299999999999999</v>
      </c>
      <c r="J93" s="293" t="s">
        <v>394</v>
      </c>
      <c r="K93" s="238">
        <v>1683370</v>
      </c>
      <c r="L93" s="203">
        <f>ROUND(K93*N93,2)</f>
        <v>1010022</v>
      </c>
      <c r="M93" s="204">
        <f>K93-L93</f>
        <v>673348</v>
      </c>
      <c r="N93" s="234">
        <v>0.6</v>
      </c>
      <c r="O93" s="167">
        <v>0</v>
      </c>
      <c r="P93" s="167">
        <v>0</v>
      </c>
      <c r="Q93" s="190">
        <v>0</v>
      </c>
      <c r="R93" s="192">
        <v>0</v>
      </c>
      <c r="S93" s="238">
        <f>SUM(L93)</f>
        <v>1010022</v>
      </c>
      <c r="T93" s="260"/>
      <c r="U93" s="260"/>
      <c r="V93" s="260"/>
      <c r="W93" s="261"/>
      <c r="X93" s="261"/>
      <c r="Y93" s="251" t="b">
        <f t="shared" si="16"/>
        <v>1</v>
      </c>
      <c r="Z93" s="262">
        <f t="shared" si="17"/>
        <v>0.6</v>
      </c>
      <c r="AA93" s="20" t="b">
        <f t="shared" si="8"/>
        <v>1</v>
      </c>
      <c r="AB93" s="20" t="b">
        <f t="shared" si="18"/>
        <v>1</v>
      </c>
    </row>
    <row r="94" spans="1:28" ht="66" customHeight="1" x14ac:dyDescent="0.3">
      <c r="A94" s="292">
        <v>92</v>
      </c>
      <c r="B94" s="237" t="s">
        <v>401</v>
      </c>
      <c r="C94" s="228" t="s">
        <v>315</v>
      </c>
      <c r="D94" s="235" t="s">
        <v>398</v>
      </c>
      <c r="E94" s="236" t="s">
        <v>663</v>
      </c>
      <c r="F94" s="237" t="s">
        <v>104</v>
      </c>
      <c r="G94" s="237" t="s">
        <v>402</v>
      </c>
      <c r="H94" s="218" t="s">
        <v>85</v>
      </c>
      <c r="I94" s="231">
        <v>0.98</v>
      </c>
      <c r="J94" s="293" t="s">
        <v>400</v>
      </c>
      <c r="K94" s="238">
        <v>1200000</v>
      </c>
      <c r="L94" s="203">
        <f>ROUND(K94*N94,2)</f>
        <v>600000</v>
      </c>
      <c r="M94" s="204">
        <f>K94-L94</f>
        <v>600000</v>
      </c>
      <c r="N94" s="234">
        <v>0.5</v>
      </c>
      <c r="O94" s="167">
        <v>0</v>
      </c>
      <c r="P94" s="167">
        <v>0</v>
      </c>
      <c r="Q94" s="190">
        <v>0</v>
      </c>
      <c r="R94" s="192">
        <v>0</v>
      </c>
      <c r="S94" s="238">
        <f>SUM(L94)</f>
        <v>600000</v>
      </c>
      <c r="T94" s="260"/>
      <c r="U94" s="260"/>
      <c r="V94" s="260"/>
      <c r="W94" s="261"/>
      <c r="X94" s="261"/>
      <c r="Y94" s="251" t="b">
        <f t="shared" si="16"/>
        <v>1</v>
      </c>
      <c r="Z94" s="262">
        <f t="shared" si="17"/>
        <v>0.5</v>
      </c>
      <c r="AA94" s="20" t="b">
        <f t="shared" ref="AA94:AA99" si="19">Z94=N94</f>
        <v>1</v>
      </c>
      <c r="AB94" s="20" t="b">
        <f t="shared" si="18"/>
        <v>1</v>
      </c>
    </row>
    <row r="95" spans="1:28" ht="26.25" customHeight="1" x14ac:dyDescent="0.3">
      <c r="A95" s="292">
        <v>93</v>
      </c>
      <c r="B95" s="237" t="s">
        <v>589</v>
      </c>
      <c r="C95" s="228" t="s">
        <v>315</v>
      </c>
      <c r="D95" s="235" t="s">
        <v>586</v>
      </c>
      <c r="E95" s="236" t="s">
        <v>672</v>
      </c>
      <c r="F95" s="237" t="s">
        <v>317</v>
      </c>
      <c r="G95" s="237" t="s">
        <v>590</v>
      </c>
      <c r="H95" s="218" t="s">
        <v>71</v>
      </c>
      <c r="I95" s="231">
        <v>0.44500000000000001</v>
      </c>
      <c r="J95" s="293" t="s">
        <v>588</v>
      </c>
      <c r="K95" s="238">
        <v>2056786</v>
      </c>
      <c r="L95" s="203">
        <f t="shared" ref="L95:L96" si="20">ROUND(K95*N95,2)</f>
        <v>1234071.6000000001</v>
      </c>
      <c r="M95" s="204">
        <f t="shared" ref="M95:M98" si="21">K95-L95</f>
        <v>822714.39999999991</v>
      </c>
      <c r="N95" s="234">
        <v>0.6</v>
      </c>
      <c r="O95" s="167">
        <v>0</v>
      </c>
      <c r="P95" s="167">
        <v>0</v>
      </c>
      <c r="Q95" s="190">
        <v>0</v>
      </c>
      <c r="R95" s="192">
        <v>0</v>
      </c>
      <c r="S95" s="238">
        <f t="shared" ref="S95:S96" si="22">SUM(L95)</f>
        <v>1234071.6000000001</v>
      </c>
      <c r="T95" s="158"/>
      <c r="U95" s="158"/>
      <c r="V95" s="158"/>
      <c r="W95" s="158"/>
      <c r="X95" s="158"/>
      <c r="Y95" s="251" t="b">
        <f t="shared" si="16"/>
        <v>1</v>
      </c>
      <c r="Z95" s="262">
        <f t="shared" si="17"/>
        <v>0.6</v>
      </c>
      <c r="AA95" s="20" t="b">
        <f t="shared" si="19"/>
        <v>1</v>
      </c>
      <c r="AB95" s="20" t="b">
        <f t="shared" si="18"/>
        <v>1</v>
      </c>
    </row>
    <row r="96" spans="1:28" ht="28.5" customHeight="1" x14ac:dyDescent="0.3">
      <c r="A96" s="292">
        <v>94</v>
      </c>
      <c r="B96" s="237" t="s">
        <v>720</v>
      </c>
      <c r="C96" s="228" t="s">
        <v>315</v>
      </c>
      <c r="D96" s="235" t="s">
        <v>609</v>
      </c>
      <c r="E96" s="236" t="s">
        <v>667</v>
      </c>
      <c r="F96" s="237" t="s">
        <v>185</v>
      </c>
      <c r="G96" s="237" t="s">
        <v>766</v>
      </c>
      <c r="H96" s="218" t="s">
        <v>85</v>
      </c>
      <c r="I96" s="231">
        <v>0.221</v>
      </c>
      <c r="J96" s="293" t="s">
        <v>610</v>
      </c>
      <c r="K96" s="238">
        <v>1011930</v>
      </c>
      <c r="L96" s="203">
        <f t="shared" si="20"/>
        <v>505965</v>
      </c>
      <c r="M96" s="204">
        <f t="shared" si="21"/>
        <v>505965</v>
      </c>
      <c r="N96" s="234">
        <v>0.5</v>
      </c>
      <c r="O96" s="167">
        <v>0</v>
      </c>
      <c r="P96" s="167">
        <v>0</v>
      </c>
      <c r="Q96" s="190">
        <v>0</v>
      </c>
      <c r="R96" s="192">
        <v>0</v>
      </c>
      <c r="S96" s="238">
        <f t="shared" si="22"/>
        <v>505965</v>
      </c>
      <c r="T96" s="158"/>
      <c r="U96" s="158"/>
      <c r="V96" s="158"/>
      <c r="W96" s="158"/>
      <c r="X96" s="158"/>
      <c r="Y96" s="251" t="b">
        <f t="shared" si="16"/>
        <v>1</v>
      </c>
      <c r="Z96" s="262">
        <f t="shared" si="17"/>
        <v>0.5</v>
      </c>
      <c r="AA96" s="20" t="b">
        <f t="shared" si="19"/>
        <v>1</v>
      </c>
      <c r="AB96" s="20" t="b">
        <f t="shared" si="18"/>
        <v>1</v>
      </c>
    </row>
    <row r="97" spans="1:28" ht="27" customHeight="1" x14ac:dyDescent="0.3">
      <c r="A97" s="292">
        <v>95</v>
      </c>
      <c r="B97" s="237" t="s">
        <v>585</v>
      </c>
      <c r="C97" s="228" t="s">
        <v>315</v>
      </c>
      <c r="D97" s="235" t="s">
        <v>586</v>
      </c>
      <c r="E97" s="236" t="s">
        <v>672</v>
      </c>
      <c r="F97" s="237" t="s">
        <v>317</v>
      </c>
      <c r="G97" s="237" t="s">
        <v>587</v>
      </c>
      <c r="H97" s="218" t="s">
        <v>71</v>
      </c>
      <c r="I97" s="231">
        <v>0.434</v>
      </c>
      <c r="J97" s="293" t="s">
        <v>588</v>
      </c>
      <c r="K97" s="238">
        <v>726294</v>
      </c>
      <c r="L97" s="203">
        <f>ROUND(K97*N97,2)</f>
        <v>435776.4</v>
      </c>
      <c r="M97" s="204">
        <f t="shared" si="21"/>
        <v>290517.59999999998</v>
      </c>
      <c r="N97" s="234">
        <v>0.6</v>
      </c>
      <c r="O97" s="167">
        <v>0</v>
      </c>
      <c r="P97" s="167">
        <v>0</v>
      </c>
      <c r="Q97" s="190">
        <v>0</v>
      </c>
      <c r="R97" s="192">
        <v>0</v>
      </c>
      <c r="S97" s="238">
        <f>SUM(L97)</f>
        <v>435776.4</v>
      </c>
      <c r="T97" s="158"/>
      <c r="U97" s="158"/>
      <c r="V97" s="158"/>
      <c r="W97" s="158"/>
      <c r="X97" s="158"/>
      <c r="Y97" s="251" t="b">
        <f t="shared" si="16"/>
        <v>1</v>
      </c>
      <c r="Z97" s="262">
        <f t="shared" si="17"/>
        <v>0.6</v>
      </c>
      <c r="AA97" s="20" t="b">
        <f t="shared" si="19"/>
        <v>1</v>
      </c>
      <c r="AB97" s="20" t="b">
        <f t="shared" si="18"/>
        <v>1</v>
      </c>
    </row>
    <row r="98" spans="1:28" ht="26.25" customHeight="1" x14ac:dyDescent="0.3">
      <c r="A98" s="292">
        <v>96</v>
      </c>
      <c r="B98" s="237" t="s">
        <v>711</v>
      </c>
      <c r="C98" s="228" t="s">
        <v>315</v>
      </c>
      <c r="D98" s="235" t="s">
        <v>609</v>
      </c>
      <c r="E98" s="236" t="s">
        <v>667</v>
      </c>
      <c r="F98" s="237" t="s">
        <v>185</v>
      </c>
      <c r="G98" s="237" t="s">
        <v>712</v>
      </c>
      <c r="H98" s="218" t="s">
        <v>85</v>
      </c>
      <c r="I98" s="231">
        <v>0.56499999999999995</v>
      </c>
      <c r="J98" s="293" t="s">
        <v>610</v>
      </c>
      <c r="K98" s="238">
        <v>836063</v>
      </c>
      <c r="L98" s="203">
        <f t="shared" ref="L98" si="23">ROUND(K98*N98,2)</f>
        <v>418031.5</v>
      </c>
      <c r="M98" s="204">
        <f t="shared" si="21"/>
        <v>418031.5</v>
      </c>
      <c r="N98" s="234">
        <v>0.5</v>
      </c>
      <c r="O98" s="167">
        <v>0</v>
      </c>
      <c r="P98" s="167">
        <v>0</v>
      </c>
      <c r="Q98" s="190">
        <v>0</v>
      </c>
      <c r="R98" s="192">
        <v>0</v>
      </c>
      <c r="S98" s="238">
        <f t="shared" ref="S98" si="24">SUM(L98)</f>
        <v>418031.5</v>
      </c>
      <c r="T98" s="158"/>
      <c r="U98" s="158"/>
      <c r="V98" s="158"/>
      <c r="W98" s="158"/>
      <c r="X98" s="158"/>
      <c r="Y98" s="251" t="b">
        <f t="shared" si="16"/>
        <v>1</v>
      </c>
      <c r="Z98" s="262">
        <f t="shared" si="17"/>
        <v>0.5</v>
      </c>
      <c r="AA98" s="20" t="b">
        <f t="shared" si="19"/>
        <v>1</v>
      </c>
      <c r="AB98" s="20" t="b">
        <f t="shared" si="18"/>
        <v>1</v>
      </c>
    </row>
    <row r="99" spans="1:28" ht="49.5" customHeight="1" x14ac:dyDescent="0.3">
      <c r="A99" s="292" t="s">
        <v>826</v>
      </c>
      <c r="B99" s="237" t="s">
        <v>440</v>
      </c>
      <c r="C99" s="228" t="s">
        <v>315</v>
      </c>
      <c r="D99" s="235" t="s">
        <v>432</v>
      </c>
      <c r="E99" s="236" t="s">
        <v>648</v>
      </c>
      <c r="F99" s="237" t="s">
        <v>258</v>
      </c>
      <c r="G99" s="237" t="s">
        <v>441</v>
      </c>
      <c r="H99" s="218" t="s">
        <v>80</v>
      </c>
      <c r="I99" s="231">
        <v>0.76200000000000001</v>
      </c>
      <c r="J99" s="293" t="s">
        <v>439</v>
      </c>
      <c r="K99" s="238">
        <v>6286662</v>
      </c>
      <c r="L99" s="203">
        <v>822256.3</v>
      </c>
      <c r="M99" s="204">
        <f>K99-L99</f>
        <v>5464405.7000000002</v>
      </c>
      <c r="N99" s="234">
        <v>0.5</v>
      </c>
      <c r="O99" s="167">
        <v>0</v>
      </c>
      <c r="P99" s="167">
        <v>0</v>
      </c>
      <c r="Q99" s="190">
        <v>0</v>
      </c>
      <c r="R99" s="192">
        <v>0</v>
      </c>
      <c r="S99" s="238">
        <f>SUM(L99)</f>
        <v>822256.3</v>
      </c>
      <c r="T99" s="260"/>
      <c r="U99" s="260"/>
      <c r="V99" s="260"/>
      <c r="W99" s="261"/>
      <c r="X99" s="261"/>
      <c r="Y99" s="251" t="b">
        <f t="shared" si="16"/>
        <v>1</v>
      </c>
      <c r="Z99" s="262">
        <f t="shared" si="17"/>
        <v>0.1308</v>
      </c>
      <c r="AA99" s="20" t="b">
        <f t="shared" si="19"/>
        <v>0</v>
      </c>
      <c r="AB99" s="20" t="b">
        <f t="shared" si="18"/>
        <v>1</v>
      </c>
    </row>
    <row r="100" spans="1:28" ht="20.100000000000001" hidden="1" customHeight="1" x14ac:dyDescent="0.3">
      <c r="A100" s="338" t="s">
        <v>44</v>
      </c>
      <c r="B100" s="339"/>
      <c r="C100" s="339"/>
      <c r="D100" s="339"/>
      <c r="E100" s="339"/>
      <c r="F100" s="339"/>
      <c r="G100" s="339"/>
      <c r="H100" s="340"/>
      <c r="I100" s="239">
        <f>SUM(I3:I99)</f>
        <v>134.48799999999994</v>
      </c>
      <c r="J100" s="240" t="s">
        <v>14</v>
      </c>
      <c r="K100" s="241">
        <f>SUM(K3:K99)</f>
        <v>339205929.10999995</v>
      </c>
      <c r="L100" s="241">
        <f>SUM(L3:L99)</f>
        <v>162779925.60000002</v>
      </c>
      <c r="M100" s="241">
        <f>SUM(M3:M99)</f>
        <v>176426003.50999996</v>
      </c>
      <c r="N100" s="242" t="s">
        <v>14</v>
      </c>
      <c r="O100" s="241">
        <f t="shared" ref="O100:X100" si="25">SUM(O3:O99)</f>
        <v>44884.24</v>
      </c>
      <c r="P100" s="241">
        <f t="shared" si="25"/>
        <v>749134</v>
      </c>
      <c r="Q100" s="243">
        <f t="shared" si="25"/>
        <v>16424301.849999998</v>
      </c>
      <c r="R100" s="243">
        <f t="shared" si="25"/>
        <v>29844572.530000001</v>
      </c>
      <c r="S100" s="243">
        <f t="shared" si="25"/>
        <v>84562292.950000003</v>
      </c>
      <c r="T100" s="243">
        <f t="shared" si="25"/>
        <v>29876766.73</v>
      </c>
      <c r="U100" s="243">
        <f t="shared" si="25"/>
        <v>1277973.3</v>
      </c>
      <c r="V100" s="243">
        <f t="shared" si="25"/>
        <v>0</v>
      </c>
      <c r="W100" s="243">
        <f t="shared" si="25"/>
        <v>0</v>
      </c>
      <c r="X100" s="243">
        <f t="shared" si="25"/>
        <v>0</v>
      </c>
      <c r="Y100" s="251" t="b">
        <f t="shared" si="16"/>
        <v>1</v>
      </c>
      <c r="Z100" s="262">
        <f t="shared" si="17"/>
        <v>0.47989999999999999</v>
      </c>
      <c r="AA100" s="20" t="s">
        <v>14</v>
      </c>
      <c r="AB100" s="20" t="b">
        <f t="shared" si="18"/>
        <v>1</v>
      </c>
    </row>
    <row r="101" spans="1:28" ht="20.100000000000001" hidden="1" customHeight="1" x14ac:dyDescent="0.3">
      <c r="A101" s="338" t="s">
        <v>37</v>
      </c>
      <c r="B101" s="339"/>
      <c r="C101" s="339"/>
      <c r="D101" s="339"/>
      <c r="E101" s="339"/>
      <c r="F101" s="339"/>
      <c r="G101" s="339"/>
      <c r="H101" s="340"/>
      <c r="I101" s="239">
        <f>SUMIF($C$3:$C$99,"K",I3:I99)</f>
        <v>91.620999999999967</v>
      </c>
      <c r="J101" s="240" t="s">
        <v>14</v>
      </c>
      <c r="K101" s="241">
        <f>SUMIF($C$3:$C$99,"K",K3:K99)</f>
        <v>214197038.10999995</v>
      </c>
      <c r="L101" s="241">
        <f>SUMIF($C$3:$C$99,"K",L3:L99)</f>
        <v>104767726.2</v>
      </c>
      <c r="M101" s="241">
        <f>SUMIF($C$3:$C$99,"K",M3:M99)</f>
        <v>109429311.91</v>
      </c>
      <c r="N101" s="242" t="s">
        <v>14</v>
      </c>
      <c r="O101" s="241">
        <f t="shared" ref="O101:X101" si="26">SUMIF($C$3:$C$99,"K",O3:O99)</f>
        <v>44884.24</v>
      </c>
      <c r="P101" s="241">
        <f t="shared" si="26"/>
        <v>749134</v>
      </c>
      <c r="Q101" s="243">
        <f t="shared" si="26"/>
        <v>16424301.849999998</v>
      </c>
      <c r="R101" s="243">
        <f t="shared" si="26"/>
        <v>29844572.530000001</v>
      </c>
      <c r="S101" s="243">
        <f t="shared" si="26"/>
        <v>34373965.349999994</v>
      </c>
      <c r="T101" s="243">
        <f t="shared" si="26"/>
        <v>22052894.93</v>
      </c>
      <c r="U101" s="243">
        <f t="shared" si="26"/>
        <v>1277973.3</v>
      </c>
      <c r="V101" s="243">
        <f t="shared" si="26"/>
        <v>0</v>
      </c>
      <c r="W101" s="243">
        <f t="shared" si="26"/>
        <v>0</v>
      </c>
      <c r="X101" s="243">
        <f t="shared" si="26"/>
        <v>0</v>
      </c>
      <c r="Y101" s="251" t="b">
        <f t="shared" si="16"/>
        <v>1</v>
      </c>
      <c r="Z101" s="262">
        <f t="shared" si="17"/>
        <v>0.48909999999999998</v>
      </c>
      <c r="AA101" s="20" t="s">
        <v>14</v>
      </c>
      <c r="AB101" s="20" t="b">
        <f t="shared" si="18"/>
        <v>1</v>
      </c>
    </row>
    <row r="102" spans="1:28" ht="20.100000000000001" hidden="1" customHeight="1" x14ac:dyDescent="0.3">
      <c r="A102" s="338" t="s">
        <v>38</v>
      </c>
      <c r="B102" s="339"/>
      <c r="C102" s="339"/>
      <c r="D102" s="339"/>
      <c r="E102" s="339"/>
      <c r="F102" s="339"/>
      <c r="G102" s="339"/>
      <c r="H102" s="340"/>
      <c r="I102" s="239">
        <f>SUMIF($C$3:$C$99,"N",I3:I99)</f>
        <v>32.166000000000004</v>
      </c>
      <c r="J102" s="240" t="s">
        <v>14</v>
      </c>
      <c r="K102" s="241">
        <f>SUMIF($C$3:$C$99,"N",K3:K99)</f>
        <v>98634602</v>
      </c>
      <c r="L102" s="241">
        <f>SUMIF($C$3:$C$99,"N",L3:L99)</f>
        <v>50188327.600000001</v>
      </c>
      <c r="M102" s="241">
        <f>SUMIF($C$3:$C$99,"N",M3:M99)</f>
        <v>48446274.400000006</v>
      </c>
      <c r="N102" s="242" t="s">
        <v>14</v>
      </c>
      <c r="O102" s="241">
        <f t="shared" ref="O102:X102" si="27">SUMIF($C$3:$C$99,"N",O3:O99)</f>
        <v>0</v>
      </c>
      <c r="P102" s="241">
        <f t="shared" si="27"/>
        <v>0</v>
      </c>
      <c r="Q102" s="243">
        <f t="shared" si="27"/>
        <v>0</v>
      </c>
      <c r="R102" s="243">
        <f t="shared" si="27"/>
        <v>0</v>
      </c>
      <c r="S102" s="243">
        <f t="shared" si="27"/>
        <v>50188327.600000001</v>
      </c>
      <c r="T102" s="243">
        <f t="shared" si="27"/>
        <v>0</v>
      </c>
      <c r="U102" s="243">
        <f t="shared" si="27"/>
        <v>0</v>
      </c>
      <c r="V102" s="243">
        <f t="shared" si="27"/>
        <v>0</v>
      </c>
      <c r="W102" s="243">
        <f t="shared" si="27"/>
        <v>0</v>
      </c>
      <c r="X102" s="243">
        <f t="shared" si="27"/>
        <v>0</v>
      </c>
      <c r="Y102" s="251" t="b">
        <f t="shared" si="16"/>
        <v>1</v>
      </c>
      <c r="Z102" s="262">
        <f t="shared" si="17"/>
        <v>0.50880000000000003</v>
      </c>
      <c r="AA102" s="20" t="s">
        <v>14</v>
      </c>
      <c r="AB102" s="20" t="b">
        <f t="shared" si="18"/>
        <v>1</v>
      </c>
    </row>
    <row r="103" spans="1:28" ht="20.100000000000001" hidden="1" customHeight="1" x14ac:dyDescent="0.3">
      <c r="A103" s="335" t="s">
        <v>39</v>
      </c>
      <c r="B103" s="336"/>
      <c r="C103" s="336"/>
      <c r="D103" s="336"/>
      <c r="E103" s="336"/>
      <c r="F103" s="336"/>
      <c r="G103" s="336"/>
      <c r="H103" s="337"/>
      <c r="I103" s="244">
        <f>SUMIF($C$3:$C$99,"W",I3:I99)</f>
        <v>10.701000000000001</v>
      </c>
      <c r="J103" s="245" t="s">
        <v>14</v>
      </c>
      <c r="K103" s="246">
        <f>SUMIF($C$3:$C$99,"W",K3:K99)</f>
        <v>26374289</v>
      </c>
      <c r="L103" s="246">
        <f>SUMIF($C$3:$C$99,"W",L3:L99)</f>
        <v>7823871.7999999998</v>
      </c>
      <c r="M103" s="246">
        <f>SUMIF($C$3:$C$99,"W",M3:M99)</f>
        <v>18550417.199999999</v>
      </c>
      <c r="N103" s="247" t="s">
        <v>14</v>
      </c>
      <c r="O103" s="246">
        <f t="shared" ref="O103:X103" si="28">SUMIF($C$3:$C$99,"W",O3:O99)</f>
        <v>0</v>
      </c>
      <c r="P103" s="246">
        <f t="shared" si="28"/>
        <v>0</v>
      </c>
      <c r="Q103" s="248">
        <f t="shared" si="28"/>
        <v>0</v>
      </c>
      <c r="R103" s="248">
        <f t="shared" si="28"/>
        <v>0</v>
      </c>
      <c r="S103" s="248">
        <f t="shared" si="28"/>
        <v>0</v>
      </c>
      <c r="T103" s="248">
        <f t="shared" si="28"/>
        <v>7823871.7999999998</v>
      </c>
      <c r="U103" s="248">
        <f t="shared" si="28"/>
        <v>0</v>
      </c>
      <c r="V103" s="248">
        <f t="shared" si="28"/>
        <v>0</v>
      </c>
      <c r="W103" s="248">
        <f t="shared" si="28"/>
        <v>0</v>
      </c>
      <c r="X103" s="248">
        <f t="shared" si="28"/>
        <v>0</v>
      </c>
      <c r="Y103" s="251" t="b">
        <f t="shared" si="16"/>
        <v>1</v>
      </c>
      <c r="Z103" s="262">
        <f t="shared" si="17"/>
        <v>0.29659999999999997</v>
      </c>
      <c r="AA103" s="20" t="s">
        <v>14</v>
      </c>
      <c r="AB103" s="20" t="b">
        <f t="shared" si="18"/>
        <v>1</v>
      </c>
    </row>
    <row r="104" spans="1:28" x14ac:dyDescent="0.3">
      <c r="A104" s="301"/>
      <c r="K104" s="302"/>
    </row>
    <row r="105" spans="1:28" x14ac:dyDescent="0.3">
      <c r="A105" s="252" t="s">
        <v>24</v>
      </c>
    </row>
    <row r="106" spans="1:28" x14ac:dyDescent="0.3">
      <c r="A106" s="255" t="s">
        <v>25</v>
      </c>
    </row>
    <row r="107" spans="1:28" x14ac:dyDescent="0.3">
      <c r="A107" s="252" t="s">
        <v>42</v>
      </c>
    </row>
    <row r="108" spans="1:28" x14ac:dyDescent="0.3">
      <c r="A108" s="256" t="s">
        <v>47</v>
      </c>
    </row>
  </sheetData>
  <autoFilter ref="A1:AB103">
    <filterColumn colId="2">
      <filters>
        <filter val="N"/>
      </filters>
    </filterColumn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</autoFilter>
  <mergeCells count="19">
    <mergeCell ref="O1:X1"/>
    <mergeCell ref="L1:L2"/>
    <mergeCell ref="M1:M2"/>
    <mergeCell ref="A100:H100"/>
    <mergeCell ref="H1:H2"/>
    <mergeCell ref="I1:I2"/>
    <mergeCell ref="J1:J2"/>
    <mergeCell ref="K1:K2"/>
    <mergeCell ref="A1:A2"/>
    <mergeCell ref="B1:B2"/>
    <mergeCell ref="C1:C2"/>
    <mergeCell ref="F1:F2"/>
    <mergeCell ref="G1:G2"/>
    <mergeCell ref="D1:D2"/>
    <mergeCell ref="A103:H103"/>
    <mergeCell ref="A102:H102"/>
    <mergeCell ref="E1:E2"/>
    <mergeCell ref="A101:H101"/>
    <mergeCell ref="N1:N2"/>
  </mergeCells>
  <conditionalFormatting sqref="Y3:AB101">
    <cfRule type="cellIs" dxfId="42" priority="15" operator="equal">
      <formula>FALSE</formula>
    </cfRule>
  </conditionalFormatting>
  <conditionalFormatting sqref="Y3:AA101">
    <cfRule type="containsText" dxfId="41" priority="13" operator="containsText" text="fałsz">
      <formula>NOT(ISERROR(SEARCH("fałsz",Y3)))</formula>
    </cfRule>
  </conditionalFormatting>
  <conditionalFormatting sqref="Z103:AA103">
    <cfRule type="cellIs" dxfId="40" priority="10" operator="equal">
      <formula>FALSE</formula>
    </cfRule>
  </conditionalFormatting>
  <conditionalFormatting sqref="Y103:AA103">
    <cfRule type="containsText" dxfId="39" priority="8" operator="containsText" text="fałsz">
      <formula>NOT(ISERROR(SEARCH("fałsz",Y103)))</formula>
    </cfRule>
  </conditionalFormatting>
  <conditionalFormatting sqref="Y103">
    <cfRule type="cellIs" dxfId="38" priority="9" operator="equal">
      <formula>FALSE</formula>
    </cfRule>
  </conditionalFormatting>
  <conditionalFormatting sqref="AB103">
    <cfRule type="cellIs" dxfId="37" priority="7" operator="equal">
      <formula>FALSE</formula>
    </cfRule>
  </conditionalFormatting>
  <conditionalFormatting sqref="AB103">
    <cfRule type="cellIs" dxfId="36" priority="6" operator="equal">
      <formula>FALSE</formula>
    </cfRule>
  </conditionalFormatting>
  <conditionalFormatting sqref="Z102:AA102">
    <cfRule type="cellIs" dxfId="35" priority="5" operator="equal">
      <formula>FALSE</formula>
    </cfRule>
  </conditionalFormatting>
  <conditionalFormatting sqref="Y102">
    <cfRule type="cellIs" dxfId="34" priority="4" operator="equal">
      <formula>FALSE</formula>
    </cfRule>
  </conditionalFormatting>
  <conditionalFormatting sqref="Y102:AA102">
    <cfRule type="containsText" dxfId="33" priority="3" operator="containsText" text="fałsz">
      <formula>NOT(ISERROR(SEARCH("fałsz",Y102)))</formula>
    </cfRule>
  </conditionalFormatting>
  <conditionalFormatting sqref="AB102">
    <cfRule type="cellIs" dxfId="32" priority="2" operator="equal">
      <formula>FALSE</formula>
    </cfRule>
  </conditionalFormatting>
  <conditionalFormatting sqref="AB102">
    <cfRule type="cellIs" dxfId="31" priority="1" operator="equal">
      <formula>FALSE</formula>
    </cfRule>
  </conditionalFormatting>
  <dataValidations count="3">
    <dataValidation type="list" allowBlank="1" showInputMessage="1" showErrorMessage="1" sqref="H3:H10 G11:G61 H62:H99">
      <formula1>"B,P,R"</formula1>
    </dataValidation>
    <dataValidation type="list" allowBlank="1" showInputMessage="1" showErrorMessage="1" sqref="D3:D4 C62:C99">
      <formula1>"N,K,W"</formula1>
    </dataValidation>
    <dataValidation type="list" allowBlank="1" showInputMessage="1" showErrorMessage="1" sqref="C43:C44 C49:C51">
      <formula1>"N,W,K"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Warmińsko-Mazurskie - zadania gminne lista podstawowa</oddHead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4"/>
  <sheetViews>
    <sheetView showGridLines="0" view="pageBreakPreview" topLeftCell="A10" zoomScale="90" zoomScaleNormal="78" zoomScaleSheetLayoutView="90" workbookViewId="0">
      <selection activeCell="C21" sqref="C21"/>
    </sheetView>
  </sheetViews>
  <sheetFormatPr defaultColWidth="9.109375" defaultRowHeight="14.4" x14ac:dyDescent="0.3"/>
  <cols>
    <col min="1" max="1" width="10.33203125" style="253" customWidth="1"/>
    <col min="2" max="2" width="13.33203125" style="253" customWidth="1"/>
    <col min="3" max="3" width="14" style="253" customWidth="1"/>
    <col min="4" max="4" width="15.6640625" style="253" customWidth="1"/>
    <col min="5" max="5" width="10" style="253" customWidth="1"/>
    <col min="6" max="6" width="31.6640625" style="253" customWidth="1"/>
    <col min="7" max="12" width="15.6640625" style="253" customWidth="1"/>
    <col min="13" max="13" width="15.6640625" style="251" customWidth="1"/>
    <col min="14" max="25" width="15.6640625" style="253" customWidth="1"/>
    <col min="26" max="27" width="15.6640625" style="8" customWidth="1"/>
    <col min="28" max="16384" width="9.109375" style="8"/>
  </cols>
  <sheetData>
    <row r="1" spans="1:28" ht="20.100000000000001" customHeight="1" x14ac:dyDescent="0.3">
      <c r="A1" s="330" t="s">
        <v>4</v>
      </c>
      <c r="B1" s="330" t="s">
        <v>5</v>
      </c>
      <c r="C1" s="333" t="s">
        <v>45</v>
      </c>
      <c r="D1" s="328" t="s">
        <v>6</v>
      </c>
      <c r="E1" s="333" t="s">
        <v>32</v>
      </c>
      <c r="F1" s="328" t="s">
        <v>7</v>
      </c>
      <c r="G1" s="330" t="s">
        <v>26</v>
      </c>
      <c r="H1" s="330" t="s">
        <v>8</v>
      </c>
      <c r="I1" s="330" t="s">
        <v>23</v>
      </c>
      <c r="J1" s="330" t="s">
        <v>9</v>
      </c>
      <c r="K1" s="330" t="s">
        <v>10</v>
      </c>
      <c r="L1" s="328" t="s">
        <v>13</v>
      </c>
      <c r="M1" s="330" t="s">
        <v>11</v>
      </c>
      <c r="N1" s="330" t="s">
        <v>12</v>
      </c>
      <c r="O1" s="330"/>
      <c r="P1" s="330"/>
      <c r="Q1" s="330"/>
      <c r="R1" s="330"/>
      <c r="S1" s="330"/>
      <c r="T1" s="330"/>
      <c r="U1" s="330"/>
      <c r="V1" s="330"/>
      <c r="W1" s="330"/>
    </row>
    <row r="2" spans="1:28" ht="20.100000000000001" customHeight="1" x14ac:dyDescent="0.3">
      <c r="A2" s="330"/>
      <c r="B2" s="330"/>
      <c r="C2" s="334"/>
      <c r="D2" s="329"/>
      <c r="E2" s="334"/>
      <c r="F2" s="329"/>
      <c r="G2" s="330"/>
      <c r="H2" s="330"/>
      <c r="I2" s="330"/>
      <c r="J2" s="330"/>
      <c r="K2" s="330"/>
      <c r="L2" s="329"/>
      <c r="M2" s="330"/>
      <c r="N2" s="149">
        <v>2019</v>
      </c>
      <c r="O2" s="149">
        <v>2020</v>
      </c>
      <c r="P2" s="149">
        <v>2021</v>
      </c>
      <c r="Q2" s="149">
        <v>2022</v>
      </c>
      <c r="R2" s="149">
        <v>2023</v>
      </c>
      <c r="S2" s="149">
        <v>2024</v>
      </c>
      <c r="T2" s="149">
        <v>2025</v>
      </c>
      <c r="U2" s="149">
        <v>2026</v>
      </c>
      <c r="V2" s="149">
        <v>2027</v>
      </c>
      <c r="W2" s="149">
        <v>2028</v>
      </c>
      <c r="X2" s="251" t="s">
        <v>28</v>
      </c>
      <c r="Y2" s="251" t="s">
        <v>29</v>
      </c>
      <c r="Z2" s="1" t="s">
        <v>30</v>
      </c>
      <c r="AA2" s="1" t="s">
        <v>31</v>
      </c>
    </row>
    <row r="3" spans="1:28" s="21" customFormat="1" ht="30" customHeight="1" x14ac:dyDescent="0.3">
      <c r="A3" s="218">
        <v>1</v>
      </c>
      <c r="B3" s="195" t="s">
        <v>573</v>
      </c>
      <c r="C3" s="196" t="s">
        <v>315</v>
      </c>
      <c r="D3" s="197" t="s">
        <v>317</v>
      </c>
      <c r="E3" s="198" t="s">
        <v>50</v>
      </c>
      <c r="F3" s="199" t="s">
        <v>574</v>
      </c>
      <c r="G3" s="195" t="s">
        <v>85</v>
      </c>
      <c r="H3" s="200">
        <v>0.27700000000000002</v>
      </c>
      <c r="I3" s="201" t="s">
        <v>541</v>
      </c>
      <c r="J3" s="202">
        <v>1795001</v>
      </c>
      <c r="K3" s="219">
        <f t="shared" ref="K3:K9" si="0">ROUND(J3*M3,2)</f>
        <v>1077000.6000000001</v>
      </c>
      <c r="L3" s="220">
        <f t="shared" ref="L3:L26" si="1">J3-K3</f>
        <v>718000.39999999991</v>
      </c>
      <c r="M3" s="205">
        <v>0.6</v>
      </c>
      <c r="N3" s="167">
        <v>0</v>
      </c>
      <c r="O3" s="167">
        <v>0</v>
      </c>
      <c r="P3" s="190">
        <v>0</v>
      </c>
      <c r="Q3" s="190">
        <v>0</v>
      </c>
      <c r="R3" s="206">
        <f t="shared" ref="R3:R9" si="2">SUM(K3)</f>
        <v>1077000.6000000001</v>
      </c>
      <c r="S3" s="227"/>
      <c r="T3" s="227"/>
      <c r="U3" s="227"/>
      <c r="V3" s="227"/>
      <c r="W3" s="227"/>
      <c r="X3" s="251" t="b">
        <f t="shared" ref="X3:X26" si="3">K3=SUM(N3:W3)</f>
        <v>1</v>
      </c>
      <c r="Y3" s="262">
        <f t="shared" ref="Y3:Y26" si="4">ROUND(K3/J3,4)</f>
        <v>0.6</v>
      </c>
      <c r="Z3" s="20" t="b">
        <f t="shared" ref="Z3:Z26" si="5">Y3=M3</f>
        <v>1</v>
      </c>
      <c r="AA3" s="20" t="b">
        <f t="shared" ref="AA3:AA26" si="6">J3=K3+L3</f>
        <v>1</v>
      </c>
      <c r="AB3" s="22"/>
    </row>
    <row r="4" spans="1:28" s="147" customFormat="1" ht="30" customHeight="1" x14ac:dyDescent="0.3">
      <c r="A4" s="218">
        <v>2</v>
      </c>
      <c r="B4" s="195" t="s">
        <v>343</v>
      </c>
      <c r="C4" s="196" t="s">
        <v>315</v>
      </c>
      <c r="D4" s="197" t="s">
        <v>185</v>
      </c>
      <c r="E4" s="198" t="s">
        <v>58</v>
      </c>
      <c r="F4" s="199" t="s">
        <v>344</v>
      </c>
      <c r="G4" s="195" t="s">
        <v>85</v>
      </c>
      <c r="H4" s="200">
        <v>0.75700000000000001</v>
      </c>
      <c r="I4" s="201" t="s">
        <v>340</v>
      </c>
      <c r="J4" s="202">
        <v>4740810</v>
      </c>
      <c r="K4" s="219">
        <f>ROUNDDOWN(J4*M4,1)</f>
        <v>3318567</v>
      </c>
      <c r="L4" s="220">
        <f>J4-K4</f>
        <v>1422243</v>
      </c>
      <c r="M4" s="205">
        <v>0.7</v>
      </c>
      <c r="N4" s="167">
        <v>0</v>
      </c>
      <c r="O4" s="167">
        <v>0</v>
      </c>
      <c r="P4" s="190">
        <v>0</v>
      </c>
      <c r="Q4" s="190">
        <v>0</v>
      </c>
      <c r="R4" s="206">
        <f>SUM(K4)</f>
        <v>3318567</v>
      </c>
      <c r="S4" s="227"/>
      <c r="T4" s="227"/>
      <c r="U4" s="227"/>
      <c r="V4" s="227"/>
      <c r="W4" s="227"/>
      <c r="X4" s="251" t="b">
        <f>K4=SUM(N4:W4)</f>
        <v>1</v>
      </c>
      <c r="Y4" s="262">
        <f>ROUND(K4/J4,4)</f>
        <v>0.7</v>
      </c>
      <c r="Z4" s="145" t="b">
        <f>Y4=M4</f>
        <v>1</v>
      </c>
      <c r="AA4" s="145" t="b">
        <f>J4=K4+L4</f>
        <v>1</v>
      </c>
      <c r="AB4" s="146"/>
    </row>
    <row r="5" spans="1:28" s="21" customFormat="1" ht="50.25" customHeight="1" x14ac:dyDescent="0.3">
      <c r="A5" s="218">
        <v>3</v>
      </c>
      <c r="B5" s="195" t="s">
        <v>444</v>
      </c>
      <c r="C5" s="196" t="s">
        <v>315</v>
      </c>
      <c r="D5" s="197" t="s">
        <v>284</v>
      </c>
      <c r="E5" s="198" t="s">
        <v>51</v>
      </c>
      <c r="F5" s="199" t="s">
        <v>445</v>
      </c>
      <c r="G5" s="195" t="s">
        <v>85</v>
      </c>
      <c r="H5" s="200">
        <v>0.52</v>
      </c>
      <c r="I5" s="201" t="s">
        <v>446</v>
      </c>
      <c r="J5" s="202">
        <v>1219058</v>
      </c>
      <c r="K5" s="219">
        <f t="shared" si="0"/>
        <v>731434.8</v>
      </c>
      <c r="L5" s="220">
        <f t="shared" si="1"/>
        <v>487623.19999999995</v>
      </c>
      <c r="M5" s="205">
        <v>0.6</v>
      </c>
      <c r="N5" s="167">
        <v>0</v>
      </c>
      <c r="O5" s="167">
        <v>0</v>
      </c>
      <c r="P5" s="190">
        <v>0</v>
      </c>
      <c r="Q5" s="190">
        <v>0</v>
      </c>
      <c r="R5" s="206">
        <f t="shared" si="2"/>
        <v>731434.8</v>
      </c>
      <c r="S5" s="227"/>
      <c r="T5" s="227"/>
      <c r="U5" s="227"/>
      <c r="V5" s="227"/>
      <c r="W5" s="227"/>
      <c r="X5" s="251" t="b">
        <f t="shared" si="3"/>
        <v>1</v>
      </c>
      <c r="Y5" s="262">
        <f t="shared" si="4"/>
        <v>0.6</v>
      </c>
      <c r="Z5" s="20" t="b">
        <f t="shared" si="5"/>
        <v>1</v>
      </c>
      <c r="AA5" s="20" t="b">
        <f t="shared" si="6"/>
        <v>1</v>
      </c>
      <c r="AB5" s="22"/>
    </row>
    <row r="6" spans="1:28" s="21" customFormat="1" ht="38.4" customHeight="1" x14ac:dyDescent="0.3">
      <c r="A6" s="218">
        <v>4</v>
      </c>
      <c r="B6" s="195" t="s">
        <v>447</v>
      </c>
      <c r="C6" s="196" t="s">
        <v>315</v>
      </c>
      <c r="D6" s="197" t="s">
        <v>284</v>
      </c>
      <c r="E6" s="198" t="s">
        <v>51</v>
      </c>
      <c r="F6" s="199" t="s">
        <v>448</v>
      </c>
      <c r="G6" s="195" t="s">
        <v>85</v>
      </c>
      <c r="H6" s="200">
        <v>4.84</v>
      </c>
      <c r="I6" s="201" t="s">
        <v>446</v>
      </c>
      <c r="J6" s="202">
        <v>10638279</v>
      </c>
      <c r="K6" s="219">
        <f t="shared" si="0"/>
        <v>6382967.4000000004</v>
      </c>
      <c r="L6" s="220">
        <f t="shared" si="1"/>
        <v>4255311.5999999996</v>
      </c>
      <c r="M6" s="205">
        <v>0.6</v>
      </c>
      <c r="N6" s="167">
        <v>0</v>
      </c>
      <c r="O6" s="167">
        <v>0</v>
      </c>
      <c r="P6" s="190">
        <v>0</v>
      </c>
      <c r="Q6" s="190">
        <v>0</v>
      </c>
      <c r="R6" s="206">
        <f t="shared" si="2"/>
        <v>6382967.4000000004</v>
      </c>
      <c r="S6" s="227"/>
      <c r="T6" s="227"/>
      <c r="U6" s="227"/>
      <c r="V6" s="227"/>
      <c r="W6" s="227"/>
      <c r="X6" s="251" t="b">
        <f t="shared" si="3"/>
        <v>1</v>
      </c>
      <c r="Y6" s="262">
        <f t="shared" si="4"/>
        <v>0.6</v>
      </c>
      <c r="Z6" s="20" t="b">
        <f t="shared" si="5"/>
        <v>1</v>
      </c>
      <c r="AA6" s="20" t="b">
        <f t="shared" si="6"/>
        <v>1</v>
      </c>
      <c r="AB6" s="22"/>
    </row>
    <row r="7" spans="1:28" s="21" customFormat="1" ht="30" customHeight="1" x14ac:dyDescent="0.3">
      <c r="A7" s="218">
        <v>5</v>
      </c>
      <c r="B7" s="195" t="s">
        <v>341</v>
      </c>
      <c r="C7" s="196" t="s">
        <v>315</v>
      </c>
      <c r="D7" s="197" t="s">
        <v>185</v>
      </c>
      <c r="E7" s="198" t="s">
        <v>58</v>
      </c>
      <c r="F7" s="199" t="s">
        <v>342</v>
      </c>
      <c r="G7" s="195" t="s">
        <v>71</v>
      </c>
      <c r="H7" s="200">
        <v>3.6890000000000001</v>
      </c>
      <c r="I7" s="201" t="s">
        <v>340</v>
      </c>
      <c r="J7" s="202">
        <v>5603162</v>
      </c>
      <c r="K7" s="219">
        <f t="shared" si="0"/>
        <v>2801581</v>
      </c>
      <c r="L7" s="220">
        <f t="shared" si="1"/>
        <v>2801581</v>
      </c>
      <c r="M7" s="205">
        <v>0.5</v>
      </c>
      <c r="N7" s="167">
        <v>0</v>
      </c>
      <c r="O7" s="167">
        <v>0</v>
      </c>
      <c r="P7" s="190">
        <v>0</v>
      </c>
      <c r="Q7" s="190">
        <v>0</v>
      </c>
      <c r="R7" s="206">
        <f t="shared" si="2"/>
        <v>2801581</v>
      </c>
      <c r="S7" s="227"/>
      <c r="T7" s="227"/>
      <c r="U7" s="227"/>
      <c r="V7" s="227"/>
      <c r="W7" s="227"/>
      <c r="X7" s="251" t="b">
        <f t="shared" si="3"/>
        <v>1</v>
      </c>
      <c r="Y7" s="262">
        <f t="shared" si="4"/>
        <v>0.5</v>
      </c>
      <c r="Z7" s="20" t="b">
        <f t="shared" si="5"/>
        <v>1</v>
      </c>
      <c r="AA7" s="20" t="b">
        <f t="shared" si="6"/>
        <v>1</v>
      </c>
      <c r="AB7" s="22"/>
    </row>
    <row r="8" spans="1:28" s="21" customFormat="1" ht="38.4" customHeight="1" x14ac:dyDescent="0.3">
      <c r="A8" s="218">
        <v>6</v>
      </c>
      <c r="B8" s="195" t="s">
        <v>485</v>
      </c>
      <c r="C8" s="196" t="s">
        <v>315</v>
      </c>
      <c r="D8" s="197" t="s">
        <v>385</v>
      </c>
      <c r="E8" s="198" t="s">
        <v>61</v>
      </c>
      <c r="F8" s="199" t="s">
        <v>486</v>
      </c>
      <c r="G8" s="195" t="s">
        <v>85</v>
      </c>
      <c r="H8" s="200">
        <v>6.53</v>
      </c>
      <c r="I8" s="201" t="s">
        <v>487</v>
      </c>
      <c r="J8" s="202">
        <v>13170000</v>
      </c>
      <c r="K8" s="219">
        <f t="shared" si="0"/>
        <v>6585000</v>
      </c>
      <c r="L8" s="220">
        <f t="shared" si="1"/>
        <v>6585000</v>
      </c>
      <c r="M8" s="205">
        <v>0.5</v>
      </c>
      <c r="N8" s="167">
        <v>0</v>
      </c>
      <c r="O8" s="167">
        <v>0</v>
      </c>
      <c r="P8" s="190">
        <v>0</v>
      </c>
      <c r="Q8" s="190">
        <v>0</v>
      </c>
      <c r="R8" s="206">
        <f t="shared" si="2"/>
        <v>6585000</v>
      </c>
      <c r="S8" s="227"/>
      <c r="T8" s="227"/>
      <c r="U8" s="227"/>
      <c r="V8" s="227"/>
      <c r="W8" s="227"/>
      <c r="X8" s="251" t="b">
        <f t="shared" si="3"/>
        <v>1</v>
      </c>
      <c r="Y8" s="262">
        <f t="shared" si="4"/>
        <v>0.5</v>
      </c>
      <c r="Z8" s="20" t="b">
        <f t="shared" si="5"/>
        <v>1</v>
      </c>
      <c r="AA8" s="20" t="b">
        <f t="shared" si="6"/>
        <v>1</v>
      </c>
      <c r="AB8" s="22"/>
    </row>
    <row r="9" spans="1:28" s="21" customFormat="1" ht="38.4" customHeight="1" x14ac:dyDescent="0.3">
      <c r="A9" s="218">
        <v>7</v>
      </c>
      <c r="B9" s="195" t="s">
        <v>488</v>
      </c>
      <c r="C9" s="196" t="s">
        <v>315</v>
      </c>
      <c r="D9" s="197" t="s">
        <v>385</v>
      </c>
      <c r="E9" s="198" t="s">
        <v>61</v>
      </c>
      <c r="F9" s="199" t="s">
        <v>489</v>
      </c>
      <c r="G9" s="195" t="s">
        <v>85</v>
      </c>
      <c r="H9" s="200">
        <v>8.99</v>
      </c>
      <c r="I9" s="201" t="s">
        <v>487</v>
      </c>
      <c r="J9" s="202">
        <v>18090000</v>
      </c>
      <c r="K9" s="219">
        <f t="shared" si="0"/>
        <v>9045000</v>
      </c>
      <c r="L9" s="220">
        <f t="shared" si="1"/>
        <v>9045000</v>
      </c>
      <c r="M9" s="205">
        <v>0.5</v>
      </c>
      <c r="N9" s="167">
        <v>0</v>
      </c>
      <c r="O9" s="167">
        <v>0</v>
      </c>
      <c r="P9" s="190">
        <v>0</v>
      </c>
      <c r="Q9" s="190">
        <v>0</v>
      </c>
      <c r="R9" s="206">
        <f t="shared" si="2"/>
        <v>9045000</v>
      </c>
      <c r="S9" s="227"/>
      <c r="T9" s="227"/>
      <c r="U9" s="227"/>
      <c r="V9" s="227"/>
      <c r="W9" s="227"/>
      <c r="X9" s="251" t="b">
        <f t="shared" si="3"/>
        <v>1</v>
      </c>
      <c r="Y9" s="262">
        <f t="shared" si="4"/>
        <v>0.5</v>
      </c>
      <c r="Z9" s="20" t="b">
        <f t="shared" si="5"/>
        <v>1</v>
      </c>
      <c r="AA9" s="20" t="b">
        <f t="shared" si="6"/>
        <v>1</v>
      </c>
      <c r="AB9" s="22"/>
    </row>
    <row r="10" spans="1:28" s="21" customFormat="1" ht="40.950000000000003" customHeight="1" x14ac:dyDescent="0.3">
      <c r="A10" s="151">
        <v>8</v>
      </c>
      <c r="B10" s="151" t="s">
        <v>417</v>
      </c>
      <c r="C10" s="208" t="s">
        <v>111</v>
      </c>
      <c r="D10" s="209" t="s">
        <v>104</v>
      </c>
      <c r="E10" s="210" t="s">
        <v>52</v>
      </c>
      <c r="F10" s="211" t="s">
        <v>418</v>
      </c>
      <c r="G10" s="151" t="s">
        <v>80</v>
      </c>
      <c r="H10" s="161">
        <v>5.87</v>
      </c>
      <c r="I10" s="162" t="s">
        <v>419</v>
      </c>
      <c r="J10" s="212">
        <v>11685571</v>
      </c>
      <c r="K10" s="213">
        <v>7011342.5999999996</v>
      </c>
      <c r="L10" s="214">
        <f t="shared" si="1"/>
        <v>4674228.4000000004</v>
      </c>
      <c r="M10" s="166">
        <v>0.6</v>
      </c>
      <c r="N10" s="167">
        <v>0</v>
      </c>
      <c r="O10" s="167">
        <v>0</v>
      </c>
      <c r="P10" s="190">
        <v>0</v>
      </c>
      <c r="Q10" s="190">
        <v>0</v>
      </c>
      <c r="R10" s="136">
        <v>3497271.6</v>
      </c>
      <c r="S10" s="215">
        <v>3514071</v>
      </c>
      <c r="T10" s="227"/>
      <c r="U10" s="227"/>
      <c r="V10" s="227"/>
      <c r="W10" s="227"/>
      <c r="X10" s="251" t="b">
        <f t="shared" si="3"/>
        <v>1</v>
      </c>
      <c r="Y10" s="262">
        <f t="shared" si="4"/>
        <v>0.6</v>
      </c>
      <c r="Z10" s="20" t="b">
        <f t="shared" si="5"/>
        <v>1</v>
      </c>
      <c r="AA10" s="20" t="b">
        <f t="shared" si="6"/>
        <v>1</v>
      </c>
      <c r="AB10" s="22"/>
    </row>
    <row r="11" spans="1:28" s="21" customFormat="1" ht="41.25" customHeight="1" x14ac:dyDescent="0.3">
      <c r="A11" s="218">
        <v>9</v>
      </c>
      <c r="B11" s="195" t="s">
        <v>490</v>
      </c>
      <c r="C11" s="196" t="s">
        <v>315</v>
      </c>
      <c r="D11" s="197" t="s">
        <v>385</v>
      </c>
      <c r="E11" s="198" t="s">
        <v>61</v>
      </c>
      <c r="F11" s="199" t="s">
        <v>491</v>
      </c>
      <c r="G11" s="195" t="s">
        <v>85</v>
      </c>
      <c r="H11" s="200">
        <v>3.35</v>
      </c>
      <c r="I11" s="201" t="s">
        <v>487</v>
      </c>
      <c r="J11" s="202">
        <v>6810000</v>
      </c>
      <c r="K11" s="219">
        <f t="shared" ref="K11:K26" si="7">ROUND(J11*M11,2)</f>
        <v>3405000</v>
      </c>
      <c r="L11" s="220">
        <f t="shared" si="1"/>
        <v>3405000</v>
      </c>
      <c r="M11" s="205">
        <v>0.5</v>
      </c>
      <c r="N11" s="167">
        <v>0</v>
      </c>
      <c r="O11" s="167">
        <v>0</v>
      </c>
      <c r="P11" s="190">
        <v>0</v>
      </c>
      <c r="Q11" s="190">
        <v>0</v>
      </c>
      <c r="R11" s="206">
        <f>SUM(K11)</f>
        <v>3405000</v>
      </c>
      <c r="S11" s="227"/>
      <c r="T11" s="227"/>
      <c r="U11" s="227"/>
      <c r="V11" s="227"/>
      <c r="W11" s="227"/>
      <c r="X11" s="251" t="b">
        <f t="shared" si="3"/>
        <v>1</v>
      </c>
      <c r="Y11" s="262">
        <f t="shared" si="4"/>
        <v>0.5</v>
      </c>
      <c r="Z11" s="20" t="b">
        <f t="shared" si="5"/>
        <v>1</v>
      </c>
      <c r="AA11" s="20" t="b">
        <f t="shared" si="6"/>
        <v>1</v>
      </c>
      <c r="AB11" s="22"/>
    </row>
    <row r="12" spans="1:28" s="21" customFormat="1" ht="30" customHeight="1" x14ac:dyDescent="0.3">
      <c r="A12" s="218">
        <v>10</v>
      </c>
      <c r="B12" s="195" t="s">
        <v>577</v>
      </c>
      <c r="C12" s="196" t="s">
        <v>315</v>
      </c>
      <c r="D12" s="197" t="s">
        <v>317</v>
      </c>
      <c r="E12" s="198" t="s">
        <v>50</v>
      </c>
      <c r="F12" s="199" t="s">
        <v>578</v>
      </c>
      <c r="G12" s="195" t="s">
        <v>85</v>
      </c>
      <c r="H12" s="200">
        <v>0.63300000000000001</v>
      </c>
      <c r="I12" s="201" t="s">
        <v>541</v>
      </c>
      <c r="J12" s="202">
        <v>1494038</v>
      </c>
      <c r="K12" s="219">
        <f t="shared" si="7"/>
        <v>896422.8</v>
      </c>
      <c r="L12" s="220">
        <f t="shared" si="1"/>
        <v>597615.19999999995</v>
      </c>
      <c r="M12" s="205">
        <v>0.6</v>
      </c>
      <c r="N12" s="167">
        <v>0</v>
      </c>
      <c r="O12" s="167">
        <v>0</v>
      </c>
      <c r="P12" s="190">
        <v>0</v>
      </c>
      <c r="Q12" s="190">
        <v>0</v>
      </c>
      <c r="R12" s="206">
        <f t="shared" ref="R12:R26" si="8">SUM(K12)</f>
        <v>896422.8</v>
      </c>
      <c r="S12" s="227"/>
      <c r="T12" s="227"/>
      <c r="U12" s="227"/>
      <c r="V12" s="227"/>
      <c r="W12" s="227"/>
      <c r="X12" s="251" t="b">
        <f t="shared" si="3"/>
        <v>1</v>
      </c>
      <c r="Y12" s="262">
        <f t="shared" si="4"/>
        <v>0.6</v>
      </c>
      <c r="Z12" s="20" t="b">
        <f t="shared" si="5"/>
        <v>1</v>
      </c>
      <c r="AA12" s="20" t="b">
        <f t="shared" si="6"/>
        <v>1</v>
      </c>
      <c r="AB12" s="22"/>
    </row>
    <row r="13" spans="1:28" s="21" customFormat="1" ht="37.950000000000003" customHeight="1" x14ac:dyDescent="0.3">
      <c r="A13" s="218">
        <v>11</v>
      </c>
      <c r="B13" s="195" t="s">
        <v>338</v>
      </c>
      <c r="C13" s="196" t="s">
        <v>315</v>
      </c>
      <c r="D13" s="197" t="s">
        <v>185</v>
      </c>
      <c r="E13" s="198" t="s">
        <v>58</v>
      </c>
      <c r="F13" s="199" t="s">
        <v>339</v>
      </c>
      <c r="G13" s="195" t="s">
        <v>71</v>
      </c>
      <c r="H13" s="200">
        <v>2.1800000000000002</v>
      </c>
      <c r="I13" s="201" t="s">
        <v>340</v>
      </c>
      <c r="J13" s="202">
        <v>1662091</v>
      </c>
      <c r="K13" s="219">
        <f t="shared" si="7"/>
        <v>831045.5</v>
      </c>
      <c r="L13" s="220">
        <f t="shared" si="1"/>
        <v>831045.5</v>
      </c>
      <c r="M13" s="205">
        <v>0.5</v>
      </c>
      <c r="N13" s="167">
        <v>0</v>
      </c>
      <c r="O13" s="167">
        <v>0</v>
      </c>
      <c r="P13" s="190">
        <v>0</v>
      </c>
      <c r="Q13" s="190">
        <v>0</v>
      </c>
      <c r="R13" s="206">
        <f t="shared" si="8"/>
        <v>831045.5</v>
      </c>
      <c r="S13" s="227"/>
      <c r="T13" s="227"/>
      <c r="U13" s="227"/>
      <c r="V13" s="227"/>
      <c r="W13" s="227"/>
      <c r="X13" s="251" t="b">
        <f t="shared" si="3"/>
        <v>1</v>
      </c>
      <c r="Y13" s="262">
        <f t="shared" si="4"/>
        <v>0.5</v>
      </c>
      <c r="Z13" s="20" t="b">
        <f t="shared" si="5"/>
        <v>1</v>
      </c>
      <c r="AA13" s="20" t="b">
        <f t="shared" si="6"/>
        <v>1</v>
      </c>
      <c r="AB13" s="22"/>
    </row>
    <row r="14" spans="1:28" s="21" customFormat="1" ht="42.6" customHeight="1" x14ac:dyDescent="0.3">
      <c r="A14" s="218">
        <v>12</v>
      </c>
      <c r="B14" s="195" t="s">
        <v>511</v>
      </c>
      <c r="C14" s="196" t="s">
        <v>315</v>
      </c>
      <c r="D14" s="197" t="s">
        <v>112</v>
      </c>
      <c r="E14" s="198" t="s">
        <v>48</v>
      </c>
      <c r="F14" s="199" t="s">
        <v>512</v>
      </c>
      <c r="G14" s="195" t="s">
        <v>85</v>
      </c>
      <c r="H14" s="200">
        <v>0.89400000000000002</v>
      </c>
      <c r="I14" s="201" t="s">
        <v>513</v>
      </c>
      <c r="J14" s="202">
        <v>3398794</v>
      </c>
      <c r="K14" s="219">
        <f t="shared" si="7"/>
        <v>2039276.4</v>
      </c>
      <c r="L14" s="220">
        <f t="shared" si="1"/>
        <v>1359517.6</v>
      </c>
      <c r="M14" s="205">
        <v>0.6</v>
      </c>
      <c r="N14" s="167">
        <v>0</v>
      </c>
      <c r="O14" s="167">
        <v>0</v>
      </c>
      <c r="P14" s="190">
        <v>0</v>
      </c>
      <c r="Q14" s="190">
        <v>0</v>
      </c>
      <c r="R14" s="206">
        <f t="shared" si="8"/>
        <v>2039276.4</v>
      </c>
      <c r="S14" s="227"/>
      <c r="T14" s="227"/>
      <c r="U14" s="227"/>
      <c r="V14" s="227"/>
      <c r="W14" s="227"/>
      <c r="X14" s="251" t="b">
        <f t="shared" si="3"/>
        <v>1</v>
      </c>
      <c r="Y14" s="262">
        <f t="shared" si="4"/>
        <v>0.6</v>
      </c>
      <c r="Z14" s="20" t="b">
        <f t="shared" si="5"/>
        <v>1</v>
      </c>
      <c r="AA14" s="20" t="b">
        <f t="shared" si="6"/>
        <v>1</v>
      </c>
      <c r="AB14" s="22"/>
    </row>
    <row r="15" spans="1:28" s="21" customFormat="1" ht="30" customHeight="1" x14ac:dyDescent="0.3">
      <c r="A15" s="218">
        <v>13</v>
      </c>
      <c r="B15" s="195" t="s">
        <v>519</v>
      </c>
      <c r="C15" s="196" t="s">
        <v>315</v>
      </c>
      <c r="D15" s="197" t="s">
        <v>232</v>
      </c>
      <c r="E15" s="198" t="s">
        <v>60</v>
      </c>
      <c r="F15" s="199" t="s">
        <v>520</v>
      </c>
      <c r="G15" s="195" t="s">
        <v>85</v>
      </c>
      <c r="H15" s="200">
        <v>0.82599999999999996</v>
      </c>
      <c r="I15" s="201" t="s">
        <v>484</v>
      </c>
      <c r="J15" s="202">
        <v>2803206</v>
      </c>
      <c r="K15" s="219">
        <f t="shared" si="7"/>
        <v>1401603</v>
      </c>
      <c r="L15" s="220">
        <f t="shared" si="1"/>
        <v>1401603</v>
      </c>
      <c r="M15" s="205">
        <v>0.5</v>
      </c>
      <c r="N15" s="167">
        <v>0</v>
      </c>
      <c r="O15" s="167">
        <v>0</v>
      </c>
      <c r="P15" s="190">
        <v>0</v>
      </c>
      <c r="Q15" s="190">
        <v>0</v>
      </c>
      <c r="R15" s="206">
        <f t="shared" si="8"/>
        <v>1401603</v>
      </c>
      <c r="S15" s="227"/>
      <c r="T15" s="227"/>
      <c r="U15" s="227"/>
      <c r="V15" s="227"/>
      <c r="W15" s="227"/>
      <c r="X15" s="251" t="b">
        <f t="shared" si="3"/>
        <v>1</v>
      </c>
      <c r="Y15" s="262">
        <f t="shared" si="4"/>
        <v>0.5</v>
      </c>
      <c r="Z15" s="20" t="b">
        <f t="shared" si="5"/>
        <v>1</v>
      </c>
      <c r="AA15" s="20" t="b">
        <f t="shared" si="6"/>
        <v>1</v>
      </c>
      <c r="AB15" s="22"/>
    </row>
    <row r="16" spans="1:28" s="21" customFormat="1" ht="39.6" customHeight="1" x14ac:dyDescent="0.3">
      <c r="A16" s="218">
        <v>14</v>
      </c>
      <c r="B16" s="195" t="s">
        <v>449</v>
      </c>
      <c r="C16" s="196" t="s">
        <v>315</v>
      </c>
      <c r="D16" s="197" t="s">
        <v>284</v>
      </c>
      <c r="E16" s="198" t="s">
        <v>51</v>
      </c>
      <c r="F16" s="199" t="s">
        <v>450</v>
      </c>
      <c r="G16" s="195" t="s">
        <v>85</v>
      </c>
      <c r="H16" s="200">
        <v>2.44</v>
      </c>
      <c r="I16" s="201" t="s">
        <v>446</v>
      </c>
      <c r="J16" s="202">
        <v>2727041</v>
      </c>
      <c r="K16" s="219">
        <f t="shared" si="7"/>
        <v>1636224.6</v>
      </c>
      <c r="L16" s="220">
        <f t="shared" si="1"/>
        <v>1090816.3999999999</v>
      </c>
      <c r="M16" s="205">
        <v>0.6</v>
      </c>
      <c r="N16" s="167">
        <v>0</v>
      </c>
      <c r="O16" s="167">
        <v>0</v>
      </c>
      <c r="P16" s="190">
        <v>0</v>
      </c>
      <c r="Q16" s="190">
        <v>0</v>
      </c>
      <c r="R16" s="206">
        <f t="shared" si="8"/>
        <v>1636224.6</v>
      </c>
      <c r="S16" s="227"/>
      <c r="T16" s="227"/>
      <c r="U16" s="227"/>
      <c r="V16" s="227"/>
      <c r="W16" s="227"/>
      <c r="X16" s="251" t="b">
        <f t="shared" si="3"/>
        <v>1</v>
      </c>
      <c r="Y16" s="262">
        <f t="shared" si="4"/>
        <v>0.6</v>
      </c>
      <c r="Z16" s="20" t="b">
        <f t="shared" si="5"/>
        <v>1</v>
      </c>
      <c r="AA16" s="20" t="b">
        <f t="shared" si="6"/>
        <v>1</v>
      </c>
      <c r="AB16" s="22"/>
    </row>
    <row r="17" spans="1:28" s="21" customFormat="1" ht="30" customHeight="1" x14ac:dyDescent="0.3">
      <c r="A17" s="218">
        <v>15</v>
      </c>
      <c r="B17" s="195" t="s">
        <v>496</v>
      </c>
      <c r="C17" s="196" t="s">
        <v>315</v>
      </c>
      <c r="D17" s="197" t="s">
        <v>385</v>
      </c>
      <c r="E17" s="198" t="s">
        <v>61</v>
      </c>
      <c r="F17" s="199" t="s">
        <v>497</v>
      </c>
      <c r="G17" s="195" t="s">
        <v>85</v>
      </c>
      <c r="H17" s="200">
        <v>0.57799999999999996</v>
      </c>
      <c r="I17" s="201" t="s">
        <v>487</v>
      </c>
      <c r="J17" s="202">
        <v>4360000</v>
      </c>
      <c r="K17" s="219">
        <f t="shared" si="7"/>
        <v>2180000</v>
      </c>
      <c r="L17" s="220">
        <f t="shared" si="1"/>
        <v>2180000</v>
      </c>
      <c r="M17" s="205">
        <v>0.5</v>
      </c>
      <c r="N17" s="167">
        <v>0</v>
      </c>
      <c r="O17" s="167">
        <v>0</v>
      </c>
      <c r="P17" s="190">
        <v>0</v>
      </c>
      <c r="Q17" s="190">
        <v>0</v>
      </c>
      <c r="R17" s="206">
        <f t="shared" si="8"/>
        <v>2180000</v>
      </c>
      <c r="S17" s="227"/>
      <c r="T17" s="227"/>
      <c r="U17" s="227"/>
      <c r="V17" s="227"/>
      <c r="W17" s="227"/>
      <c r="X17" s="251" t="b">
        <f t="shared" si="3"/>
        <v>1</v>
      </c>
      <c r="Y17" s="262">
        <f t="shared" si="4"/>
        <v>0.5</v>
      </c>
      <c r="Z17" s="20" t="b">
        <f t="shared" si="5"/>
        <v>1</v>
      </c>
      <c r="AA17" s="20" t="b">
        <f t="shared" si="6"/>
        <v>1</v>
      </c>
      <c r="AB17" s="22"/>
    </row>
    <row r="18" spans="1:28" s="21" customFormat="1" ht="43.95" customHeight="1" x14ac:dyDescent="0.3">
      <c r="A18" s="218">
        <v>16</v>
      </c>
      <c r="B18" s="195" t="s">
        <v>420</v>
      </c>
      <c r="C18" s="196" t="s">
        <v>315</v>
      </c>
      <c r="D18" s="197" t="s">
        <v>104</v>
      </c>
      <c r="E18" s="198" t="s">
        <v>52</v>
      </c>
      <c r="F18" s="199" t="s">
        <v>421</v>
      </c>
      <c r="G18" s="195" t="s">
        <v>71</v>
      </c>
      <c r="H18" s="200">
        <v>0.95</v>
      </c>
      <c r="I18" s="201" t="s">
        <v>422</v>
      </c>
      <c r="J18" s="202">
        <v>1040000</v>
      </c>
      <c r="K18" s="219">
        <f t="shared" si="7"/>
        <v>624000</v>
      </c>
      <c r="L18" s="220">
        <f t="shared" si="1"/>
        <v>416000</v>
      </c>
      <c r="M18" s="205">
        <v>0.6</v>
      </c>
      <c r="N18" s="167">
        <v>0</v>
      </c>
      <c r="O18" s="167">
        <v>0</v>
      </c>
      <c r="P18" s="190">
        <v>0</v>
      </c>
      <c r="Q18" s="190">
        <v>0</v>
      </c>
      <c r="R18" s="206">
        <f t="shared" si="8"/>
        <v>624000</v>
      </c>
      <c r="S18" s="227"/>
      <c r="T18" s="227"/>
      <c r="U18" s="227"/>
      <c r="V18" s="227"/>
      <c r="W18" s="227"/>
      <c r="X18" s="251" t="b">
        <f t="shared" si="3"/>
        <v>1</v>
      </c>
      <c r="Y18" s="262">
        <f t="shared" si="4"/>
        <v>0.6</v>
      </c>
      <c r="Z18" s="20" t="b">
        <f t="shared" si="5"/>
        <v>1</v>
      </c>
      <c r="AA18" s="20" t="b">
        <f t="shared" si="6"/>
        <v>1</v>
      </c>
      <c r="AB18" s="22"/>
    </row>
    <row r="19" spans="1:28" s="21" customFormat="1" ht="38.4" customHeight="1" x14ac:dyDescent="0.3">
      <c r="A19" s="218">
        <v>17</v>
      </c>
      <c r="B19" s="195" t="s">
        <v>514</v>
      </c>
      <c r="C19" s="196" t="s">
        <v>315</v>
      </c>
      <c r="D19" s="197" t="s">
        <v>112</v>
      </c>
      <c r="E19" s="198" t="s">
        <v>48</v>
      </c>
      <c r="F19" s="199" t="s">
        <v>515</v>
      </c>
      <c r="G19" s="195" t="s">
        <v>85</v>
      </c>
      <c r="H19" s="200">
        <v>1.4219999999999999</v>
      </c>
      <c r="I19" s="201" t="s">
        <v>513</v>
      </c>
      <c r="J19" s="202">
        <v>5273735</v>
      </c>
      <c r="K19" s="219">
        <f t="shared" si="7"/>
        <v>3164241</v>
      </c>
      <c r="L19" s="220">
        <f t="shared" si="1"/>
        <v>2109494</v>
      </c>
      <c r="M19" s="205">
        <v>0.6</v>
      </c>
      <c r="N19" s="167">
        <v>0</v>
      </c>
      <c r="O19" s="167">
        <v>0</v>
      </c>
      <c r="P19" s="190">
        <v>0</v>
      </c>
      <c r="Q19" s="190">
        <v>0</v>
      </c>
      <c r="R19" s="206">
        <f t="shared" si="8"/>
        <v>3164241</v>
      </c>
      <c r="S19" s="227"/>
      <c r="T19" s="227"/>
      <c r="U19" s="227"/>
      <c r="V19" s="227"/>
      <c r="W19" s="227"/>
      <c r="X19" s="251" t="b">
        <f t="shared" si="3"/>
        <v>1</v>
      </c>
      <c r="Y19" s="262">
        <f t="shared" si="4"/>
        <v>0.6</v>
      </c>
      <c r="Z19" s="20" t="b">
        <f t="shared" si="5"/>
        <v>1</v>
      </c>
      <c r="AA19" s="20" t="b">
        <f t="shared" si="6"/>
        <v>1</v>
      </c>
      <c r="AB19" s="22"/>
    </row>
    <row r="20" spans="1:28" s="21" customFormat="1" ht="30" customHeight="1" x14ac:dyDescent="0.3">
      <c r="A20" s="218">
        <v>18</v>
      </c>
      <c r="B20" s="195" t="s">
        <v>494</v>
      </c>
      <c r="C20" s="196" t="s">
        <v>315</v>
      </c>
      <c r="D20" s="197" t="s">
        <v>385</v>
      </c>
      <c r="E20" s="198" t="s">
        <v>61</v>
      </c>
      <c r="F20" s="199" t="s">
        <v>495</v>
      </c>
      <c r="G20" s="195" t="s">
        <v>85</v>
      </c>
      <c r="H20" s="200">
        <v>1.62</v>
      </c>
      <c r="I20" s="201" t="s">
        <v>487</v>
      </c>
      <c r="J20" s="202">
        <v>3350000</v>
      </c>
      <c r="K20" s="219">
        <f t="shared" si="7"/>
        <v>1675000</v>
      </c>
      <c r="L20" s="220">
        <f t="shared" si="1"/>
        <v>1675000</v>
      </c>
      <c r="M20" s="205">
        <v>0.5</v>
      </c>
      <c r="N20" s="167">
        <v>0</v>
      </c>
      <c r="O20" s="167">
        <v>0</v>
      </c>
      <c r="P20" s="190">
        <v>0</v>
      </c>
      <c r="Q20" s="190">
        <v>0</v>
      </c>
      <c r="R20" s="206">
        <f t="shared" si="8"/>
        <v>1675000</v>
      </c>
      <c r="S20" s="227"/>
      <c r="T20" s="227"/>
      <c r="U20" s="227"/>
      <c r="V20" s="227"/>
      <c r="W20" s="227"/>
      <c r="X20" s="251" t="b">
        <f t="shared" si="3"/>
        <v>1</v>
      </c>
      <c r="Y20" s="262">
        <f t="shared" si="4"/>
        <v>0.5</v>
      </c>
      <c r="Z20" s="20" t="b">
        <f t="shared" si="5"/>
        <v>1</v>
      </c>
      <c r="AA20" s="20" t="b">
        <f t="shared" si="6"/>
        <v>1</v>
      </c>
      <c r="AB20" s="22"/>
    </row>
    <row r="21" spans="1:28" s="21" customFormat="1" ht="30" customHeight="1" x14ac:dyDescent="0.3">
      <c r="A21" s="218">
        <v>19</v>
      </c>
      <c r="B21" s="195" t="s">
        <v>560</v>
      </c>
      <c r="C21" s="196" t="s">
        <v>315</v>
      </c>
      <c r="D21" s="197" t="s">
        <v>561</v>
      </c>
      <c r="E21" s="198" t="s">
        <v>57</v>
      </c>
      <c r="F21" s="199" t="s">
        <v>562</v>
      </c>
      <c r="G21" s="195" t="s">
        <v>71</v>
      </c>
      <c r="H21" s="200">
        <v>2.8039999999999998</v>
      </c>
      <c r="I21" s="201" t="s">
        <v>563</v>
      </c>
      <c r="J21" s="202">
        <v>2416238</v>
      </c>
      <c r="K21" s="219">
        <f t="shared" si="7"/>
        <v>1208119</v>
      </c>
      <c r="L21" s="220">
        <f t="shared" si="1"/>
        <v>1208119</v>
      </c>
      <c r="M21" s="205">
        <v>0.5</v>
      </c>
      <c r="N21" s="167">
        <v>0</v>
      </c>
      <c r="O21" s="167">
        <v>0</v>
      </c>
      <c r="P21" s="190">
        <v>0</v>
      </c>
      <c r="Q21" s="190">
        <v>0</v>
      </c>
      <c r="R21" s="206">
        <f t="shared" si="8"/>
        <v>1208119</v>
      </c>
      <c r="S21" s="227"/>
      <c r="T21" s="227"/>
      <c r="U21" s="227"/>
      <c r="V21" s="227"/>
      <c r="W21" s="227"/>
      <c r="X21" s="251" t="b">
        <f t="shared" si="3"/>
        <v>1</v>
      </c>
      <c r="Y21" s="262">
        <f t="shared" si="4"/>
        <v>0.5</v>
      </c>
      <c r="Z21" s="20" t="b">
        <f t="shared" si="5"/>
        <v>1</v>
      </c>
      <c r="AA21" s="20" t="b">
        <f t="shared" si="6"/>
        <v>1</v>
      </c>
      <c r="AB21" s="22"/>
    </row>
    <row r="22" spans="1:28" s="21" customFormat="1" ht="50.4" customHeight="1" x14ac:dyDescent="0.3">
      <c r="A22" s="218">
        <v>20</v>
      </c>
      <c r="B22" s="195" t="s">
        <v>523</v>
      </c>
      <c r="C22" s="196" t="s">
        <v>315</v>
      </c>
      <c r="D22" s="197" t="s">
        <v>232</v>
      </c>
      <c r="E22" s="198" t="s">
        <v>60</v>
      </c>
      <c r="F22" s="199" t="s">
        <v>524</v>
      </c>
      <c r="G22" s="195" t="s">
        <v>85</v>
      </c>
      <c r="H22" s="200">
        <v>0.42</v>
      </c>
      <c r="I22" s="201" t="s">
        <v>484</v>
      </c>
      <c r="J22" s="202">
        <v>2490624</v>
      </c>
      <c r="K22" s="219">
        <f t="shared" si="7"/>
        <v>1245312</v>
      </c>
      <c r="L22" s="220">
        <f t="shared" si="1"/>
        <v>1245312</v>
      </c>
      <c r="M22" s="205">
        <v>0.5</v>
      </c>
      <c r="N22" s="167">
        <v>0</v>
      </c>
      <c r="O22" s="167">
        <v>0</v>
      </c>
      <c r="P22" s="190">
        <v>0</v>
      </c>
      <c r="Q22" s="190">
        <v>0</v>
      </c>
      <c r="R22" s="206">
        <f t="shared" si="8"/>
        <v>1245312</v>
      </c>
      <c r="S22" s="227"/>
      <c r="T22" s="227"/>
      <c r="U22" s="227"/>
      <c r="V22" s="227"/>
      <c r="W22" s="227"/>
      <c r="X22" s="251" t="b">
        <f t="shared" si="3"/>
        <v>1</v>
      </c>
      <c r="Y22" s="262">
        <f t="shared" si="4"/>
        <v>0.5</v>
      </c>
      <c r="Z22" s="20" t="b">
        <f t="shared" si="5"/>
        <v>1</v>
      </c>
      <c r="AA22" s="20" t="b">
        <f t="shared" si="6"/>
        <v>1</v>
      </c>
      <c r="AB22" s="22"/>
    </row>
    <row r="23" spans="1:28" s="21" customFormat="1" ht="38.4" customHeight="1" x14ac:dyDescent="0.3">
      <c r="A23" s="218">
        <v>21</v>
      </c>
      <c r="B23" s="195" t="s">
        <v>425</v>
      </c>
      <c r="C23" s="196" t="s">
        <v>315</v>
      </c>
      <c r="D23" s="197" t="s">
        <v>104</v>
      </c>
      <c r="E23" s="198" t="s">
        <v>52</v>
      </c>
      <c r="F23" s="199" t="s">
        <v>426</v>
      </c>
      <c r="G23" s="195" t="s">
        <v>71</v>
      </c>
      <c r="H23" s="200">
        <v>0.95</v>
      </c>
      <c r="I23" s="201" t="s">
        <v>422</v>
      </c>
      <c r="J23" s="202">
        <v>975671</v>
      </c>
      <c r="K23" s="219">
        <f t="shared" si="7"/>
        <v>585402.6</v>
      </c>
      <c r="L23" s="220">
        <f t="shared" si="1"/>
        <v>390268.4</v>
      </c>
      <c r="M23" s="205">
        <v>0.6</v>
      </c>
      <c r="N23" s="167">
        <v>0</v>
      </c>
      <c r="O23" s="167">
        <v>0</v>
      </c>
      <c r="P23" s="190">
        <v>0</v>
      </c>
      <c r="Q23" s="190">
        <v>0</v>
      </c>
      <c r="R23" s="206">
        <f t="shared" si="8"/>
        <v>585402.6</v>
      </c>
      <c r="S23" s="227"/>
      <c r="T23" s="227"/>
      <c r="U23" s="227"/>
      <c r="V23" s="227"/>
      <c r="W23" s="227"/>
      <c r="X23" s="251" t="b">
        <f t="shared" si="3"/>
        <v>1</v>
      </c>
      <c r="Y23" s="262">
        <f t="shared" si="4"/>
        <v>0.6</v>
      </c>
      <c r="Z23" s="20" t="b">
        <f t="shared" si="5"/>
        <v>1</v>
      </c>
      <c r="AA23" s="20" t="b">
        <f t="shared" si="6"/>
        <v>1</v>
      </c>
      <c r="AB23" s="22"/>
    </row>
    <row r="24" spans="1:28" s="21" customFormat="1" ht="30" customHeight="1" x14ac:dyDescent="0.3">
      <c r="A24" s="218">
        <v>22</v>
      </c>
      <c r="B24" s="195" t="s">
        <v>525</v>
      </c>
      <c r="C24" s="196" t="s">
        <v>315</v>
      </c>
      <c r="D24" s="197" t="s">
        <v>232</v>
      </c>
      <c r="E24" s="198" t="s">
        <v>60</v>
      </c>
      <c r="F24" s="199" t="s">
        <v>526</v>
      </c>
      <c r="G24" s="195" t="s">
        <v>85</v>
      </c>
      <c r="H24" s="200">
        <v>0.11</v>
      </c>
      <c r="I24" s="201" t="s">
        <v>484</v>
      </c>
      <c r="J24" s="202">
        <v>351351</v>
      </c>
      <c r="K24" s="219">
        <f t="shared" si="7"/>
        <v>175675.5</v>
      </c>
      <c r="L24" s="220">
        <f t="shared" si="1"/>
        <v>175675.5</v>
      </c>
      <c r="M24" s="205">
        <v>0.5</v>
      </c>
      <c r="N24" s="167">
        <v>0</v>
      </c>
      <c r="O24" s="167">
        <v>0</v>
      </c>
      <c r="P24" s="190">
        <v>0</v>
      </c>
      <c r="Q24" s="190">
        <v>0</v>
      </c>
      <c r="R24" s="206">
        <f t="shared" si="8"/>
        <v>175675.5</v>
      </c>
      <c r="S24" s="227"/>
      <c r="T24" s="227"/>
      <c r="U24" s="227"/>
      <c r="V24" s="227"/>
      <c r="W24" s="227"/>
      <c r="X24" s="251" t="b">
        <f t="shared" si="3"/>
        <v>1</v>
      </c>
      <c r="Y24" s="262">
        <f t="shared" si="4"/>
        <v>0.5</v>
      </c>
      <c r="Z24" s="20" t="b">
        <f t="shared" si="5"/>
        <v>1</v>
      </c>
      <c r="AA24" s="20" t="b">
        <f t="shared" si="6"/>
        <v>1</v>
      </c>
      <c r="AB24" s="22"/>
    </row>
    <row r="25" spans="1:28" s="21" customFormat="1" ht="37.200000000000003" customHeight="1" x14ac:dyDescent="0.3">
      <c r="A25" s="218">
        <v>23</v>
      </c>
      <c r="B25" s="218" t="s">
        <v>451</v>
      </c>
      <c r="C25" s="228" t="s">
        <v>315</v>
      </c>
      <c r="D25" s="197" t="s">
        <v>284</v>
      </c>
      <c r="E25" s="229" t="s">
        <v>51</v>
      </c>
      <c r="F25" s="230" t="s">
        <v>452</v>
      </c>
      <c r="G25" s="218" t="s">
        <v>85</v>
      </c>
      <c r="H25" s="231">
        <v>1.64</v>
      </c>
      <c r="I25" s="232" t="s">
        <v>446</v>
      </c>
      <c r="J25" s="233">
        <v>869969</v>
      </c>
      <c r="K25" s="203">
        <f t="shared" si="7"/>
        <v>521981.4</v>
      </c>
      <c r="L25" s="204">
        <f t="shared" si="1"/>
        <v>347987.6</v>
      </c>
      <c r="M25" s="234">
        <v>0.6</v>
      </c>
      <c r="N25" s="167">
        <v>0</v>
      </c>
      <c r="O25" s="167">
        <v>0</v>
      </c>
      <c r="P25" s="190">
        <v>0</v>
      </c>
      <c r="Q25" s="190">
        <v>0</v>
      </c>
      <c r="R25" s="206">
        <f t="shared" si="8"/>
        <v>521981.4</v>
      </c>
      <c r="S25" s="227"/>
      <c r="T25" s="227"/>
      <c r="U25" s="227"/>
      <c r="V25" s="227"/>
      <c r="W25" s="227"/>
      <c r="X25" s="251" t="b">
        <f t="shared" si="3"/>
        <v>1</v>
      </c>
      <c r="Y25" s="262">
        <f t="shared" si="4"/>
        <v>0.6</v>
      </c>
      <c r="Z25" s="20" t="b">
        <f t="shared" si="5"/>
        <v>1</v>
      </c>
      <c r="AA25" s="20" t="b">
        <f t="shared" si="6"/>
        <v>1</v>
      </c>
      <c r="AB25" s="22"/>
    </row>
    <row r="26" spans="1:28" s="21" customFormat="1" ht="39.6" customHeight="1" x14ac:dyDescent="0.3">
      <c r="A26" s="218">
        <v>24</v>
      </c>
      <c r="B26" s="218" t="s">
        <v>423</v>
      </c>
      <c r="C26" s="228" t="s">
        <v>315</v>
      </c>
      <c r="D26" s="197" t="s">
        <v>104</v>
      </c>
      <c r="E26" s="229" t="s">
        <v>52</v>
      </c>
      <c r="F26" s="230" t="s">
        <v>424</v>
      </c>
      <c r="G26" s="218" t="s">
        <v>71</v>
      </c>
      <c r="H26" s="231">
        <v>0.85</v>
      </c>
      <c r="I26" s="232" t="s">
        <v>422</v>
      </c>
      <c r="J26" s="233">
        <v>880124</v>
      </c>
      <c r="K26" s="203">
        <f t="shared" si="7"/>
        <v>528074.4</v>
      </c>
      <c r="L26" s="204">
        <f t="shared" si="1"/>
        <v>352049.6</v>
      </c>
      <c r="M26" s="234">
        <v>0.6</v>
      </c>
      <c r="N26" s="167">
        <v>0</v>
      </c>
      <c r="O26" s="167">
        <v>0</v>
      </c>
      <c r="P26" s="190">
        <v>0</v>
      </c>
      <c r="Q26" s="190">
        <v>0</v>
      </c>
      <c r="R26" s="206">
        <f t="shared" si="8"/>
        <v>528074.4</v>
      </c>
      <c r="S26" s="227"/>
      <c r="T26" s="227"/>
      <c r="U26" s="227"/>
      <c r="V26" s="227"/>
      <c r="W26" s="227"/>
      <c r="X26" s="251" t="b">
        <f t="shared" si="3"/>
        <v>1</v>
      </c>
      <c r="Y26" s="262">
        <f t="shared" si="4"/>
        <v>0.6</v>
      </c>
      <c r="Z26" s="20" t="b">
        <f t="shared" si="5"/>
        <v>1</v>
      </c>
      <c r="AA26" s="20" t="b">
        <f t="shared" si="6"/>
        <v>1</v>
      </c>
      <c r="AB26" s="22"/>
    </row>
    <row r="27" spans="1:28" ht="20.100000000000001" customHeight="1" x14ac:dyDescent="0.3">
      <c r="A27" s="342" t="s">
        <v>44</v>
      </c>
      <c r="B27" s="342"/>
      <c r="C27" s="342"/>
      <c r="D27" s="342"/>
      <c r="E27" s="342"/>
      <c r="F27" s="342"/>
      <c r="G27" s="342"/>
      <c r="H27" s="239">
        <f>SUM(H3:H26)</f>
        <v>53.140000000000008</v>
      </c>
      <c r="I27" s="240" t="s">
        <v>14</v>
      </c>
      <c r="J27" s="241">
        <f>SUM(J3:J26)</f>
        <v>107844763</v>
      </c>
      <c r="K27" s="241">
        <f>SUM(K3:K26)</f>
        <v>59070271.599999994</v>
      </c>
      <c r="L27" s="241">
        <f>SUM(L3:L26)</f>
        <v>48774491.400000006</v>
      </c>
      <c r="M27" s="242" t="s">
        <v>14</v>
      </c>
      <c r="N27" s="303">
        <f t="shared" ref="N27:W27" si="9">SUM(N3:N26)</f>
        <v>0</v>
      </c>
      <c r="O27" s="303">
        <f t="shared" si="9"/>
        <v>0</v>
      </c>
      <c r="P27" s="303">
        <f t="shared" si="9"/>
        <v>0</v>
      </c>
      <c r="Q27" s="303">
        <f t="shared" si="9"/>
        <v>0</v>
      </c>
      <c r="R27" s="303">
        <f t="shared" si="9"/>
        <v>55556200.600000001</v>
      </c>
      <c r="S27" s="303">
        <f t="shared" si="9"/>
        <v>3514071</v>
      </c>
      <c r="T27" s="303">
        <f t="shared" si="9"/>
        <v>0</v>
      </c>
      <c r="U27" s="303">
        <f t="shared" si="9"/>
        <v>0</v>
      </c>
      <c r="V27" s="303">
        <f t="shared" si="9"/>
        <v>0</v>
      </c>
      <c r="W27" s="303">
        <f t="shared" si="9"/>
        <v>0</v>
      </c>
      <c r="X27" s="251" t="b">
        <f>K27=SUM(N27:W27)</f>
        <v>1</v>
      </c>
      <c r="Y27" s="262">
        <f>ROUND(K27/J27,4)</f>
        <v>0.54769999999999996</v>
      </c>
      <c r="Z27" s="20" t="s">
        <v>14</v>
      </c>
      <c r="AA27" s="20" t="b">
        <f>J27=K27+L27</f>
        <v>1</v>
      </c>
      <c r="AB27" s="12"/>
    </row>
    <row r="28" spans="1:28" ht="20.100000000000001" customHeight="1" x14ac:dyDescent="0.3">
      <c r="A28" s="342" t="s">
        <v>38</v>
      </c>
      <c r="B28" s="342"/>
      <c r="C28" s="342"/>
      <c r="D28" s="342"/>
      <c r="E28" s="342"/>
      <c r="F28" s="342"/>
      <c r="G28" s="342"/>
      <c r="H28" s="239">
        <f>SUMIF($C$3:$C$26,"N",H3:H26)</f>
        <v>47.27000000000001</v>
      </c>
      <c r="I28" s="240" t="s">
        <v>14</v>
      </c>
      <c r="J28" s="241">
        <f>SUMIF($C$3:$C$26,"N",J3:J26)</f>
        <v>96159192</v>
      </c>
      <c r="K28" s="241">
        <f>SUMIF($C$3:$C$26,"N",K3:K26)</f>
        <v>52058929</v>
      </c>
      <c r="L28" s="241">
        <f>SUMIF($C$3:$C$26,"N",L3:L26)</f>
        <v>44100263</v>
      </c>
      <c r="M28" s="242" t="s">
        <v>14</v>
      </c>
      <c r="N28" s="303">
        <f t="shared" ref="N28:W28" si="10">SUMIF($C$3:$C$26,"N",N3:N26)</f>
        <v>0</v>
      </c>
      <c r="O28" s="303">
        <f t="shared" si="10"/>
        <v>0</v>
      </c>
      <c r="P28" s="303">
        <f t="shared" si="10"/>
        <v>0</v>
      </c>
      <c r="Q28" s="303">
        <f t="shared" si="10"/>
        <v>0</v>
      </c>
      <c r="R28" s="303">
        <f t="shared" si="10"/>
        <v>52058929</v>
      </c>
      <c r="S28" s="303">
        <f t="shared" si="10"/>
        <v>0</v>
      </c>
      <c r="T28" s="303">
        <f t="shared" si="10"/>
        <v>0</v>
      </c>
      <c r="U28" s="303">
        <f t="shared" si="10"/>
        <v>0</v>
      </c>
      <c r="V28" s="303">
        <f t="shared" si="10"/>
        <v>0</v>
      </c>
      <c r="W28" s="303">
        <f t="shared" si="10"/>
        <v>0</v>
      </c>
      <c r="X28" s="251" t="b">
        <f>K28=SUM(N28:W28)</f>
        <v>1</v>
      </c>
      <c r="Y28" s="262">
        <f>ROUND(K28/J28,4)</f>
        <v>0.54139999999999999</v>
      </c>
      <c r="Z28" s="20" t="s">
        <v>14</v>
      </c>
      <c r="AA28" s="20" t="b">
        <f>J28=K28+L28</f>
        <v>1</v>
      </c>
      <c r="AB28" s="12"/>
    </row>
    <row r="29" spans="1:28" ht="20.100000000000001" customHeight="1" x14ac:dyDescent="0.3">
      <c r="A29" s="341" t="s">
        <v>39</v>
      </c>
      <c r="B29" s="341"/>
      <c r="C29" s="341"/>
      <c r="D29" s="341"/>
      <c r="E29" s="341"/>
      <c r="F29" s="341"/>
      <c r="G29" s="341"/>
      <c r="H29" s="244">
        <f>SUMIF($C$3:$C$26,"W",H3:H26)</f>
        <v>5.87</v>
      </c>
      <c r="I29" s="245" t="s">
        <v>14</v>
      </c>
      <c r="J29" s="246">
        <f>SUMIF($C$3:$C$26,"W",J3:J26)</f>
        <v>11685571</v>
      </c>
      <c r="K29" s="246">
        <f>SUMIF($C$3:$C$26,"W",K3:K26)</f>
        <v>7011342.5999999996</v>
      </c>
      <c r="L29" s="246">
        <f>SUMIF($C$3:$C$26,"W",L3:L26)</f>
        <v>4674228.4000000004</v>
      </c>
      <c r="M29" s="247" t="s">
        <v>14</v>
      </c>
      <c r="N29" s="304">
        <f t="shared" ref="N29:W29" si="11">SUMIF($C$3:$C$26,"W",N3:N26)</f>
        <v>0</v>
      </c>
      <c r="O29" s="304">
        <f t="shared" si="11"/>
        <v>0</v>
      </c>
      <c r="P29" s="304">
        <f t="shared" si="11"/>
        <v>0</v>
      </c>
      <c r="Q29" s="304">
        <f t="shared" si="11"/>
        <v>0</v>
      </c>
      <c r="R29" s="304">
        <f t="shared" si="11"/>
        <v>3497271.6</v>
      </c>
      <c r="S29" s="304">
        <f t="shared" si="11"/>
        <v>3514071</v>
      </c>
      <c r="T29" s="304">
        <f t="shared" si="11"/>
        <v>0</v>
      </c>
      <c r="U29" s="304">
        <f t="shared" si="11"/>
        <v>0</v>
      </c>
      <c r="V29" s="304">
        <f t="shared" si="11"/>
        <v>0</v>
      </c>
      <c r="W29" s="304">
        <f t="shared" si="11"/>
        <v>0</v>
      </c>
      <c r="X29" s="251" t="b">
        <f>K29=SUM(N29:W29)</f>
        <v>1</v>
      </c>
      <c r="Y29" s="262">
        <f>ROUND(K29/J29,4)</f>
        <v>0.6</v>
      </c>
      <c r="Z29" s="20" t="s">
        <v>14</v>
      </c>
      <c r="AA29" s="20" t="b">
        <f>J29=K29+L29</f>
        <v>1</v>
      </c>
      <c r="AB29" s="12"/>
    </row>
    <row r="30" spans="1:28" x14ac:dyDescent="0.3">
      <c r="A30" s="305"/>
    </row>
    <row r="31" spans="1:28" x14ac:dyDescent="0.3">
      <c r="A31" s="252" t="s">
        <v>24</v>
      </c>
    </row>
    <row r="32" spans="1:28" x14ac:dyDescent="0.3">
      <c r="A32" s="255" t="s">
        <v>25</v>
      </c>
    </row>
    <row r="33" spans="1:1" x14ac:dyDescent="0.3">
      <c r="A33" s="252" t="s">
        <v>35</v>
      </c>
    </row>
    <row r="34" spans="1:1" x14ac:dyDescent="0.3">
      <c r="A34" s="306"/>
    </row>
  </sheetData>
  <mergeCells count="17">
    <mergeCell ref="N1:W1"/>
    <mergeCell ref="E1:E2"/>
    <mergeCell ref="A28:G28"/>
    <mergeCell ref="J1:J2"/>
    <mergeCell ref="K1:K2"/>
    <mergeCell ref="L1:L2"/>
    <mergeCell ref="M1:M2"/>
    <mergeCell ref="A29:G29"/>
    <mergeCell ref="I1:I2"/>
    <mergeCell ref="A1:A2"/>
    <mergeCell ref="B1:B2"/>
    <mergeCell ref="C1:C2"/>
    <mergeCell ref="F1:F2"/>
    <mergeCell ref="G1:G2"/>
    <mergeCell ref="H1:H2"/>
    <mergeCell ref="D1:D2"/>
    <mergeCell ref="A27:G27"/>
  </mergeCells>
  <conditionalFormatting sqref="AA29 X3:AB26">
    <cfRule type="cellIs" dxfId="30" priority="14" operator="equal">
      <formula>FALSE</formula>
    </cfRule>
  </conditionalFormatting>
  <conditionalFormatting sqref="AB29">
    <cfRule type="cellIs" dxfId="29" priority="19" operator="equal">
      <formula>FALSE</formula>
    </cfRule>
  </conditionalFormatting>
  <conditionalFormatting sqref="AB29">
    <cfRule type="cellIs" dxfId="28" priority="18" operator="equal">
      <formula>FALSE</formula>
    </cfRule>
  </conditionalFormatting>
  <conditionalFormatting sqref="Y29:Z29">
    <cfRule type="cellIs" dxfId="27" priority="17" operator="equal">
      <formula>FALSE</formula>
    </cfRule>
  </conditionalFormatting>
  <conditionalFormatting sqref="X29">
    <cfRule type="cellIs" dxfId="26" priority="16" operator="equal">
      <formula>FALSE</formula>
    </cfRule>
  </conditionalFormatting>
  <conditionalFormatting sqref="X29:Z29 X3:Z26">
    <cfRule type="containsText" dxfId="25" priority="15" operator="containsText" text="fałsz">
      <formula>NOT(ISERROR(SEARCH("fałsz",X3)))</formula>
    </cfRule>
  </conditionalFormatting>
  <conditionalFormatting sqref="AA29">
    <cfRule type="cellIs" dxfId="24" priority="13" operator="equal">
      <formula>FALSE</formula>
    </cfRule>
  </conditionalFormatting>
  <conditionalFormatting sqref="AB27:AB28">
    <cfRule type="cellIs" dxfId="23" priority="12" operator="equal">
      <formula>FALSE</formula>
    </cfRule>
  </conditionalFormatting>
  <conditionalFormatting sqref="AB27:AB28">
    <cfRule type="cellIs" dxfId="22" priority="11" operator="equal">
      <formula>FALSE</formula>
    </cfRule>
  </conditionalFormatting>
  <conditionalFormatting sqref="Y27:Z27">
    <cfRule type="cellIs" dxfId="21" priority="10" operator="equal">
      <formula>FALSE</formula>
    </cfRule>
  </conditionalFormatting>
  <conditionalFormatting sqref="X27">
    <cfRule type="cellIs" dxfId="20" priority="9" operator="equal">
      <formula>FALSE</formula>
    </cfRule>
  </conditionalFormatting>
  <conditionalFormatting sqref="X27:Z27">
    <cfRule type="containsText" dxfId="19" priority="8" operator="containsText" text="fałsz">
      <formula>NOT(ISERROR(SEARCH("fałsz",X27)))</formula>
    </cfRule>
  </conditionalFormatting>
  <conditionalFormatting sqref="AA27">
    <cfRule type="cellIs" dxfId="18" priority="7" operator="equal">
      <formula>FALSE</formula>
    </cfRule>
  </conditionalFormatting>
  <conditionalFormatting sqref="AA27">
    <cfRule type="cellIs" dxfId="17" priority="6" operator="equal">
      <formula>FALSE</formula>
    </cfRule>
  </conditionalFormatting>
  <conditionalFormatting sqref="Y28:Z28">
    <cfRule type="cellIs" dxfId="16" priority="5" operator="equal">
      <formula>FALSE</formula>
    </cfRule>
  </conditionalFormatting>
  <conditionalFormatting sqref="X28">
    <cfRule type="cellIs" dxfId="15" priority="4" operator="equal">
      <formula>FALSE</formula>
    </cfRule>
  </conditionalFormatting>
  <conditionalFormatting sqref="X28:Z28">
    <cfRule type="containsText" dxfId="14" priority="3" operator="containsText" text="fałsz">
      <formula>NOT(ISERROR(SEARCH("fałsz",X28)))</formula>
    </cfRule>
  </conditionalFormatting>
  <conditionalFormatting sqref="AA28">
    <cfRule type="cellIs" dxfId="13" priority="2" operator="equal">
      <formula>FALSE</formula>
    </cfRule>
  </conditionalFormatting>
  <conditionalFormatting sqref="AA28">
    <cfRule type="cellIs" dxfId="12" priority="1" operator="equal">
      <formula>FALSE</formula>
    </cfRule>
  </conditionalFormatting>
  <dataValidations count="2">
    <dataValidation type="list" allowBlank="1" showInputMessage="1" showErrorMessage="1" sqref="C25:C26">
      <formula1>"N,K,W"</formula1>
    </dataValidation>
    <dataValidation type="list" allowBlank="1" showInputMessage="1" showErrorMessage="1" sqref="G3:G26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Warmińsko-Mazurskie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6"/>
  <sheetViews>
    <sheetView showGridLines="0" view="pageBreakPreview" zoomScale="90" zoomScaleNormal="78" zoomScaleSheetLayoutView="90" workbookViewId="0">
      <selection sqref="A1:X1048576"/>
    </sheetView>
  </sheetViews>
  <sheetFormatPr defaultColWidth="9.109375" defaultRowHeight="14.4" x14ac:dyDescent="0.3"/>
  <cols>
    <col min="1" max="1" width="9.6640625" style="253" customWidth="1"/>
    <col min="2" max="2" width="14" style="253" customWidth="1"/>
    <col min="3" max="3" width="14.6640625" style="253" customWidth="1"/>
    <col min="4" max="4" width="19.33203125" style="253" customWidth="1"/>
    <col min="5" max="6" width="15.6640625" style="253" customWidth="1"/>
    <col min="7" max="7" width="33.109375" style="253" customWidth="1"/>
    <col min="8" max="9" width="15.6640625" style="253" customWidth="1"/>
    <col min="10" max="10" width="19.6640625" style="253" customWidth="1"/>
    <col min="11" max="13" width="15.6640625" style="253" customWidth="1"/>
    <col min="14" max="14" width="15.6640625" style="251" customWidth="1"/>
    <col min="15" max="24" width="15.6640625" style="253" customWidth="1"/>
    <col min="25" max="28" width="15.6640625" style="8" customWidth="1"/>
    <col min="29" max="16384" width="9.109375" style="8"/>
  </cols>
  <sheetData>
    <row r="1" spans="1:28" ht="20.100000000000001" customHeight="1" x14ac:dyDescent="0.3">
      <c r="A1" s="330" t="s">
        <v>4</v>
      </c>
      <c r="B1" s="330" t="s">
        <v>5</v>
      </c>
      <c r="C1" s="333" t="s">
        <v>45</v>
      </c>
      <c r="D1" s="328" t="s">
        <v>6</v>
      </c>
      <c r="E1" s="328" t="s">
        <v>32</v>
      </c>
      <c r="F1" s="328" t="s">
        <v>15</v>
      </c>
      <c r="G1" s="330" t="s">
        <v>7</v>
      </c>
      <c r="H1" s="330" t="s">
        <v>26</v>
      </c>
      <c r="I1" s="330" t="s">
        <v>8</v>
      </c>
      <c r="J1" s="330" t="s">
        <v>27</v>
      </c>
      <c r="K1" s="330" t="s">
        <v>9</v>
      </c>
      <c r="L1" s="330" t="s">
        <v>10</v>
      </c>
      <c r="M1" s="328" t="s">
        <v>13</v>
      </c>
      <c r="N1" s="330" t="s">
        <v>11</v>
      </c>
      <c r="O1" s="330" t="s">
        <v>12</v>
      </c>
      <c r="P1" s="330"/>
      <c r="Q1" s="330"/>
      <c r="R1" s="330"/>
      <c r="S1" s="330"/>
      <c r="T1" s="330"/>
      <c r="U1" s="330"/>
      <c r="V1" s="330"/>
      <c r="W1" s="330"/>
      <c r="X1" s="330"/>
    </row>
    <row r="2" spans="1:28" ht="20.100000000000001" customHeight="1" x14ac:dyDescent="0.3">
      <c r="A2" s="330"/>
      <c r="B2" s="330"/>
      <c r="C2" s="334"/>
      <c r="D2" s="329"/>
      <c r="E2" s="329"/>
      <c r="F2" s="329"/>
      <c r="G2" s="330"/>
      <c r="H2" s="330"/>
      <c r="I2" s="330"/>
      <c r="J2" s="330"/>
      <c r="K2" s="330"/>
      <c r="L2" s="330"/>
      <c r="M2" s="329"/>
      <c r="N2" s="330"/>
      <c r="O2" s="149">
        <v>2019</v>
      </c>
      <c r="P2" s="149">
        <v>2020</v>
      </c>
      <c r="Q2" s="149">
        <v>2021</v>
      </c>
      <c r="R2" s="149">
        <v>2022</v>
      </c>
      <c r="S2" s="149">
        <v>2023</v>
      </c>
      <c r="T2" s="149">
        <v>2024</v>
      </c>
      <c r="U2" s="149">
        <v>2025</v>
      </c>
      <c r="V2" s="149">
        <v>2026</v>
      </c>
      <c r="W2" s="149">
        <v>2027</v>
      </c>
      <c r="X2" s="149">
        <v>2028</v>
      </c>
      <c r="Y2" s="1" t="s">
        <v>28</v>
      </c>
      <c r="Z2" s="1" t="s">
        <v>29</v>
      </c>
      <c r="AA2" s="1" t="s">
        <v>30</v>
      </c>
      <c r="AB2" s="1" t="s">
        <v>31</v>
      </c>
    </row>
    <row r="3" spans="1:28" ht="30" customHeight="1" x14ac:dyDescent="0.3">
      <c r="A3" s="292">
        <v>1</v>
      </c>
      <c r="B3" s="237" t="s">
        <v>375</v>
      </c>
      <c r="C3" s="228" t="s">
        <v>315</v>
      </c>
      <c r="D3" s="235" t="s">
        <v>206</v>
      </c>
      <c r="E3" s="236" t="s">
        <v>651</v>
      </c>
      <c r="F3" s="237" t="s">
        <v>104</v>
      </c>
      <c r="G3" s="237" t="s">
        <v>376</v>
      </c>
      <c r="H3" s="218" t="s">
        <v>80</v>
      </c>
      <c r="I3" s="231">
        <v>0.13800000000000001</v>
      </c>
      <c r="J3" s="293" t="s">
        <v>374</v>
      </c>
      <c r="K3" s="238">
        <v>1205800</v>
      </c>
      <c r="L3" s="203">
        <f t="shared" ref="L3:L15" si="0">ROUND(K3*N3,2)</f>
        <v>602900</v>
      </c>
      <c r="M3" s="204">
        <f t="shared" ref="M3:M32" si="1">K3-L3</f>
        <v>602900</v>
      </c>
      <c r="N3" s="234">
        <v>0.5</v>
      </c>
      <c r="O3" s="167">
        <v>0</v>
      </c>
      <c r="P3" s="167">
        <v>0</v>
      </c>
      <c r="Q3" s="190">
        <v>0</v>
      </c>
      <c r="R3" s="192">
        <v>0</v>
      </c>
      <c r="S3" s="238">
        <f t="shared" ref="S3:S13" si="2">SUM(L3)</f>
        <v>602900</v>
      </c>
      <c r="T3" s="158"/>
      <c r="U3" s="158"/>
      <c r="V3" s="158"/>
      <c r="W3" s="158"/>
      <c r="X3" s="158"/>
      <c r="Y3" s="1" t="b">
        <f t="shared" ref="Y3:Y61" si="3">L3=SUM(O3:X3)</f>
        <v>1</v>
      </c>
      <c r="Z3" s="19">
        <f t="shared" ref="Z3:Z61" si="4">ROUND(L3/K3,4)</f>
        <v>0.5</v>
      </c>
      <c r="AA3" s="20" t="b">
        <f t="shared" ref="AA3:AA58" si="5">Z3=N3</f>
        <v>1</v>
      </c>
      <c r="AB3" s="20" t="b">
        <f t="shared" ref="AB3:AB61" si="6">K3=L3+M3</f>
        <v>1</v>
      </c>
    </row>
    <row r="4" spans="1:28" ht="30" customHeight="1" x14ac:dyDescent="0.3">
      <c r="A4" s="292">
        <v>2</v>
      </c>
      <c r="B4" s="237" t="s">
        <v>507</v>
      </c>
      <c r="C4" s="228" t="s">
        <v>315</v>
      </c>
      <c r="D4" s="235" t="s">
        <v>508</v>
      </c>
      <c r="E4" s="236" t="s">
        <v>665</v>
      </c>
      <c r="F4" s="237" t="s">
        <v>128</v>
      </c>
      <c r="G4" s="237" t="s">
        <v>509</v>
      </c>
      <c r="H4" s="218" t="s">
        <v>80</v>
      </c>
      <c r="I4" s="231">
        <v>0.72199999999999998</v>
      </c>
      <c r="J4" s="293" t="s">
        <v>510</v>
      </c>
      <c r="K4" s="238">
        <v>8582537</v>
      </c>
      <c r="L4" s="203">
        <f>ROUNDDOWN(K4*N4,1)</f>
        <v>6007775.9000000004</v>
      </c>
      <c r="M4" s="204">
        <f t="shared" si="1"/>
        <v>2574761.0999999996</v>
      </c>
      <c r="N4" s="234">
        <v>0.7</v>
      </c>
      <c r="O4" s="167">
        <v>0</v>
      </c>
      <c r="P4" s="167">
        <v>0</v>
      </c>
      <c r="Q4" s="190">
        <v>0</v>
      </c>
      <c r="R4" s="192">
        <v>0</v>
      </c>
      <c r="S4" s="238">
        <f t="shared" si="2"/>
        <v>6007775.9000000004</v>
      </c>
      <c r="T4" s="158"/>
      <c r="U4" s="158"/>
      <c r="V4" s="158"/>
      <c r="W4" s="158"/>
      <c r="X4" s="158"/>
      <c r="Y4" s="1" t="b">
        <f t="shared" si="3"/>
        <v>1</v>
      </c>
      <c r="Z4" s="19">
        <f t="shared" si="4"/>
        <v>0.7</v>
      </c>
      <c r="AA4" s="20" t="b">
        <f t="shared" si="5"/>
        <v>1</v>
      </c>
      <c r="AB4" s="20" t="b">
        <f t="shared" si="6"/>
        <v>1</v>
      </c>
    </row>
    <row r="5" spans="1:28" s="148" customFormat="1" ht="37.950000000000003" customHeight="1" x14ac:dyDescent="0.3">
      <c r="A5" s="292">
        <v>3</v>
      </c>
      <c r="B5" s="237" t="s">
        <v>611</v>
      </c>
      <c r="C5" s="228" t="s">
        <v>315</v>
      </c>
      <c r="D5" s="235" t="s">
        <v>609</v>
      </c>
      <c r="E5" s="236" t="s">
        <v>667</v>
      </c>
      <c r="F5" s="237" t="s">
        <v>185</v>
      </c>
      <c r="G5" s="237" t="s">
        <v>612</v>
      </c>
      <c r="H5" s="218" t="s">
        <v>85</v>
      </c>
      <c r="I5" s="231">
        <v>0.9</v>
      </c>
      <c r="J5" s="293" t="s">
        <v>610</v>
      </c>
      <c r="K5" s="238">
        <v>1953279</v>
      </c>
      <c r="L5" s="203">
        <f>ROUNDDOWN(K5*N5,1)</f>
        <v>1367295.3</v>
      </c>
      <c r="M5" s="204">
        <f>K5-L5</f>
        <v>585983.69999999995</v>
      </c>
      <c r="N5" s="234">
        <v>0.7</v>
      </c>
      <c r="O5" s="167">
        <v>0</v>
      </c>
      <c r="P5" s="167">
        <v>0</v>
      </c>
      <c r="Q5" s="190">
        <v>0</v>
      </c>
      <c r="R5" s="192">
        <v>0</v>
      </c>
      <c r="S5" s="238">
        <f>SUM(L5)</f>
        <v>1367295.3</v>
      </c>
      <c r="T5" s="158"/>
      <c r="U5" s="158"/>
      <c r="V5" s="158"/>
      <c r="W5" s="158"/>
      <c r="X5" s="158"/>
      <c r="Y5" s="143" t="b">
        <f>L5=SUM(O5:X5)</f>
        <v>1</v>
      </c>
      <c r="Z5" s="144">
        <f>ROUND(L5/K5,4)</f>
        <v>0.7</v>
      </c>
      <c r="AA5" s="145" t="b">
        <f>Z5=N5</f>
        <v>1</v>
      </c>
      <c r="AB5" s="145" t="b">
        <f>K5=L5+M5</f>
        <v>1</v>
      </c>
    </row>
    <row r="6" spans="1:28" ht="30" customHeight="1" x14ac:dyDescent="0.3">
      <c r="A6" s="292">
        <v>4</v>
      </c>
      <c r="B6" s="237" t="s">
        <v>361</v>
      </c>
      <c r="C6" s="228" t="s">
        <v>315</v>
      </c>
      <c r="D6" s="235" t="s">
        <v>356</v>
      </c>
      <c r="E6" s="236" t="s">
        <v>652</v>
      </c>
      <c r="F6" s="237" t="s">
        <v>112</v>
      </c>
      <c r="G6" s="237" t="s">
        <v>362</v>
      </c>
      <c r="H6" s="218" t="s">
        <v>85</v>
      </c>
      <c r="I6" s="231">
        <v>1.831</v>
      </c>
      <c r="J6" s="293" t="s">
        <v>354</v>
      </c>
      <c r="K6" s="238">
        <v>2378587</v>
      </c>
      <c r="L6" s="203">
        <f t="shared" si="0"/>
        <v>1189293.5</v>
      </c>
      <c r="M6" s="204">
        <f t="shared" si="1"/>
        <v>1189293.5</v>
      </c>
      <c r="N6" s="234">
        <v>0.5</v>
      </c>
      <c r="O6" s="167">
        <v>0</v>
      </c>
      <c r="P6" s="167">
        <v>0</v>
      </c>
      <c r="Q6" s="190">
        <v>0</v>
      </c>
      <c r="R6" s="192">
        <v>0</v>
      </c>
      <c r="S6" s="238">
        <f t="shared" si="2"/>
        <v>1189293.5</v>
      </c>
      <c r="T6" s="158"/>
      <c r="U6" s="158"/>
      <c r="V6" s="158"/>
      <c r="W6" s="158"/>
      <c r="X6" s="158"/>
      <c r="Y6" s="1" t="b">
        <f t="shared" si="3"/>
        <v>1</v>
      </c>
      <c r="Z6" s="19">
        <f t="shared" si="4"/>
        <v>0.5</v>
      </c>
      <c r="AA6" s="20" t="b">
        <f t="shared" si="5"/>
        <v>1</v>
      </c>
      <c r="AB6" s="20" t="b">
        <f t="shared" si="6"/>
        <v>1</v>
      </c>
    </row>
    <row r="7" spans="1:28" ht="30" customHeight="1" x14ac:dyDescent="0.3">
      <c r="A7" s="292">
        <v>5</v>
      </c>
      <c r="B7" s="237" t="s">
        <v>351</v>
      </c>
      <c r="C7" s="228" t="s">
        <v>315</v>
      </c>
      <c r="D7" s="235" t="s">
        <v>273</v>
      </c>
      <c r="E7" s="236" t="s">
        <v>662</v>
      </c>
      <c r="F7" s="237" t="s">
        <v>258</v>
      </c>
      <c r="G7" s="237" t="s">
        <v>274</v>
      </c>
      <c r="H7" s="218" t="s">
        <v>85</v>
      </c>
      <c r="I7" s="231">
        <v>0.76100000000000001</v>
      </c>
      <c r="J7" s="293" t="s">
        <v>352</v>
      </c>
      <c r="K7" s="238">
        <v>2719087</v>
      </c>
      <c r="L7" s="203">
        <f>ROUND(K7*N7,2)</f>
        <v>1631452.2</v>
      </c>
      <c r="M7" s="204">
        <f t="shared" si="1"/>
        <v>1087634.8</v>
      </c>
      <c r="N7" s="234">
        <v>0.6</v>
      </c>
      <c r="O7" s="167">
        <v>0</v>
      </c>
      <c r="P7" s="167">
        <v>0</v>
      </c>
      <c r="Q7" s="190">
        <v>0</v>
      </c>
      <c r="R7" s="192">
        <v>0</v>
      </c>
      <c r="S7" s="238">
        <f>SUM(L7)</f>
        <v>1631452.2</v>
      </c>
      <c r="T7" s="158"/>
      <c r="U7" s="158"/>
      <c r="V7" s="158"/>
      <c r="W7" s="158"/>
      <c r="X7" s="158"/>
      <c r="Y7" s="1" t="b">
        <f t="shared" si="3"/>
        <v>1</v>
      </c>
      <c r="Z7" s="19">
        <f t="shared" si="4"/>
        <v>0.6</v>
      </c>
      <c r="AA7" s="20" t="b">
        <f t="shared" si="5"/>
        <v>1</v>
      </c>
      <c r="AB7" s="20" t="b">
        <f t="shared" si="6"/>
        <v>1</v>
      </c>
    </row>
    <row r="8" spans="1:28" ht="30" customHeight="1" x14ac:dyDescent="0.3">
      <c r="A8" s="292">
        <v>6</v>
      </c>
      <c r="B8" s="237" t="s">
        <v>600</v>
      </c>
      <c r="C8" s="228" t="s">
        <v>315</v>
      </c>
      <c r="D8" s="235" t="s">
        <v>279</v>
      </c>
      <c r="E8" s="236" t="s">
        <v>666</v>
      </c>
      <c r="F8" s="237" t="s">
        <v>185</v>
      </c>
      <c r="G8" s="237" t="s">
        <v>601</v>
      </c>
      <c r="H8" s="218" t="s">
        <v>85</v>
      </c>
      <c r="I8" s="231">
        <v>0.158</v>
      </c>
      <c r="J8" s="293" t="s">
        <v>602</v>
      </c>
      <c r="K8" s="238">
        <v>300000</v>
      </c>
      <c r="L8" s="203">
        <f t="shared" si="0"/>
        <v>180000</v>
      </c>
      <c r="M8" s="204">
        <f t="shared" si="1"/>
        <v>120000</v>
      </c>
      <c r="N8" s="234">
        <v>0.6</v>
      </c>
      <c r="O8" s="167">
        <v>0</v>
      </c>
      <c r="P8" s="167">
        <v>0</v>
      </c>
      <c r="Q8" s="190">
        <v>0</v>
      </c>
      <c r="R8" s="192">
        <v>0</v>
      </c>
      <c r="S8" s="238">
        <f t="shared" si="2"/>
        <v>180000</v>
      </c>
      <c r="T8" s="158"/>
      <c r="U8" s="158"/>
      <c r="V8" s="158"/>
      <c r="W8" s="158"/>
      <c r="X8" s="158"/>
      <c r="Y8" s="1" t="b">
        <f t="shared" si="3"/>
        <v>1</v>
      </c>
      <c r="Z8" s="19">
        <f t="shared" si="4"/>
        <v>0.6</v>
      </c>
      <c r="AA8" s="20" t="b">
        <f t="shared" si="5"/>
        <v>1</v>
      </c>
      <c r="AB8" s="20" t="b">
        <f t="shared" si="6"/>
        <v>1</v>
      </c>
    </row>
    <row r="9" spans="1:28" ht="37.200000000000003" customHeight="1" x14ac:dyDescent="0.3">
      <c r="A9" s="292">
        <v>7</v>
      </c>
      <c r="B9" s="237" t="s">
        <v>544</v>
      </c>
      <c r="C9" s="228" t="s">
        <v>315</v>
      </c>
      <c r="D9" s="235" t="s">
        <v>545</v>
      </c>
      <c r="E9" s="236" t="s">
        <v>668</v>
      </c>
      <c r="F9" s="237" t="s">
        <v>104</v>
      </c>
      <c r="G9" s="237" t="s">
        <v>546</v>
      </c>
      <c r="H9" s="218" t="s">
        <v>71</v>
      </c>
      <c r="I9" s="231">
        <v>1.282</v>
      </c>
      <c r="J9" s="293" t="s">
        <v>547</v>
      </c>
      <c r="K9" s="238">
        <v>1497883</v>
      </c>
      <c r="L9" s="203">
        <f t="shared" si="0"/>
        <v>748941.5</v>
      </c>
      <c r="M9" s="204">
        <f t="shared" si="1"/>
        <v>748941.5</v>
      </c>
      <c r="N9" s="234">
        <v>0.5</v>
      </c>
      <c r="O9" s="167">
        <v>0</v>
      </c>
      <c r="P9" s="167">
        <v>0</v>
      </c>
      <c r="Q9" s="190">
        <v>0</v>
      </c>
      <c r="R9" s="192">
        <v>0</v>
      </c>
      <c r="S9" s="238">
        <f t="shared" si="2"/>
        <v>748941.5</v>
      </c>
      <c r="T9" s="158"/>
      <c r="U9" s="158"/>
      <c r="V9" s="158"/>
      <c r="W9" s="158"/>
      <c r="X9" s="158"/>
      <c r="Y9" s="1" t="b">
        <f t="shared" si="3"/>
        <v>1</v>
      </c>
      <c r="Z9" s="19">
        <f t="shared" si="4"/>
        <v>0.5</v>
      </c>
      <c r="AA9" s="20" t="b">
        <f t="shared" si="5"/>
        <v>1</v>
      </c>
      <c r="AB9" s="20" t="b">
        <f t="shared" si="6"/>
        <v>1</v>
      </c>
    </row>
    <row r="10" spans="1:28" ht="30" customHeight="1" x14ac:dyDescent="0.3">
      <c r="A10" s="292">
        <v>8</v>
      </c>
      <c r="B10" s="237" t="s">
        <v>543</v>
      </c>
      <c r="C10" s="228" t="s">
        <v>315</v>
      </c>
      <c r="D10" s="235" t="s">
        <v>189</v>
      </c>
      <c r="E10" s="236" t="s">
        <v>669</v>
      </c>
      <c r="F10" s="237" t="s">
        <v>190</v>
      </c>
      <c r="G10" s="237" t="s">
        <v>249</v>
      </c>
      <c r="H10" s="218" t="s">
        <v>80</v>
      </c>
      <c r="I10" s="231">
        <v>1.18</v>
      </c>
      <c r="J10" s="293" t="s">
        <v>353</v>
      </c>
      <c r="K10" s="238">
        <v>5752213</v>
      </c>
      <c r="L10" s="203">
        <f t="shared" si="0"/>
        <v>2876106.5</v>
      </c>
      <c r="M10" s="204">
        <f t="shared" si="1"/>
        <v>2876106.5</v>
      </c>
      <c r="N10" s="234">
        <v>0.5</v>
      </c>
      <c r="O10" s="167">
        <v>0</v>
      </c>
      <c r="P10" s="167">
        <v>0</v>
      </c>
      <c r="Q10" s="190">
        <v>0</v>
      </c>
      <c r="R10" s="192">
        <v>0</v>
      </c>
      <c r="S10" s="238">
        <f t="shared" si="2"/>
        <v>2876106.5</v>
      </c>
      <c r="T10" s="158"/>
      <c r="U10" s="158"/>
      <c r="V10" s="158"/>
      <c r="W10" s="158"/>
      <c r="X10" s="158"/>
      <c r="Y10" s="1" t="b">
        <f t="shared" si="3"/>
        <v>1</v>
      </c>
      <c r="Z10" s="19">
        <f t="shared" si="4"/>
        <v>0.5</v>
      </c>
      <c r="AA10" s="20" t="b">
        <f t="shared" si="5"/>
        <v>1</v>
      </c>
      <c r="AB10" s="20" t="b">
        <f t="shared" si="6"/>
        <v>1</v>
      </c>
    </row>
    <row r="11" spans="1:28" ht="30" customHeight="1" x14ac:dyDescent="0.3">
      <c r="A11" s="292">
        <v>9</v>
      </c>
      <c r="B11" s="237" t="s">
        <v>395</v>
      </c>
      <c r="C11" s="228" t="s">
        <v>315</v>
      </c>
      <c r="D11" s="235" t="s">
        <v>390</v>
      </c>
      <c r="E11" s="236" t="s">
        <v>664</v>
      </c>
      <c r="F11" s="237" t="s">
        <v>284</v>
      </c>
      <c r="G11" s="237" t="s">
        <v>396</v>
      </c>
      <c r="H11" s="218" t="s">
        <v>85</v>
      </c>
      <c r="I11" s="231">
        <v>0.29099999999999998</v>
      </c>
      <c r="J11" s="293" t="s">
        <v>391</v>
      </c>
      <c r="K11" s="238">
        <v>947597</v>
      </c>
      <c r="L11" s="203">
        <f t="shared" si="0"/>
        <v>568558.19999999995</v>
      </c>
      <c r="M11" s="204">
        <f t="shared" si="1"/>
        <v>379038.80000000005</v>
      </c>
      <c r="N11" s="234">
        <v>0.6</v>
      </c>
      <c r="O11" s="167">
        <v>0</v>
      </c>
      <c r="P11" s="167">
        <v>0</v>
      </c>
      <c r="Q11" s="190">
        <v>0</v>
      </c>
      <c r="R11" s="192">
        <v>0</v>
      </c>
      <c r="S11" s="238">
        <f t="shared" si="2"/>
        <v>568558.19999999995</v>
      </c>
      <c r="T11" s="158"/>
      <c r="U11" s="158"/>
      <c r="V11" s="158"/>
      <c r="W11" s="158"/>
      <c r="X11" s="158"/>
      <c r="Y11" s="1" t="b">
        <f t="shared" si="3"/>
        <v>1</v>
      </c>
      <c r="Z11" s="19">
        <f t="shared" si="4"/>
        <v>0.6</v>
      </c>
      <c r="AA11" s="20" t="b">
        <f t="shared" si="5"/>
        <v>1</v>
      </c>
      <c r="AB11" s="20" t="b">
        <f t="shared" si="6"/>
        <v>1</v>
      </c>
    </row>
    <row r="12" spans="1:28" ht="30" customHeight="1" x14ac:dyDescent="0.3">
      <c r="A12" s="292">
        <v>10</v>
      </c>
      <c r="B12" s="237" t="s">
        <v>568</v>
      </c>
      <c r="C12" s="228" t="s">
        <v>315</v>
      </c>
      <c r="D12" s="235" t="s">
        <v>565</v>
      </c>
      <c r="E12" s="236" t="s">
        <v>661</v>
      </c>
      <c r="F12" s="237" t="s">
        <v>190</v>
      </c>
      <c r="G12" s="237" t="s">
        <v>569</v>
      </c>
      <c r="H12" s="218" t="s">
        <v>85</v>
      </c>
      <c r="I12" s="231">
        <v>0.77800000000000002</v>
      </c>
      <c r="J12" s="293" t="s">
        <v>567</v>
      </c>
      <c r="K12" s="238">
        <v>991424</v>
      </c>
      <c r="L12" s="203">
        <f t="shared" si="0"/>
        <v>495712</v>
      </c>
      <c r="M12" s="204">
        <f t="shared" si="1"/>
        <v>495712</v>
      </c>
      <c r="N12" s="234">
        <v>0.5</v>
      </c>
      <c r="O12" s="167">
        <v>0</v>
      </c>
      <c r="P12" s="167">
        <v>0</v>
      </c>
      <c r="Q12" s="190">
        <v>0</v>
      </c>
      <c r="R12" s="192">
        <v>0</v>
      </c>
      <c r="S12" s="238">
        <f t="shared" si="2"/>
        <v>495712</v>
      </c>
      <c r="T12" s="158"/>
      <c r="U12" s="158"/>
      <c r="V12" s="158"/>
      <c r="W12" s="158"/>
      <c r="X12" s="158"/>
      <c r="Y12" s="1" t="b">
        <f t="shared" si="3"/>
        <v>1</v>
      </c>
      <c r="Z12" s="19">
        <f t="shared" si="4"/>
        <v>0.5</v>
      </c>
      <c r="AA12" s="20" t="b">
        <f t="shared" si="5"/>
        <v>1</v>
      </c>
      <c r="AB12" s="20" t="b">
        <f t="shared" si="6"/>
        <v>1</v>
      </c>
    </row>
    <row r="13" spans="1:28" ht="30" customHeight="1" x14ac:dyDescent="0.3">
      <c r="A13" s="292">
        <v>11</v>
      </c>
      <c r="B13" s="237" t="s">
        <v>596</v>
      </c>
      <c r="C13" s="228" t="s">
        <v>315</v>
      </c>
      <c r="D13" s="235" t="s">
        <v>279</v>
      </c>
      <c r="E13" s="236" t="s">
        <v>666</v>
      </c>
      <c r="F13" s="237" t="s">
        <v>185</v>
      </c>
      <c r="G13" s="237" t="s">
        <v>597</v>
      </c>
      <c r="H13" s="218" t="s">
        <v>85</v>
      </c>
      <c r="I13" s="231">
        <v>0.45500000000000002</v>
      </c>
      <c r="J13" s="293" t="s">
        <v>484</v>
      </c>
      <c r="K13" s="238">
        <v>720000</v>
      </c>
      <c r="L13" s="203">
        <f t="shared" si="0"/>
        <v>432000</v>
      </c>
      <c r="M13" s="204">
        <f t="shared" si="1"/>
        <v>288000</v>
      </c>
      <c r="N13" s="234">
        <v>0.6</v>
      </c>
      <c r="O13" s="167">
        <v>0</v>
      </c>
      <c r="P13" s="167">
        <v>0</v>
      </c>
      <c r="Q13" s="190">
        <v>0</v>
      </c>
      <c r="R13" s="192">
        <v>0</v>
      </c>
      <c r="S13" s="238">
        <f t="shared" si="2"/>
        <v>432000</v>
      </c>
      <c r="T13" s="158"/>
      <c r="U13" s="158"/>
      <c r="V13" s="158"/>
      <c r="W13" s="158"/>
      <c r="X13" s="158"/>
      <c r="Y13" s="1" t="b">
        <f t="shared" si="3"/>
        <v>1</v>
      </c>
      <c r="Z13" s="19">
        <f t="shared" si="4"/>
        <v>0.6</v>
      </c>
      <c r="AA13" s="20" t="b">
        <f t="shared" si="5"/>
        <v>1</v>
      </c>
      <c r="AB13" s="20" t="b">
        <f t="shared" si="6"/>
        <v>1</v>
      </c>
    </row>
    <row r="14" spans="1:28" ht="30" customHeight="1" x14ac:dyDescent="0.3">
      <c r="A14" s="292">
        <v>12</v>
      </c>
      <c r="B14" s="237" t="s">
        <v>347</v>
      </c>
      <c r="C14" s="228" t="s">
        <v>315</v>
      </c>
      <c r="D14" s="235" t="s">
        <v>349</v>
      </c>
      <c r="E14" s="236" t="s">
        <v>670</v>
      </c>
      <c r="F14" s="237" t="s">
        <v>112</v>
      </c>
      <c r="G14" s="237" t="s">
        <v>348</v>
      </c>
      <c r="H14" s="218" t="s">
        <v>85</v>
      </c>
      <c r="I14" s="231">
        <v>0.51100000000000001</v>
      </c>
      <c r="J14" s="293" t="s">
        <v>350</v>
      </c>
      <c r="K14" s="238">
        <v>1645629</v>
      </c>
      <c r="L14" s="203">
        <f t="shared" si="0"/>
        <v>822814.5</v>
      </c>
      <c r="M14" s="204">
        <f t="shared" si="1"/>
        <v>822814.5</v>
      </c>
      <c r="N14" s="234">
        <v>0.5</v>
      </c>
      <c r="O14" s="167">
        <v>0</v>
      </c>
      <c r="P14" s="167">
        <v>0</v>
      </c>
      <c r="Q14" s="190">
        <v>0</v>
      </c>
      <c r="R14" s="192">
        <v>0</v>
      </c>
      <c r="S14" s="238">
        <f>SUM(L14)</f>
        <v>822814.5</v>
      </c>
      <c r="T14" s="158"/>
      <c r="U14" s="158"/>
      <c r="V14" s="158"/>
      <c r="W14" s="158"/>
      <c r="X14" s="158"/>
      <c r="Y14" s="1" t="b">
        <f t="shared" si="3"/>
        <v>1</v>
      </c>
      <c r="Z14" s="19">
        <f t="shared" si="4"/>
        <v>0.5</v>
      </c>
      <c r="AA14" s="20" t="b">
        <f t="shared" si="5"/>
        <v>1</v>
      </c>
      <c r="AB14" s="20" t="b">
        <f t="shared" si="6"/>
        <v>1</v>
      </c>
    </row>
    <row r="15" spans="1:28" ht="57" customHeight="1" x14ac:dyDescent="0.3">
      <c r="A15" s="257">
        <v>13</v>
      </c>
      <c r="B15" s="189" t="s">
        <v>549</v>
      </c>
      <c r="C15" s="294" t="s">
        <v>111</v>
      </c>
      <c r="D15" s="159" t="s">
        <v>550</v>
      </c>
      <c r="E15" s="160" t="s">
        <v>703</v>
      </c>
      <c r="F15" s="189" t="s">
        <v>83</v>
      </c>
      <c r="G15" s="189" t="s">
        <v>764</v>
      </c>
      <c r="H15" s="151" t="s">
        <v>85</v>
      </c>
      <c r="I15" s="161">
        <v>3.242</v>
      </c>
      <c r="J15" s="295" t="s">
        <v>551</v>
      </c>
      <c r="K15" s="296">
        <v>2580094</v>
      </c>
      <c r="L15" s="213">
        <f t="shared" si="0"/>
        <v>1290047</v>
      </c>
      <c r="M15" s="214">
        <f t="shared" si="1"/>
        <v>1290047</v>
      </c>
      <c r="N15" s="166">
        <v>0.5</v>
      </c>
      <c r="O15" s="167">
        <v>0</v>
      </c>
      <c r="P15" s="167">
        <v>0</v>
      </c>
      <c r="Q15" s="190">
        <v>0</v>
      </c>
      <c r="R15" s="192">
        <v>0</v>
      </c>
      <c r="S15" s="307">
        <v>690047</v>
      </c>
      <c r="T15" s="298">
        <v>600000</v>
      </c>
      <c r="U15" s="158"/>
      <c r="V15" s="158"/>
      <c r="W15" s="158"/>
      <c r="X15" s="158"/>
      <c r="Y15" s="1" t="b">
        <f t="shared" si="3"/>
        <v>1</v>
      </c>
      <c r="Z15" s="19">
        <f t="shared" si="4"/>
        <v>0.5</v>
      </c>
      <c r="AA15" s="20" t="b">
        <f t="shared" si="5"/>
        <v>1</v>
      </c>
      <c r="AB15" s="20" t="b">
        <f t="shared" si="6"/>
        <v>1</v>
      </c>
    </row>
    <row r="16" spans="1:28" ht="52.5" customHeight="1" x14ac:dyDescent="0.3">
      <c r="A16" s="292">
        <v>14</v>
      </c>
      <c r="B16" s="237" t="s">
        <v>372</v>
      </c>
      <c r="C16" s="228" t="s">
        <v>315</v>
      </c>
      <c r="D16" s="235" t="s">
        <v>206</v>
      </c>
      <c r="E16" s="236" t="s">
        <v>651</v>
      </c>
      <c r="F16" s="237" t="s">
        <v>104</v>
      </c>
      <c r="G16" s="237" t="s">
        <v>373</v>
      </c>
      <c r="H16" s="218" t="s">
        <v>80</v>
      </c>
      <c r="I16" s="231">
        <v>0.26500000000000001</v>
      </c>
      <c r="J16" s="293" t="s">
        <v>374</v>
      </c>
      <c r="K16" s="238">
        <v>1825000</v>
      </c>
      <c r="L16" s="203">
        <f t="shared" ref="L16:L20" si="7">ROUND(K16*N16,2)</f>
        <v>912500</v>
      </c>
      <c r="M16" s="204">
        <f t="shared" si="1"/>
        <v>912500</v>
      </c>
      <c r="N16" s="234">
        <v>0.5</v>
      </c>
      <c r="O16" s="167">
        <v>0</v>
      </c>
      <c r="P16" s="167">
        <v>0</v>
      </c>
      <c r="Q16" s="190">
        <v>0</v>
      </c>
      <c r="R16" s="192">
        <v>0</v>
      </c>
      <c r="S16" s="238">
        <f t="shared" ref="S16:S20" si="8">SUM(L16)</f>
        <v>912500</v>
      </c>
      <c r="T16" s="158"/>
      <c r="U16" s="158"/>
      <c r="V16" s="158"/>
      <c r="W16" s="158"/>
      <c r="X16" s="158"/>
      <c r="Y16" s="1" t="b">
        <f t="shared" si="3"/>
        <v>1</v>
      </c>
      <c r="Z16" s="19">
        <f t="shared" si="4"/>
        <v>0.5</v>
      </c>
      <c r="AA16" s="20" t="b">
        <f t="shared" si="5"/>
        <v>1</v>
      </c>
      <c r="AB16" s="20" t="b">
        <f t="shared" si="6"/>
        <v>1</v>
      </c>
    </row>
    <row r="17" spans="1:28" ht="30" customHeight="1" x14ac:dyDescent="0.3">
      <c r="A17" s="292">
        <v>15</v>
      </c>
      <c r="B17" s="237" t="s">
        <v>365</v>
      </c>
      <c r="C17" s="228" t="s">
        <v>315</v>
      </c>
      <c r="D17" s="235" t="s">
        <v>356</v>
      </c>
      <c r="E17" s="236" t="s">
        <v>652</v>
      </c>
      <c r="F17" s="237" t="s">
        <v>112</v>
      </c>
      <c r="G17" s="237" t="s">
        <v>366</v>
      </c>
      <c r="H17" s="218" t="s">
        <v>85</v>
      </c>
      <c r="I17" s="231">
        <v>0.58699999999999997</v>
      </c>
      <c r="J17" s="293" t="s">
        <v>358</v>
      </c>
      <c r="K17" s="238">
        <v>687634</v>
      </c>
      <c r="L17" s="203">
        <f t="shared" si="7"/>
        <v>343817</v>
      </c>
      <c r="M17" s="204">
        <f t="shared" si="1"/>
        <v>343817</v>
      </c>
      <c r="N17" s="234">
        <v>0.5</v>
      </c>
      <c r="O17" s="167">
        <v>0</v>
      </c>
      <c r="P17" s="167">
        <v>0</v>
      </c>
      <c r="Q17" s="190">
        <v>0</v>
      </c>
      <c r="R17" s="192">
        <v>0</v>
      </c>
      <c r="S17" s="238">
        <f t="shared" si="8"/>
        <v>343817</v>
      </c>
      <c r="T17" s="158"/>
      <c r="U17" s="158"/>
      <c r="V17" s="158"/>
      <c r="W17" s="158"/>
      <c r="X17" s="158"/>
      <c r="Y17" s="1" t="b">
        <f t="shared" si="3"/>
        <v>1</v>
      </c>
      <c r="Z17" s="19">
        <f t="shared" si="4"/>
        <v>0.5</v>
      </c>
      <c r="AA17" s="20" t="b">
        <f t="shared" si="5"/>
        <v>1</v>
      </c>
      <c r="AB17" s="20" t="b">
        <f t="shared" si="6"/>
        <v>1</v>
      </c>
    </row>
    <row r="18" spans="1:28" ht="30" customHeight="1" x14ac:dyDescent="0.3">
      <c r="A18" s="292">
        <v>16</v>
      </c>
      <c r="B18" s="237" t="s">
        <v>621</v>
      </c>
      <c r="C18" s="228" t="s">
        <v>315</v>
      </c>
      <c r="D18" s="235" t="s">
        <v>622</v>
      </c>
      <c r="E18" s="236" t="s">
        <v>671</v>
      </c>
      <c r="F18" s="237" t="s">
        <v>232</v>
      </c>
      <c r="G18" s="237" t="s">
        <v>623</v>
      </c>
      <c r="H18" s="218" t="s">
        <v>80</v>
      </c>
      <c r="I18" s="231">
        <v>0.88700000000000001</v>
      </c>
      <c r="J18" s="293" t="s">
        <v>387</v>
      </c>
      <c r="K18" s="238">
        <v>5869144</v>
      </c>
      <c r="L18" s="203">
        <f t="shared" si="7"/>
        <v>2934572</v>
      </c>
      <c r="M18" s="204">
        <f t="shared" si="1"/>
        <v>2934572</v>
      </c>
      <c r="N18" s="234">
        <v>0.5</v>
      </c>
      <c r="O18" s="167">
        <v>0</v>
      </c>
      <c r="P18" s="167">
        <v>0</v>
      </c>
      <c r="Q18" s="190">
        <v>0</v>
      </c>
      <c r="R18" s="192">
        <v>0</v>
      </c>
      <c r="S18" s="238">
        <f t="shared" si="8"/>
        <v>2934572</v>
      </c>
      <c r="T18" s="158"/>
      <c r="U18" s="158"/>
      <c r="V18" s="158"/>
      <c r="W18" s="158"/>
      <c r="X18" s="158"/>
      <c r="Y18" s="1" t="b">
        <f t="shared" si="3"/>
        <v>1</v>
      </c>
      <c r="Z18" s="19">
        <f t="shared" si="4"/>
        <v>0.5</v>
      </c>
      <c r="AA18" s="20" t="b">
        <f t="shared" si="5"/>
        <v>1</v>
      </c>
      <c r="AB18" s="20" t="b">
        <f t="shared" si="6"/>
        <v>1</v>
      </c>
    </row>
    <row r="19" spans="1:28" ht="30" customHeight="1" x14ac:dyDescent="0.3">
      <c r="A19" s="292">
        <v>17</v>
      </c>
      <c r="B19" s="237" t="s">
        <v>431</v>
      </c>
      <c r="C19" s="228" t="s">
        <v>315</v>
      </c>
      <c r="D19" s="235" t="s">
        <v>432</v>
      </c>
      <c r="E19" s="236" t="s">
        <v>648</v>
      </c>
      <c r="F19" s="237" t="s">
        <v>258</v>
      </c>
      <c r="G19" s="237" t="s">
        <v>433</v>
      </c>
      <c r="H19" s="218" t="s">
        <v>80</v>
      </c>
      <c r="I19" s="231">
        <v>0.40400000000000003</v>
      </c>
      <c r="J19" s="293" t="s">
        <v>434</v>
      </c>
      <c r="K19" s="238">
        <v>1377717</v>
      </c>
      <c r="L19" s="203">
        <f t="shared" si="7"/>
        <v>688858.5</v>
      </c>
      <c r="M19" s="204">
        <f t="shared" si="1"/>
        <v>688858.5</v>
      </c>
      <c r="N19" s="234">
        <v>0.5</v>
      </c>
      <c r="O19" s="167">
        <v>0</v>
      </c>
      <c r="P19" s="167">
        <v>0</v>
      </c>
      <c r="Q19" s="190">
        <v>0</v>
      </c>
      <c r="R19" s="192">
        <v>0</v>
      </c>
      <c r="S19" s="238">
        <f t="shared" si="8"/>
        <v>688858.5</v>
      </c>
      <c r="T19" s="158"/>
      <c r="U19" s="158"/>
      <c r="V19" s="158"/>
      <c r="W19" s="158"/>
      <c r="X19" s="158"/>
      <c r="Y19" s="1" t="b">
        <f t="shared" si="3"/>
        <v>1</v>
      </c>
      <c r="Z19" s="19">
        <f t="shared" si="4"/>
        <v>0.5</v>
      </c>
      <c r="AA19" s="20" t="b">
        <f t="shared" si="5"/>
        <v>1</v>
      </c>
      <c r="AB19" s="20" t="b">
        <f t="shared" si="6"/>
        <v>1</v>
      </c>
    </row>
    <row r="20" spans="1:28" ht="68.25" customHeight="1" x14ac:dyDescent="0.3">
      <c r="A20" s="292">
        <v>18</v>
      </c>
      <c r="B20" s="237" t="s">
        <v>607</v>
      </c>
      <c r="C20" s="228" t="s">
        <v>315</v>
      </c>
      <c r="D20" s="235" t="s">
        <v>586</v>
      </c>
      <c r="E20" s="236" t="s">
        <v>672</v>
      </c>
      <c r="F20" s="237" t="s">
        <v>317</v>
      </c>
      <c r="G20" s="237" t="s">
        <v>608</v>
      </c>
      <c r="H20" s="218" t="s">
        <v>80</v>
      </c>
      <c r="I20" s="231">
        <v>0.26900000000000002</v>
      </c>
      <c r="J20" s="293" t="s">
        <v>588</v>
      </c>
      <c r="K20" s="238">
        <v>2599295</v>
      </c>
      <c r="L20" s="203">
        <f t="shared" si="7"/>
        <v>1559577</v>
      </c>
      <c r="M20" s="204">
        <f t="shared" si="1"/>
        <v>1039718</v>
      </c>
      <c r="N20" s="234">
        <v>0.6</v>
      </c>
      <c r="O20" s="167">
        <v>0</v>
      </c>
      <c r="P20" s="167">
        <v>0</v>
      </c>
      <c r="Q20" s="190">
        <v>0</v>
      </c>
      <c r="R20" s="192">
        <v>0</v>
      </c>
      <c r="S20" s="238">
        <f t="shared" si="8"/>
        <v>1559577</v>
      </c>
      <c r="T20" s="158"/>
      <c r="U20" s="158"/>
      <c r="V20" s="158"/>
      <c r="W20" s="158"/>
      <c r="X20" s="158"/>
      <c r="Y20" s="1" t="b">
        <f t="shared" si="3"/>
        <v>1</v>
      </c>
      <c r="Z20" s="19">
        <f t="shared" si="4"/>
        <v>0.6</v>
      </c>
      <c r="AA20" s="20" t="b">
        <f t="shared" si="5"/>
        <v>1</v>
      </c>
      <c r="AB20" s="20" t="b">
        <f t="shared" si="6"/>
        <v>1</v>
      </c>
    </row>
    <row r="21" spans="1:28" ht="45" customHeight="1" x14ac:dyDescent="0.3">
      <c r="A21" s="292">
        <v>19</v>
      </c>
      <c r="B21" s="237" t="s">
        <v>593</v>
      </c>
      <c r="C21" s="228" t="s">
        <v>315</v>
      </c>
      <c r="D21" s="235" t="s">
        <v>594</v>
      </c>
      <c r="E21" s="236" t="s">
        <v>673</v>
      </c>
      <c r="F21" s="237" t="s">
        <v>112</v>
      </c>
      <c r="G21" s="237" t="s">
        <v>595</v>
      </c>
      <c r="H21" s="218" t="s">
        <v>85</v>
      </c>
      <c r="I21" s="231">
        <v>0.39</v>
      </c>
      <c r="J21" s="293" t="s">
        <v>548</v>
      </c>
      <c r="K21" s="238">
        <v>326973</v>
      </c>
      <c r="L21" s="203">
        <f>ROUND(K21*N21,2)</f>
        <v>163486.5</v>
      </c>
      <c r="M21" s="204">
        <f t="shared" si="1"/>
        <v>163486.5</v>
      </c>
      <c r="N21" s="234">
        <v>0.5</v>
      </c>
      <c r="O21" s="167">
        <v>0</v>
      </c>
      <c r="P21" s="167">
        <v>0</v>
      </c>
      <c r="Q21" s="190">
        <v>0</v>
      </c>
      <c r="R21" s="192">
        <v>0</v>
      </c>
      <c r="S21" s="238">
        <f>SUM(L21)</f>
        <v>163486.5</v>
      </c>
      <c r="T21" s="158"/>
      <c r="U21" s="158"/>
      <c r="V21" s="158"/>
      <c r="W21" s="158"/>
      <c r="X21" s="158"/>
      <c r="Y21" s="1" t="b">
        <f t="shared" si="3"/>
        <v>1</v>
      </c>
      <c r="Z21" s="19">
        <f t="shared" si="4"/>
        <v>0.5</v>
      </c>
      <c r="AA21" s="20" t="b">
        <f t="shared" si="5"/>
        <v>1</v>
      </c>
      <c r="AB21" s="20" t="b">
        <f t="shared" si="6"/>
        <v>1</v>
      </c>
    </row>
    <row r="22" spans="1:28" ht="66.75" customHeight="1" x14ac:dyDescent="0.3">
      <c r="A22" s="292">
        <v>20</v>
      </c>
      <c r="B22" s="237" t="s">
        <v>636</v>
      </c>
      <c r="C22" s="228" t="s">
        <v>315</v>
      </c>
      <c r="D22" s="235" t="s">
        <v>637</v>
      </c>
      <c r="E22" s="236" t="s">
        <v>674</v>
      </c>
      <c r="F22" s="237" t="s">
        <v>404</v>
      </c>
      <c r="G22" s="237" t="s">
        <v>638</v>
      </c>
      <c r="H22" s="218" t="s">
        <v>80</v>
      </c>
      <c r="I22" s="231">
        <v>1.6</v>
      </c>
      <c r="J22" s="293" t="s">
        <v>325</v>
      </c>
      <c r="K22" s="238">
        <v>2652000</v>
      </c>
      <c r="L22" s="203">
        <f>ROUND(K22*N22,2)</f>
        <v>1326000</v>
      </c>
      <c r="M22" s="204">
        <f t="shared" si="1"/>
        <v>1326000</v>
      </c>
      <c r="N22" s="234">
        <v>0.5</v>
      </c>
      <c r="O22" s="167">
        <v>0</v>
      </c>
      <c r="P22" s="167">
        <v>0</v>
      </c>
      <c r="Q22" s="190">
        <v>0</v>
      </c>
      <c r="R22" s="192">
        <v>0</v>
      </c>
      <c r="S22" s="238">
        <f>SUM(L22)</f>
        <v>1326000</v>
      </c>
      <c r="T22" s="158"/>
      <c r="U22" s="158"/>
      <c r="V22" s="158"/>
      <c r="W22" s="158"/>
      <c r="X22" s="158"/>
      <c r="Y22" s="1" t="b">
        <f t="shared" si="3"/>
        <v>1</v>
      </c>
      <c r="Z22" s="19">
        <f t="shared" si="4"/>
        <v>0.5</v>
      </c>
      <c r="AA22" s="20" t="b">
        <f t="shared" si="5"/>
        <v>1</v>
      </c>
      <c r="AB22" s="20" t="b">
        <f t="shared" si="6"/>
        <v>1</v>
      </c>
    </row>
    <row r="23" spans="1:28" ht="30" customHeight="1" x14ac:dyDescent="0.3">
      <c r="A23" s="292">
        <v>21</v>
      </c>
      <c r="B23" s="237" t="s">
        <v>503</v>
      </c>
      <c r="C23" s="228" t="s">
        <v>315</v>
      </c>
      <c r="D23" s="235" t="s">
        <v>251</v>
      </c>
      <c r="E23" s="236" t="s">
        <v>675</v>
      </c>
      <c r="F23" s="237" t="s">
        <v>83</v>
      </c>
      <c r="G23" s="237" t="s">
        <v>504</v>
      </c>
      <c r="H23" s="218" t="s">
        <v>85</v>
      </c>
      <c r="I23" s="231">
        <v>0.68500000000000005</v>
      </c>
      <c r="J23" s="293" t="s">
        <v>500</v>
      </c>
      <c r="K23" s="238">
        <v>4254921.79</v>
      </c>
      <c r="L23" s="203">
        <f>ROUND(K23*N23,2)</f>
        <v>2552953.0699999998</v>
      </c>
      <c r="M23" s="204">
        <f t="shared" si="1"/>
        <v>1701968.7200000002</v>
      </c>
      <c r="N23" s="234">
        <v>0.6</v>
      </c>
      <c r="O23" s="167">
        <v>0</v>
      </c>
      <c r="P23" s="167">
        <v>0</v>
      </c>
      <c r="Q23" s="190">
        <v>0</v>
      </c>
      <c r="R23" s="192">
        <v>0</v>
      </c>
      <c r="S23" s="238">
        <f>SUM(L23)</f>
        <v>2552953.0699999998</v>
      </c>
      <c r="T23" s="158"/>
      <c r="U23" s="158"/>
      <c r="V23" s="158"/>
      <c r="W23" s="158"/>
      <c r="X23" s="158"/>
      <c r="Y23" s="1" t="b">
        <f t="shared" si="3"/>
        <v>1</v>
      </c>
      <c r="Z23" s="19">
        <f t="shared" si="4"/>
        <v>0.6</v>
      </c>
      <c r="AA23" s="20" t="b">
        <f t="shared" si="5"/>
        <v>1</v>
      </c>
      <c r="AB23" s="20" t="b">
        <f t="shared" si="6"/>
        <v>1</v>
      </c>
    </row>
    <row r="24" spans="1:28" ht="45" customHeight="1" x14ac:dyDescent="0.3">
      <c r="A24" s="257">
        <v>22</v>
      </c>
      <c r="B24" s="189" t="s">
        <v>639</v>
      </c>
      <c r="C24" s="294" t="s">
        <v>111</v>
      </c>
      <c r="D24" s="159" t="s">
        <v>640</v>
      </c>
      <c r="E24" s="160" t="s">
        <v>659</v>
      </c>
      <c r="F24" s="189" t="s">
        <v>561</v>
      </c>
      <c r="G24" s="189" t="s">
        <v>641</v>
      </c>
      <c r="H24" s="151" t="s">
        <v>85</v>
      </c>
      <c r="I24" s="161">
        <v>3.7349999999999999</v>
      </c>
      <c r="J24" s="295" t="s">
        <v>642</v>
      </c>
      <c r="K24" s="296">
        <v>5665890</v>
      </c>
      <c r="L24" s="213">
        <v>2832945</v>
      </c>
      <c r="M24" s="214">
        <f t="shared" si="1"/>
        <v>2832945</v>
      </c>
      <c r="N24" s="166">
        <v>0.5</v>
      </c>
      <c r="O24" s="167">
        <v>0</v>
      </c>
      <c r="P24" s="167">
        <v>0</v>
      </c>
      <c r="Q24" s="190">
        <v>0</v>
      </c>
      <c r="R24" s="192">
        <v>0</v>
      </c>
      <c r="S24" s="307">
        <v>84407.5</v>
      </c>
      <c r="T24" s="298">
        <v>991866</v>
      </c>
      <c r="U24" s="298">
        <v>1756671.5</v>
      </c>
      <c r="V24" s="158"/>
      <c r="W24" s="158"/>
      <c r="X24" s="158"/>
      <c r="Y24" s="1" t="b">
        <f t="shared" si="3"/>
        <v>1</v>
      </c>
      <c r="Z24" s="19">
        <f t="shared" si="4"/>
        <v>0.5</v>
      </c>
      <c r="AA24" s="20" t="b">
        <f t="shared" si="5"/>
        <v>1</v>
      </c>
      <c r="AB24" s="20" t="b">
        <f t="shared" si="6"/>
        <v>1</v>
      </c>
    </row>
    <row r="25" spans="1:28" ht="30" customHeight="1" x14ac:dyDescent="0.3">
      <c r="A25" s="292">
        <v>23</v>
      </c>
      <c r="B25" s="237" t="s">
        <v>598</v>
      </c>
      <c r="C25" s="228" t="s">
        <v>315</v>
      </c>
      <c r="D25" s="235" t="s">
        <v>279</v>
      </c>
      <c r="E25" s="236" t="s">
        <v>666</v>
      </c>
      <c r="F25" s="237" t="s">
        <v>185</v>
      </c>
      <c r="G25" s="237" t="s">
        <v>599</v>
      </c>
      <c r="H25" s="218" t="s">
        <v>85</v>
      </c>
      <c r="I25" s="231">
        <v>0.56999999999999995</v>
      </c>
      <c r="J25" s="293" t="s">
        <v>484</v>
      </c>
      <c r="K25" s="238">
        <v>926750</v>
      </c>
      <c r="L25" s="203">
        <f t="shared" ref="L25:L32" si="9">ROUND(K25*N25,2)</f>
        <v>556050</v>
      </c>
      <c r="M25" s="204">
        <f t="shared" si="1"/>
        <v>370700</v>
      </c>
      <c r="N25" s="234">
        <v>0.6</v>
      </c>
      <c r="O25" s="167">
        <v>0</v>
      </c>
      <c r="P25" s="167">
        <v>0</v>
      </c>
      <c r="Q25" s="190">
        <v>0</v>
      </c>
      <c r="R25" s="192">
        <v>0</v>
      </c>
      <c r="S25" s="238">
        <f>SUM(L25)</f>
        <v>556050</v>
      </c>
      <c r="T25" s="158"/>
      <c r="U25" s="158"/>
      <c r="V25" s="158"/>
      <c r="W25" s="158"/>
      <c r="X25" s="158"/>
      <c r="Y25" s="1" t="b">
        <f t="shared" si="3"/>
        <v>1</v>
      </c>
      <c r="Z25" s="19">
        <f t="shared" si="4"/>
        <v>0.6</v>
      </c>
      <c r="AA25" s="20" t="b">
        <f t="shared" si="5"/>
        <v>1</v>
      </c>
      <c r="AB25" s="20" t="b">
        <f t="shared" si="6"/>
        <v>1</v>
      </c>
    </row>
    <row r="26" spans="1:28" ht="30" customHeight="1" x14ac:dyDescent="0.3">
      <c r="A26" s="292">
        <v>24</v>
      </c>
      <c r="B26" s="237" t="s">
        <v>498</v>
      </c>
      <c r="C26" s="228" t="s">
        <v>315</v>
      </c>
      <c r="D26" s="235" t="s">
        <v>251</v>
      </c>
      <c r="E26" s="236" t="s">
        <v>675</v>
      </c>
      <c r="F26" s="237" t="s">
        <v>83</v>
      </c>
      <c r="G26" s="237" t="s">
        <v>499</v>
      </c>
      <c r="H26" s="218" t="s">
        <v>85</v>
      </c>
      <c r="I26" s="231">
        <v>0.4</v>
      </c>
      <c r="J26" s="293" t="s">
        <v>500</v>
      </c>
      <c r="K26" s="238">
        <v>3266330.54</v>
      </c>
      <c r="L26" s="203">
        <f t="shared" si="9"/>
        <v>1959798.32</v>
      </c>
      <c r="M26" s="204">
        <f t="shared" si="1"/>
        <v>1306532.22</v>
      </c>
      <c r="N26" s="234">
        <v>0.6</v>
      </c>
      <c r="O26" s="167">
        <v>0</v>
      </c>
      <c r="P26" s="167">
        <v>0</v>
      </c>
      <c r="Q26" s="190">
        <v>0</v>
      </c>
      <c r="R26" s="192">
        <v>0</v>
      </c>
      <c r="S26" s="238">
        <f t="shared" ref="S26:S32" si="10">SUM(L26)</f>
        <v>1959798.32</v>
      </c>
      <c r="T26" s="158"/>
      <c r="U26" s="158"/>
      <c r="V26" s="158"/>
      <c r="W26" s="158"/>
      <c r="X26" s="158"/>
      <c r="Y26" s="1" t="b">
        <f t="shared" si="3"/>
        <v>1</v>
      </c>
      <c r="Z26" s="19">
        <f t="shared" si="4"/>
        <v>0.6</v>
      </c>
      <c r="AA26" s="20" t="b">
        <f t="shared" si="5"/>
        <v>1</v>
      </c>
      <c r="AB26" s="20" t="b">
        <f t="shared" si="6"/>
        <v>1</v>
      </c>
    </row>
    <row r="27" spans="1:28" ht="30" customHeight="1" x14ac:dyDescent="0.3">
      <c r="A27" s="292">
        <v>25</v>
      </c>
      <c r="B27" s="237" t="s">
        <v>501</v>
      </c>
      <c r="C27" s="228" t="s">
        <v>315</v>
      </c>
      <c r="D27" s="235" t="s">
        <v>251</v>
      </c>
      <c r="E27" s="236" t="s">
        <v>675</v>
      </c>
      <c r="F27" s="237" t="s">
        <v>83</v>
      </c>
      <c r="G27" s="237" t="s">
        <v>502</v>
      </c>
      <c r="H27" s="218" t="s">
        <v>85</v>
      </c>
      <c r="I27" s="231">
        <v>0.308</v>
      </c>
      <c r="J27" s="293" t="s">
        <v>500</v>
      </c>
      <c r="K27" s="238">
        <v>1618604.92</v>
      </c>
      <c r="L27" s="203">
        <f t="shared" si="9"/>
        <v>971162.95</v>
      </c>
      <c r="M27" s="204">
        <f t="shared" si="1"/>
        <v>647441.97</v>
      </c>
      <c r="N27" s="234">
        <v>0.6</v>
      </c>
      <c r="O27" s="167">
        <v>0</v>
      </c>
      <c r="P27" s="167">
        <v>0</v>
      </c>
      <c r="Q27" s="190">
        <v>0</v>
      </c>
      <c r="R27" s="192">
        <v>0</v>
      </c>
      <c r="S27" s="238">
        <f t="shared" si="10"/>
        <v>971162.95</v>
      </c>
      <c r="T27" s="158"/>
      <c r="U27" s="158"/>
      <c r="V27" s="158"/>
      <c r="W27" s="158"/>
      <c r="X27" s="158"/>
      <c r="Y27" s="1" t="b">
        <f t="shared" si="3"/>
        <v>1</v>
      </c>
      <c r="Z27" s="19">
        <f t="shared" si="4"/>
        <v>0.6</v>
      </c>
      <c r="AA27" s="20" t="b">
        <f t="shared" si="5"/>
        <v>1</v>
      </c>
      <c r="AB27" s="20" t="b">
        <f t="shared" si="6"/>
        <v>1</v>
      </c>
    </row>
    <row r="28" spans="1:28" ht="30" customHeight="1" x14ac:dyDescent="0.3">
      <c r="A28" s="292">
        <v>26</v>
      </c>
      <c r="B28" s="237" t="s">
        <v>435</v>
      </c>
      <c r="C28" s="228" t="s">
        <v>315</v>
      </c>
      <c r="D28" s="235" t="s">
        <v>432</v>
      </c>
      <c r="E28" s="236" t="s">
        <v>648</v>
      </c>
      <c r="F28" s="237" t="s">
        <v>258</v>
      </c>
      <c r="G28" s="237" t="s">
        <v>436</v>
      </c>
      <c r="H28" s="218" t="s">
        <v>85</v>
      </c>
      <c r="I28" s="231">
        <v>0.71399999999999997</v>
      </c>
      <c r="J28" s="293" t="s">
        <v>434</v>
      </c>
      <c r="K28" s="238">
        <v>1688382</v>
      </c>
      <c r="L28" s="203">
        <f t="shared" si="9"/>
        <v>844191</v>
      </c>
      <c r="M28" s="204">
        <f t="shared" si="1"/>
        <v>844191</v>
      </c>
      <c r="N28" s="234">
        <v>0.5</v>
      </c>
      <c r="O28" s="167">
        <v>0</v>
      </c>
      <c r="P28" s="167">
        <v>0</v>
      </c>
      <c r="Q28" s="190">
        <v>0</v>
      </c>
      <c r="R28" s="192">
        <v>0</v>
      </c>
      <c r="S28" s="238">
        <f t="shared" si="10"/>
        <v>844191</v>
      </c>
      <c r="T28" s="158"/>
      <c r="U28" s="158"/>
      <c r="V28" s="158"/>
      <c r="W28" s="158"/>
      <c r="X28" s="158"/>
      <c r="Y28" s="1" t="b">
        <f t="shared" si="3"/>
        <v>1</v>
      </c>
      <c r="Z28" s="19">
        <f t="shared" si="4"/>
        <v>0.5</v>
      </c>
      <c r="AA28" s="20" t="b">
        <f t="shared" si="5"/>
        <v>1</v>
      </c>
      <c r="AB28" s="20" t="b">
        <f t="shared" si="6"/>
        <v>1</v>
      </c>
    </row>
    <row r="29" spans="1:28" ht="54" customHeight="1" x14ac:dyDescent="0.3">
      <c r="A29" s="292">
        <v>27</v>
      </c>
      <c r="B29" s="237" t="s">
        <v>505</v>
      </c>
      <c r="C29" s="228" t="s">
        <v>315</v>
      </c>
      <c r="D29" s="235" t="s">
        <v>241</v>
      </c>
      <c r="E29" s="236" t="s">
        <v>676</v>
      </c>
      <c r="F29" s="237" t="s">
        <v>104</v>
      </c>
      <c r="G29" s="237" t="s">
        <v>506</v>
      </c>
      <c r="H29" s="218" t="s">
        <v>85</v>
      </c>
      <c r="I29" s="231">
        <v>8.7999999999999995E-2</v>
      </c>
      <c r="J29" s="293" t="s">
        <v>319</v>
      </c>
      <c r="K29" s="238">
        <v>490000</v>
      </c>
      <c r="L29" s="203">
        <f t="shared" si="9"/>
        <v>245000</v>
      </c>
      <c r="M29" s="204">
        <f t="shared" si="1"/>
        <v>245000</v>
      </c>
      <c r="N29" s="234">
        <v>0.5</v>
      </c>
      <c r="O29" s="167">
        <v>0</v>
      </c>
      <c r="P29" s="167">
        <v>0</v>
      </c>
      <c r="Q29" s="190">
        <v>0</v>
      </c>
      <c r="R29" s="192">
        <v>0</v>
      </c>
      <c r="S29" s="238">
        <f t="shared" si="10"/>
        <v>245000</v>
      </c>
      <c r="T29" s="158"/>
      <c r="U29" s="158"/>
      <c r="V29" s="158"/>
      <c r="W29" s="158"/>
      <c r="X29" s="158"/>
      <c r="Y29" s="1" t="b">
        <f t="shared" si="3"/>
        <v>1</v>
      </c>
      <c r="Z29" s="19">
        <f t="shared" si="4"/>
        <v>0.5</v>
      </c>
      <c r="AA29" s="20" t="b">
        <f t="shared" si="5"/>
        <v>1</v>
      </c>
      <c r="AB29" s="20" t="b">
        <f t="shared" si="6"/>
        <v>1</v>
      </c>
    </row>
    <row r="30" spans="1:28" ht="39" customHeight="1" x14ac:dyDescent="0.3">
      <c r="A30" s="292">
        <v>28</v>
      </c>
      <c r="B30" s="237" t="s">
        <v>564</v>
      </c>
      <c r="C30" s="228" t="s">
        <v>315</v>
      </c>
      <c r="D30" s="235" t="s">
        <v>565</v>
      </c>
      <c r="E30" s="236" t="s">
        <v>661</v>
      </c>
      <c r="F30" s="237" t="s">
        <v>190</v>
      </c>
      <c r="G30" s="237" t="s">
        <v>566</v>
      </c>
      <c r="H30" s="218" t="s">
        <v>85</v>
      </c>
      <c r="I30" s="231">
        <v>0.52100000000000002</v>
      </c>
      <c r="J30" s="293" t="s">
        <v>567</v>
      </c>
      <c r="K30" s="238">
        <v>806545</v>
      </c>
      <c r="L30" s="203">
        <f t="shared" si="9"/>
        <v>403272.5</v>
      </c>
      <c r="M30" s="204">
        <f t="shared" si="1"/>
        <v>403272.5</v>
      </c>
      <c r="N30" s="234">
        <v>0.5</v>
      </c>
      <c r="O30" s="167">
        <v>0</v>
      </c>
      <c r="P30" s="167">
        <v>0</v>
      </c>
      <c r="Q30" s="190">
        <v>0</v>
      </c>
      <c r="R30" s="192">
        <v>0</v>
      </c>
      <c r="S30" s="238">
        <f t="shared" si="10"/>
        <v>403272.5</v>
      </c>
      <c r="T30" s="158"/>
      <c r="U30" s="158"/>
      <c r="V30" s="158"/>
      <c r="W30" s="158"/>
      <c r="X30" s="158"/>
      <c r="Y30" s="1" t="b">
        <f t="shared" si="3"/>
        <v>1</v>
      </c>
      <c r="Z30" s="19">
        <f t="shared" si="4"/>
        <v>0.5</v>
      </c>
      <c r="AA30" s="20" t="b">
        <f t="shared" si="5"/>
        <v>1</v>
      </c>
      <c r="AB30" s="20" t="b">
        <f t="shared" si="6"/>
        <v>1</v>
      </c>
    </row>
    <row r="31" spans="1:28" ht="30" customHeight="1" x14ac:dyDescent="0.3">
      <c r="A31" s="292">
        <v>29</v>
      </c>
      <c r="B31" s="237" t="s">
        <v>334</v>
      </c>
      <c r="C31" s="228" t="s">
        <v>315</v>
      </c>
      <c r="D31" s="235" t="s">
        <v>335</v>
      </c>
      <c r="E31" s="236" t="s">
        <v>677</v>
      </c>
      <c r="F31" s="237" t="s">
        <v>128</v>
      </c>
      <c r="G31" s="237" t="s">
        <v>336</v>
      </c>
      <c r="H31" s="218" t="s">
        <v>85</v>
      </c>
      <c r="I31" s="231">
        <v>0.43</v>
      </c>
      <c r="J31" s="293" t="s">
        <v>337</v>
      </c>
      <c r="K31" s="238">
        <v>1318000</v>
      </c>
      <c r="L31" s="203">
        <f t="shared" si="9"/>
        <v>659000</v>
      </c>
      <c r="M31" s="204">
        <f t="shared" si="1"/>
        <v>659000</v>
      </c>
      <c r="N31" s="234">
        <v>0.5</v>
      </c>
      <c r="O31" s="167">
        <v>0</v>
      </c>
      <c r="P31" s="167">
        <v>0</v>
      </c>
      <c r="Q31" s="190">
        <v>0</v>
      </c>
      <c r="R31" s="192">
        <v>0</v>
      </c>
      <c r="S31" s="238">
        <f t="shared" si="10"/>
        <v>659000</v>
      </c>
      <c r="T31" s="158"/>
      <c r="U31" s="158"/>
      <c r="V31" s="158"/>
      <c r="W31" s="158"/>
      <c r="X31" s="158"/>
      <c r="Y31" s="1" t="b">
        <f t="shared" si="3"/>
        <v>1</v>
      </c>
      <c r="Z31" s="19">
        <f t="shared" si="4"/>
        <v>0.5</v>
      </c>
      <c r="AA31" s="20" t="b">
        <f t="shared" si="5"/>
        <v>1</v>
      </c>
      <c r="AB31" s="20" t="b">
        <f t="shared" si="6"/>
        <v>1</v>
      </c>
    </row>
    <row r="32" spans="1:28" ht="41.25" customHeight="1" x14ac:dyDescent="0.3">
      <c r="A32" s="292">
        <v>30</v>
      </c>
      <c r="B32" s="237" t="s">
        <v>591</v>
      </c>
      <c r="C32" s="228" t="s">
        <v>315</v>
      </c>
      <c r="D32" s="235" t="s">
        <v>586</v>
      </c>
      <c r="E32" s="236" t="s">
        <v>672</v>
      </c>
      <c r="F32" s="237" t="s">
        <v>317</v>
      </c>
      <c r="G32" s="237" t="s">
        <v>592</v>
      </c>
      <c r="H32" s="218" t="s">
        <v>71</v>
      </c>
      <c r="I32" s="231">
        <v>0.38</v>
      </c>
      <c r="J32" s="293" t="s">
        <v>588</v>
      </c>
      <c r="K32" s="238">
        <v>686355</v>
      </c>
      <c r="L32" s="203">
        <f t="shared" si="9"/>
        <v>411813</v>
      </c>
      <c r="M32" s="204">
        <f t="shared" si="1"/>
        <v>274542</v>
      </c>
      <c r="N32" s="234">
        <v>0.6</v>
      </c>
      <c r="O32" s="167">
        <v>0</v>
      </c>
      <c r="P32" s="167">
        <v>0</v>
      </c>
      <c r="Q32" s="190">
        <v>0</v>
      </c>
      <c r="R32" s="192">
        <v>0</v>
      </c>
      <c r="S32" s="238">
        <f t="shared" si="10"/>
        <v>411813</v>
      </c>
      <c r="T32" s="158"/>
      <c r="U32" s="158"/>
      <c r="V32" s="158"/>
      <c r="W32" s="158"/>
      <c r="X32" s="158"/>
      <c r="Y32" s="1" t="b">
        <f t="shared" si="3"/>
        <v>1</v>
      </c>
      <c r="Z32" s="19">
        <f t="shared" si="4"/>
        <v>0.6</v>
      </c>
      <c r="AA32" s="20" t="b">
        <f t="shared" si="5"/>
        <v>1</v>
      </c>
      <c r="AB32" s="20" t="b">
        <f t="shared" si="6"/>
        <v>1</v>
      </c>
    </row>
    <row r="33" spans="1:28" ht="37.950000000000003" customHeight="1" x14ac:dyDescent="0.3">
      <c r="A33" s="292">
        <v>31</v>
      </c>
      <c r="B33" s="237" t="s">
        <v>626</v>
      </c>
      <c r="C33" s="228" t="s">
        <v>315</v>
      </c>
      <c r="D33" s="235" t="s">
        <v>627</v>
      </c>
      <c r="E33" s="236" t="s">
        <v>678</v>
      </c>
      <c r="F33" s="237" t="s">
        <v>582</v>
      </c>
      <c r="G33" s="237" t="s">
        <v>628</v>
      </c>
      <c r="H33" s="218" t="s">
        <v>85</v>
      </c>
      <c r="I33" s="231">
        <v>0.47299999999999998</v>
      </c>
      <c r="J33" s="293" t="s">
        <v>337</v>
      </c>
      <c r="K33" s="238">
        <v>826595</v>
      </c>
      <c r="L33" s="203">
        <f t="shared" ref="L33:L58" si="11">ROUND(K33*N33,2)</f>
        <v>413297.5</v>
      </c>
      <c r="M33" s="204">
        <f t="shared" ref="M33:M58" si="12">K33-L33</f>
        <v>413297.5</v>
      </c>
      <c r="N33" s="234">
        <v>0.5</v>
      </c>
      <c r="O33" s="167">
        <v>0</v>
      </c>
      <c r="P33" s="167">
        <v>0</v>
      </c>
      <c r="Q33" s="190">
        <v>0</v>
      </c>
      <c r="R33" s="192">
        <v>0</v>
      </c>
      <c r="S33" s="238">
        <f t="shared" ref="S33:S58" si="13">SUM(L33)</f>
        <v>413297.5</v>
      </c>
      <c r="T33" s="158"/>
      <c r="U33" s="158"/>
      <c r="V33" s="158"/>
      <c r="W33" s="158"/>
      <c r="X33" s="158"/>
      <c r="Y33" s="1" t="b">
        <f t="shared" si="3"/>
        <v>1</v>
      </c>
      <c r="Z33" s="19">
        <f t="shared" si="4"/>
        <v>0.5</v>
      </c>
      <c r="AA33" s="20" t="b">
        <f t="shared" si="5"/>
        <v>1</v>
      </c>
      <c r="AB33" s="20" t="b">
        <f t="shared" si="6"/>
        <v>1</v>
      </c>
    </row>
    <row r="34" spans="1:28" ht="37.950000000000003" customHeight="1" x14ac:dyDescent="0.3">
      <c r="A34" s="292">
        <v>32</v>
      </c>
      <c r="B34" s="237" t="s">
        <v>709</v>
      </c>
      <c r="C34" s="228" t="s">
        <v>315</v>
      </c>
      <c r="D34" s="235" t="s">
        <v>279</v>
      </c>
      <c r="E34" s="236" t="s">
        <v>666</v>
      </c>
      <c r="F34" s="237" t="s">
        <v>185</v>
      </c>
      <c r="G34" s="237" t="s">
        <v>710</v>
      </c>
      <c r="H34" s="218" t="s">
        <v>85</v>
      </c>
      <c r="I34" s="231">
        <v>3.7050000000000001</v>
      </c>
      <c r="J34" s="293" t="s">
        <v>319</v>
      </c>
      <c r="K34" s="238">
        <v>4061990.8</v>
      </c>
      <c r="L34" s="203">
        <f t="shared" si="11"/>
        <v>2437194.48</v>
      </c>
      <c r="M34" s="204">
        <f t="shared" si="12"/>
        <v>1624796.3199999998</v>
      </c>
      <c r="N34" s="234">
        <v>0.6</v>
      </c>
      <c r="O34" s="167">
        <v>0</v>
      </c>
      <c r="P34" s="167">
        <v>0</v>
      </c>
      <c r="Q34" s="190">
        <v>0</v>
      </c>
      <c r="R34" s="192">
        <v>0</v>
      </c>
      <c r="S34" s="238">
        <f t="shared" si="13"/>
        <v>2437194.48</v>
      </c>
      <c r="T34" s="158"/>
      <c r="U34" s="158"/>
      <c r="V34" s="158"/>
      <c r="W34" s="158"/>
      <c r="X34" s="158"/>
      <c r="Y34" s="1" t="b">
        <f t="shared" si="3"/>
        <v>1</v>
      </c>
      <c r="Z34" s="19">
        <f t="shared" si="4"/>
        <v>0.6</v>
      </c>
      <c r="AA34" s="20" t="b">
        <f t="shared" si="5"/>
        <v>1</v>
      </c>
      <c r="AB34" s="20" t="b">
        <f t="shared" si="6"/>
        <v>1</v>
      </c>
    </row>
    <row r="35" spans="1:28" ht="37.950000000000003" customHeight="1" x14ac:dyDescent="0.3">
      <c r="A35" s="292">
        <v>33</v>
      </c>
      <c r="B35" s="237" t="s">
        <v>713</v>
      </c>
      <c r="C35" s="228" t="s">
        <v>315</v>
      </c>
      <c r="D35" s="235" t="s">
        <v>251</v>
      </c>
      <c r="E35" s="236" t="s">
        <v>675</v>
      </c>
      <c r="F35" s="237" t="s">
        <v>83</v>
      </c>
      <c r="G35" s="237" t="s">
        <v>714</v>
      </c>
      <c r="H35" s="218" t="s">
        <v>85</v>
      </c>
      <c r="I35" s="231">
        <v>0.49199999999999999</v>
      </c>
      <c r="J35" s="293" t="s">
        <v>500</v>
      </c>
      <c r="K35" s="238">
        <v>2588035.2000000002</v>
      </c>
      <c r="L35" s="203">
        <f t="shared" si="11"/>
        <v>1552821.12</v>
      </c>
      <c r="M35" s="204">
        <f t="shared" si="12"/>
        <v>1035214.0800000001</v>
      </c>
      <c r="N35" s="234">
        <v>0.6</v>
      </c>
      <c r="O35" s="167">
        <v>0</v>
      </c>
      <c r="P35" s="167">
        <v>0</v>
      </c>
      <c r="Q35" s="190">
        <v>0</v>
      </c>
      <c r="R35" s="192">
        <v>0</v>
      </c>
      <c r="S35" s="238">
        <f t="shared" si="13"/>
        <v>1552821.12</v>
      </c>
      <c r="T35" s="158"/>
      <c r="U35" s="158"/>
      <c r="V35" s="158"/>
      <c r="W35" s="158"/>
      <c r="X35" s="158"/>
      <c r="Y35" s="1" t="b">
        <f t="shared" si="3"/>
        <v>1</v>
      </c>
      <c r="Z35" s="19">
        <f t="shared" si="4"/>
        <v>0.6</v>
      </c>
      <c r="AA35" s="20" t="b">
        <f t="shared" si="5"/>
        <v>1</v>
      </c>
      <c r="AB35" s="20" t="b">
        <f t="shared" si="6"/>
        <v>1</v>
      </c>
    </row>
    <row r="36" spans="1:28" ht="37.950000000000003" customHeight="1" x14ac:dyDescent="0.3">
      <c r="A36" s="292">
        <v>34</v>
      </c>
      <c r="B36" s="237" t="s">
        <v>715</v>
      </c>
      <c r="C36" s="228" t="s">
        <v>315</v>
      </c>
      <c r="D36" s="235" t="s">
        <v>398</v>
      </c>
      <c r="E36" s="236" t="s">
        <v>663</v>
      </c>
      <c r="F36" s="237" t="s">
        <v>104</v>
      </c>
      <c r="G36" s="237" t="s">
        <v>765</v>
      </c>
      <c r="H36" s="218" t="s">
        <v>85</v>
      </c>
      <c r="I36" s="231">
        <v>0.38400000000000001</v>
      </c>
      <c r="J36" s="293" t="s">
        <v>400</v>
      </c>
      <c r="K36" s="238">
        <v>1742400</v>
      </c>
      <c r="L36" s="203">
        <f t="shared" si="11"/>
        <v>871200</v>
      </c>
      <c r="M36" s="204">
        <f t="shared" si="12"/>
        <v>871200</v>
      </c>
      <c r="N36" s="234">
        <v>0.5</v>
      </c>
      <c r="O36" s="167">
        <v>0</v>
      </c>
      <c r="P36" s="167">
        <v>0</v>
      </c>
      <c r="Q36" s="190">
        <v>0</v>
      </c>
      <c r="R36" s="192">
        <v>0</v>
      </c>
      <c r="S36" s="238">
        <f t="shared" si="13"/>
        <v>871200</v>
      </c>
      <c r="T36" s="158"/>
      <c r="U36" s="158"/>
      <c r="V36" s="158"/>
      <c r="W36" s="158"/>
      <c r="X36" s="158"/>
      <c r="Y36" s="1" t="b">
        <f t="shared" si="3"/>
        <v>1</v>
      </c>
      <c r="Z36" s="19">
        <f t="shared" si="4"/>
        <v>0.5</v>
      </c>
      <c r="AA36" s="20" t="b">
        <f t="shared" si="5"/>
        <v>1</v>
      </c>
      <c r="AB36" s="20" t="b">
        <f t="shared" si="6"/>
        <v>1</v>
      </c>
    </row>
    <row r="37" spans="1:28" ht="37.950000000000003" customHeight="1" x14ac:dyDescent="0.3">
      <c r="A37" s="292">
        <v>35</v>
      </c>
      <c r="B37" s="237" t="s">
        <v>716</v>
      </c>
      <c r="C37" s="228" t="s">
        <v>315</v>
      </c>
      <c r="D37" s="235" t="s">
        <v>717</v>
      </c>
      <c r="E37" s="236" t="s">
        <v>679</v>
      </c>
      <c r="F37" s="237" t="s">
        <v>284</v>
      </c>
      <c r="G37" s="237" t="s">
        <v>718</v>
      </c>
      <c r="H37" s="218" t="s">
        <v>85</v>
      </c>
      <c r="I37" s="231">
        <v>0.38200000000000001</v>
      </c>
      <c r="J37" s="293" t="s">
        <v>719</v>
      </c>
      <c r="K37" s="238">
        <v>454787</v>
      </c>
      <c r="L37" s="203">
        <f t="shared" si="11"/>
        <v>227393.5</v>
      </c>
      <c r="M37" s="204">
        <f t="shared" si="12"/>
        <v>227393.5</v>
      </c>
      <c r="N37" s="234">
        <v>0.5</v>
      </c>
      <c r="O37" s="167">
        <v>0</v>
      </c>
      <c r="P37" s="167">
        <v>0</v>
      </c>
      <c r="Q37" s="190">
        <v>0</v>
      </c>
      <c r="R37" s="192">
        <v>0</v>
      </c>
      <c r="S37" s="238">
        <f t="shared" si="13"/>
        <v>227393.5</v>
      </c>
      <c r="T37" s="158"/>
      <c r="U37" s="158"/>
      <c r="V37" s="158"/>
      <c r="W37" s="158"/>
      <c r="X37" s="158"/>
      <c r="Y37" s="1" t="b">
        <f t="shared" si="3"/>
        <v>1</v>
      </c>
      <c r="Z37" s="19">
        <f t="shared" si="4"/>
        <v>0.5</v>
      </c>
      <c r="AA37" s="20" t="b">
        <f t="shared" si="5"/>
        <v>1</v>
      </c>
      <c r="AB37" s="20" t="b">
        <f t="shared" si="6"/>
        <v>1</v>
      </c>
    </row>
    <row r="38" spans="1:28" ht="31.5" customHeight="1" x14ac:dyDescent="0.3">
      <c r="A38" s="292">
        <v>36</v>
      </c>
      <c r="B38" s="237" t="s">
        <v>721</v>
      </c>
      <c r="C38" s="228" t="s">
        <v>315</v>
      </c>
      <c r="D38" s="235" t="s">
        <v>321</v>
      </c>
      <c r="E38" s="236" t="s">
        <v>647</v>
      </c>
      <c r="F38" s="237" t="s">
        <v>94</v>
      </c>
      <c r="G38" s="237" t="s">
        <v>722</v>
      </c>
      <c r="H38" s="218" t="s">
        <v>80</v>
      </c>
      <c r="I38" s="231">
        <v>2.129</v>
      </c>
      <c r="J38" s="293" t="s">
        <v>323</v>
      </c>
      <c r="K38" s="238">
        <v>9219730</v>
      </c>
      <c r="L38" s="203">
        <f t="shared" si="11"/>
        <v>4609865</v>
      </c>
      <c r="M38" s="204">
        <f t="shared" si="12"/>
        <v>4609865</v>
      </c>
      <c r="N38" s="234">
        <v>0.5</v>
      </c>
      <c r="O38" s="167">
        <v>0</v>
      </c>
      <c r="P38" s="167">
        <v>0</v>
      </c>
      <c r="Q38" s="190">
        <v>0</v>
      </c>
      <c r="R38" s="192">
        <v>0</v>
      </c>
      <c r="S38" s="238">
        <f t="shared" si="13"/>
        <v>4609865</v>
      </c>
      <c r="T38" s="158"/>
      <c r="U38" s="158"/>
      <c r="V38" s="158"/>
      <c r="W38" s="158"/>
      <c r="X38" s="158"/>
      <c r="Y38" s="1" t="b">
        <f t="shared" si="3"/>
        <v>1</v>
      </c>
      <c r="Z38" s="19">
        <f t="shared" si="4"/>
        <v>0.5</v>
      </c>
      <c r="AA38" s="20" t="b">
        <f t="shared" si="5"/>
        <v>1</v>
      </c>
      <c r="AB38" s="20" t="b">
        <f t="shared" si="6"/>
        <v>1</v>
      </c>
    </row>
    <row r="39" spans="1:28" ht="37.950000000000003" customHeight="1" x14ac:dyDescent="0.3">
      <c r="A39" s="292">
        <v>37</v>
      </c>
      <c r="B39" s="237" t="s">
        <v>723</v>
      </c>
      <c r="C39" s="228" t="s">
        <v>315</v>
      </c>
      <c r="D39" s="235" t="s">
        <v>724</v>
      </c>
      <c r="E39" s="236" t="s">
        <v>680</v>
      </c>
      <c r="F39" s="237" t="s">
        <v>317</v>
      </c>
      <c r="G39" s="237" t="s">
        <v>725</v>
      </c>
      <c r="H39" s="218" t="s">
        <v>71</v>
      </c>
      <c r="I39" s="231">
        <v>2.4470000000000001</v>
      </c>
      <c r="J39" s="293" t="s">
        <v>726</v>
      </c>
      <c r="K39" s="238">
        <v>2172000</v>
      </c>
      <c r="L39" s="203">
        <f t="shared" si="11"/>
        <v>1086000</v>
      </c>
      <c r="M39" s="204">
        <f t="shared" si="12"/>
        <v>1086000</v>
      </c>
      <c r="N39" s="234">
        <v>0.5</v>
      </c>
      <c r="O39" s="167">
        <v>0</v>
      </c>
      <c r="P39" s="167">
        <v>0</v>
      </c>
      <c r="Q39" s="190">
        <v>0</v>
      </c>
      <c r="R39" s="192">
        <v>0</v>
      </c>
      <c r="S39" s="238">
        <f t="shared" si="13"/>
        <v>1086000</v>
      </c>
      <c r="T39" s="158"/>
      <c r="U39" s="158"/>
      <c r="V39" s="158"/>
      <c r="W39" s="158"/>
      <c r="X39" s="158"/>
      <c r="Y39" s="1" t="b">
        <f t="shared" si="3"/>
        <v>1</v>
      </c>
      <c r="Z39" s="19">
        <f t="shared" si="4"/>
        <v>0.5</v>
      </c>
      <c r="AA39" s="20" t="b">
        <f t="shared" si="5"/>
        <v>1</v>
      </c>
      <c r="AB39" s="20" t="b">
        <f t="shared" si="6"/>
        <v>1</v>
      </c>
    </row>
    <row r="40" spans="1:28" ht="37.950000000000003" customHeight="1" x14ac:dyDescent="0.3">
      <c r="A40" s="292">
        <v>38</v>
      </c>
      <c r="B40" s="237" t="s">
        <v>727</v>
      </c>
      <c r="C40" s="228" t="s">
        <v>315</v>
      </c>
      <c r="D40" s="235" t="s">
        <v>241</v>
      </c>
      <c r="E40" s="236" t="s">
        <v>676</v>
      </c>
      <c r="F40" s="237" t="s">
        <v>104</v>
      </c>
      <c r="G40" s="237" t="s">
        <v>767</v>
      </c>
      <c r="H40" s="218" t="s">
        <v>80</v>
      </c>
      <c r="I40" s="231">
        <v>0.38</v>
      </c>
      <c r="J40" s="293" t="s">
        <v>319</v>
      </c>
      <c r="K40" s="238">
        <v>2425000</v>
      </c>
      <c r="L40" s="203">
        <f t="shared" si="11"/>
        <v>1212500</v>
      </c>
      <c r="M40" s="204">
        <f t="shared" si="12"/>
        <v>1212500</v>
      </c>
      <c r="N40" s="234">
        <v>0.5</v>
      </c>
      <c r="O40" s="167">
        <v>0</v>
      </c>
      <c r="P40" s="167">
        <v>0</v>
      </c>
      <c r="Q40" s="190">
        <v>0</v>
      </c>
      <c r="R40" s="192">
        <v>0</v>
      </c>
      <c r="S40" s="238">
        <f t="shared" si="13"/>
        <v>1212500</v>
      </c>
      <c r="T40" s="158"/>
      <c r="U40" s="158"/>
      <c r="V40" s="158"/>
      <c r="W40" s="158"/>
      <c r="X40" s="158"/>
      <c r="Y40" s="1" t="b">
        <f t="shared" si="3"/>
        <v>1</v>
      </c>
      <c r="Z40" s="19">
        <f t="shared" si="4"/>
        <v>0.5</v>
      </c>
      <c r="AA40" s="20" t="b">
        <f t="shared" si="5"/>
        <v>1</v>
      </c>
      <c r="AB40" s="20" t="b">
        <f t="shared" si="6"/>
        <v>1</v>
      </c>
    </row>
    <row r="41" spans="1:28" ht="37.950000000000003" customHeight="1" x14ac:dyDescent="0.3">
      <c r="A41" s="292">
        <v>39</v>
      </c>
      <c r="B41" s="237" t="s">
        <v>728</v>
      </c>
      <c r="C41" s="228" t="s">
        <v>315</v>
      </c>
      <c r="D41" s="235" t="s">
        <v>269</v>
      </c>
      <c r="E41" s="236" t="s">
        <v>681</v>
      </c>
      <c r="F41" s="237" t="s">
        <v>88</v>
      </c>
      <c r="G41" s="237" t="s">
        <v>729</v>
      </c>
      <c r="H41" s="218" t="s">
        <v>85</v>
      </c>
      <c r="I41" s="231">
        <v>0.997</v>
      </c>
      <c r="J41" s="293" t="s">
        <v>318</v>
      </c>
      <c r="K41" s="238">
        <v>1807000</v>
      </c>
      <c r="L41" s="203">
        <f t="shared" si="11"/>
        <v>903500</v>
      </c>
      <c r="M41" s="204">
        <f t="shared" si="12"/>
        <v>903500</v>
      </c>
      <c r="N41" s="234">
        <v>0.5</v>
      </c>
      <c r="O41" s="167">
        <v>0</v>
      </c>
      <c r="P41" s="167">
        <v>0</v>
      </c>
      <c r="Q41" s="190">
        <v>0</v>
      </c>
      <c r="R41" s="192">
        <v>0</v>
      </c>
      <c r="S41" s="238">
        <f t="shared" si="13"/>
        <v>903500</v>
      </c>
      <c r="T41" s="158"/>
      <c r="U41" s="158"/>
      <c r="V41" s="158"/>
      <c r="W41" s="158"/>
      <c r="X41" s="158"/>
      <c r="Y41" s="1" t="b">
        <f t="shared" si="3"/>
        <v>1</v>
      </c>
      <c r="Z41" s="19">
        <f t="shared" si="4"/>
        <v>0.5</v>
      </c>
      <c r="AA41" s="20" t="b">
        <f t="shared" si="5"/>
        <v>1</v>
      </c>
      <c r="AB41" s="20" t="b">
        <f t="shared" si="6"/>
        <v>1</v>
      </c>
    </row>
    <row r="42" spans="1:28" ht="37.950000000000003" customHeight="1" x14ac:dyDescent="0.3">
      <c r="A42" s="292">
        <v>40</v>
      </c>
      <c r="B42" s="237" t="s">
        <v>730</v>
      </c>
      <c r="C42" s="228" t="s">
        <v>315</v>
      </c>
      <c r="D42" s="235" t="s">
        <v>731</v>
      </c>
      <c r="E42" s="236" t="s">
        <v>682</v>
      </c>
      <c r="F42" s="237" t="s">
        <v>117</v>
      </c>
      <c r="G42" s="237" t="s">
        <v>732</v>
      </c>
      <c r="H42" s="218" t="s">
        <v>71</v>
      </c>
      <c r="I42" s="231">
        <v>0.74</v>
      </c>
      <c r="J42" s="293" t="s">
        <v>318</v>
      </c>
      <c r="K42" s="238">
        <v>2318543</v>
      </c>
      <c r="L42" s="203">
        <f t="shared" si="11"/>
        <v>1159271.5</v>
      </c>
      <c r="M42" s="204">
        <f t="shared" si="12"/>
        <v>1159271.5</v>
      </c>
      <c r="N42" s="234">
        <v>0.5</v>
      </c>
      <c r="O42" s="167">
        <v>0</v>
      </c>
      <c r="P42" s="167">
        <v>0</v>
      </c>
      <c r="Q42" s="190">
        <v>0</v>
      </c>
      <c r="R42" s="192">
        <v>0</v>
      </c>
      <c r="S42" s="238">
        <f t="shared" si="13"/>
        <v>1159271.5</v>
      </c>
      <c r="T42" s="158"/>
      <c r="U42" s="158"/>
      <c r="V42" s="158"/>
      <c r="W42" s="158"/>
      <c r="X42" s="158"/>
      <c r="Y42" s="1" t="b">
        <f t="shared" si="3"/>
        <v>1</v>
      </c>
      <c r="Z42" s="19">
        <f t="shared" si="4"/>
        <v>0.5</v>
      </c>
      <c r="AA42" s="20" t="b">
        <f t="shared" si="5"/>
        <v>1</v>
      </c>
      <c r="AB42" s="20" t="b">
        <f t="shared" si="6"/>
        <v>1</v>
      </c>
    </row>
    <row r="43" spans="1:28" ht="37.950000000000003" customHeight="1" x14ac:dyDescent="0.3">
      <c r="A43" s="292">
        <v>41</v>
      </c>
      <c r="B43" s="237" t="s">
        <v>733</v>
      </c>
      <c r="C43" s="228" t="s">
        <v>315</v>
      </c>
      <c r="D43" s="235" t="s">
        <v>734</v>
      </c>
      <c r="E43" s="236" t="s">
        <v>683</v>
      </c>
      <c r="F43" s="237" t="s">
        <v>83</v>
      </c>
      <c r="G43" s="308" t="s">
        <v>735</v>
      </c>
      <c r="H43" s="218" t="s">
        <v>71</v>
      </c>
      <c r="I43" s="231">
        <v>0.61</v>
      </c>
      <c r="J43" s="293" t="s">
        <v>358</v>
      </c>
      <c r="K43" s="238">
        <v>1665423</v>
      </c>
      <c r="L43" s="203">
        <f t="shared" si="11"/>
        <v>832711.5</v>
      </c>
      <c r="M43" s="204">
        <f t="shared" si="12"/>
        <v>832711.5</v>
      </c>
      <c r="N43" s="234">
        <v>0.5</v>
      </c>
      <c r="O43" s="167">
        <v>0</v>
      </c>
      <c r="P43" s="167">
        <v>0</v>
      </c>
      <c r="Q43" s="190">
        <v>0</v>
      </c>
      <c r="R43" s="192">
        <v>0</v>
      </c>
      <c r="S43" s="238">
        <f t="shared" si="13"/>
        <v>832711.5</v>
      </c>
      <c r="T43" s="158"/>
      <c r="U43" s="158"/>
      <c r="V43" s="158"/>
      <c r="W43" s="158"/>
      <c r="X43" s="158"/>
      <c r="Y43" s="1" t="b">
        <f t="shared" si="3"/>
        <v>1</v>
      </c>
      <c r="Z43" s="19">
        <f t="shared" si="4"/>
        <v>0.5</v>
      </c>
      <c r="AA43" s="20" t="b">
        <f t="shared" si="5"/>
        <v>1</v>
      </c>
      <c r="AB43" s="20" t="b">
        <f t="shared" si="6"/>
        <v>1</v>
      </c>
    </row>
    <row r="44" spans="1:28" ht="37.950000000000003" customHeight="1" x14ac:dyDescent="0.3">
      <c r="A44" s="292">
        <v>42</v>
      </c>
      <c r="B44" s="237" t="s">
        <v>736</v>
      </c>
      <c r="C44" s="228" t="s">
        <v>315</v>
      </c>
      <c r="D44" s="235" t="s">
        <v>737</v>
      </c>
      <c r="E44" s="236" t="s">
        <v>684</v>
      </c>
      <c r="F44" s="237" t="s">
        <v>284</v>
      </c>
      <c r="G44" s="237" t="s">
        <v>763</v>
      </c>
      <c r="H44" s="218" t="s">
        <v>80</v>
      </c>
      <c r="I44" s="231">
        <v>0.45700000000000002</v>
      </c>
      <c r="J44" s="293" t="s">
        <v>738</v>
      </c>
      <c r="K44" s="238">
        <v>761252</v>
      </c>
      <c r="L44" s="203">
        <f t="shared" si="11"/>
        <v>380626</v>
      </c>
      <c r="M44" s="204">
        <f t="shared" si="12"/>
        <v>380626</v>
      </c>
      <c r="N44" s="234">
        <v>0.5</v>
      </c>
      <c r="O44" s="167">
        <v>0</v>
      </c>
      <c r="P44" s="167">
        <v>0</v>
      </c>
      <c r="Q44" s="190">
        <v>0</v>
      </c>
      <c r="R44" s="192">
        <v>0</v>
      </c>
      <c r="S44" s="238">
        <f t="shared" si="13"/>
        <v>380626</v>
      </c>
      <c r="T44" s="158"/>
      <c r="U44" s="158"/>
      <c r="V44" s="158"/>
      <c r="W44" s="158"/>
      <c r="X44" s="158"/>
      <c r="Y44" s="1" t="b">
        <f t="shared" si="3"/>
        <v>1</v>
      </c>
      <c r="Z44" s="19">
        <f t="shared" si="4"/>
        <v>0.5</v>
      </c>
      <c r="AA44" s="20" t="b">
        <f t="shared" si="5"/>
        <v>1</v>
      </c>
      <c r="AB44" s="20" t="b">
        <f t="shared" si="6"/>
        <v>1</v>
      </c>
    </row>
    <row r="45" spans="1:28" ht="52.5" customHeight="1" x14ac:dyDescent="0.3">
      <c r="A45" s="292">
        <v>43</v>
      </c>
      <c r="B45" s="237" t="s">
        <v>739</v>
      </c>
      <c r="C45" s="228" t="s">
        <v>315</v>
      </c>
      <c r="D45" s="235" t="s">
        <v>176</v>
      </c>
      <c r="E45" s="236" t="s">
        <v>685</v>
      </c>
      <c r="F45" s="237" t="s">
        <v>104</v>
      </c>
      <c r="G45" s="237" t="s">
        <v>740</v>
      </c>
      <c r="H45" s="218" t="s">
        <v>85</v>
      </c>
      <c r="I45" s="231">
        <v>0.66300000000000003</v>
      </c>
      <c r="J45" s="293" t="s">
        <v>466</v>
      </c>
      <c r="K45" s="238">
        <v>1154444</v>
      </c>
      <c r="L45" s="203">
        <f t="shared" si="11"/>
        <v>577222</v>
      </c>
      <c r="M45" s="204">
        <f t="shared" si="12"/>
        <v>577222</v>
      </c>
      <c r="N45" s="234">
        <v>0.5</v>
      </c>
      <c r="O45" s="167">
        <v>0</v>
      </c>
      <c r="P45" s="167">
        <v>0</v>
      </c>
      <c r="Q45" s="190">
        <v>0</v>
      </c>
      <c r="R45" s="192">
        <v>0</v>
      </c>
      <c r="S45" s="238">
        <f t="shared" si="13"/>
        <v>577222</v>
      </c>
      <c r="T45" s="158"/>
      <c r="U45" s="158"/>
      <c r="V45" s="158"/>
      <c r="W45" s="158"/>
      <c r="X45" s="158"/>
      <c r="Y45" s="1" t="b">
        <f t="shared" si="3"/>
        <v>1</v>
      </c>
      <c r="Z45" s="19">
        <f t="shared" si="4"/>
        <v>0.5</v>
      </c>
      <c r="AA45" s="20" t="b">
        <f t="shared" si="5"/>
        <v>1</v>
      </c>
      <c r="AB45" s="20" t="b">
        <f t="shared" si="6"/>
        <v>1</v>
      </c>
    </row>
    <row r="46" spans="1:28" ht="55.5" customHeight="1" x14ac:dyDescent="0.3">
      <c r="A46" s="292">
        <v>44</v>
      </c>
      <c r="B46" s="237" t="s">
        <v>741</v>
      </c>
      <c r="C46" s="228" t="s">
        <v>315</v>
      </c>
      <c r="D46" s="235" t="s">
        <v>742</v>
      </c>
      <c r="E46" s="236" t="s">
        <v>686</v>
      </c>
      <c r="F46" s="237" t="s">
        <v>258</v>
      </c>
      <c r="G46" s="237" t="s">
        <v>743</v>
      </c>
      <c r="H46" s="218" t="s">
        <v>85</v>
      </c>
      <c r="I46" s="231">
        <v>1.5649999999999999</v>
      </c>
      <c r="J46" s="293" t="s">
        <v>318</v>
      </c>
      <c r="K46" s="238">
        <v>1096592</v>
      </c>
      <c r="L46" s="203">
        <f t="shared" si="11"/>
        <v>548296</v>
      </c>
      <c r="M46" s="204">
        <f t="shared" si="12"/>
        <v>548296</v>
      </c>
      <c r="N46" s="234">
        <v>0.5</v>
      </c>
      <c r="O46" s="167">
        <v>0</v>
      </c>
      <c r="P46" s="167">
        <v>0</v>
      </c>
      <c r="Q46" s="190">
        <v>0</v>
      </c>
      <c r="R46" s="192">
        <v>0</v>
      </c>
      <c r="S46" s="238">
        <f t="shared" si="13"/>
        <v>548296</v>
      </c>
      <c r="T46" s="158"/>
      <c r="U46" s="158"/>
      <c r="V46" s="158"/>
      <c r="W46" s="158"/>
      <c r="X46" s="158"/>
      <c r="Y46" s="1" t="b">
        <f t="shared" si="3"/>
        <v>1</v>
      </c>
      <c r="Z46" s="19">
        <f t="shared" si="4"/>
        <v>0.5</v>
      </c>
      <c r="AA46" s="20" t="b">
        <f t="shared" si="5"/>
        <v>1</v>
      </c>
      <c r="AB46" s="20" t="b">
        <f t="shared" si="6"/>
        <v>1</v>
      </c>
    </row>
    <row r="47" spans="1:28" ht="33.75" customHeight="1" x14ac:dyDescent="0.3">
      <c r="A47" s="292">
        <v>45</v>
      </c>
      <c r="B47" s="237" t="s">
        <v>744</v>
      </c>
      <c r="C47" s="228" t="s">
        <v>315</v>
      </c>
      <c r="D47" s="235" t="s">
        <v>742</v>
      </c>
      <c r="E47" s="236" t="s">
        <v>686</v>
      </c>
      <c r="F47" s="237" t="s">
        <v>258</v>
      </c>
      <c r="G47" s="237" t="s">
        <v>745</v>
      </c>
      <c r="H47" s="218" t="s">
        <v>85</v>
      </c>
      <c r="I47" s="231">
        <v>0.96699999999999997</v>
      </c>
      <c r="J47" s="293" t="s">
        <v>318</v>
      </c>
      <c r="K47" s="238">
        <v>1176108</v>
      </c>
      <c r="L47" s="203">
        <f t="shared" si="11"/>
        <v>588054</v>
      </c>
      <c r="M47" s="204">
        <f t="shared" si="12"/>
        <v>588054</v>
      </c>
      <c r="N47" s="234">
        <v>0.5</v>
      </c>
      <c r="O47" s="167">
        <v>0</v>
      </c>
      <c r="P47" s="167">
        <v>0</v>
      </c>
      <c r="Q47" s="190">
        <v>0</v>
      </c>
      <c r="R47" s="192">
        <v>0</v>
      </c>
      <c r="S47" s="238">
        <f t="shared" si="13"/>
        <v>588054</v>
      </c>
      <c r="T47" s="158"/>
      <c r="U47" s="158"/>
      <c r="V47" s="158"/>
      <c r="W47" s="158"/>
      <c r="X47" s="158"/>
      <c r="Y47" s="1" t="b">
        <f t="shared" si="3"/>
        <v>1</v>
      </c>
      <c r="Z47" s="19">
        <f t="shared" si="4"/>
        <v>0.5</v>
      </c>
      <c r="AA47" s="20" t="b">
        <f t="shared" si="5"/>
        <v>1</v>
      </c>
      <c r="AB47" s="20" t="b">
        <f t="shared" si="6"/>
        <v>1</v>
      </c>
    </row>
    <row r="48" spans="1:28" ht="37.950000000000003" customHeight="1" x14ac:dyDescent="0.3">
      <c r="A48" s="292">
        <v>46</v>
      </c>
      <c r="B48" s="237" t="s">
        <v>746</v>
      </c>
      <c r="C48" s="228" t="s">
        <v>315</v>
      </c>
      <c r="D48" s="235" t="s">
        <v>176</v>
      </c>
      <c r="E48" s="236" t="s">
        <v>685</v>
      </c>
      <c r="F48" s="237" t="s">
        <v>104</v>
      </c>
      <c r="G48" s="237" t="s">
        <v>747</v>
      </c>
      <c r="H48" s="218" t="s">
        <v>85</v>
      </c>
      <c r="I48" s="231">
        <v>0.72</v>
      </c>
      <c r="J48" s="293" t="s">
        <v>467</v>
      </c>
      <c r="K48" s="238">
        <v>1250116</v>
      </c>
      <c r="L48" s="203">
        <f t="shared" si="11"/>
        <v>625058</v>
      </c>
      <c r="M48" s="204">
        <f t="shared" si="12"/>
        <v>625058</v>
      </c>
      <c r="N48" s="234">
        <v>0.5</v>
      </c>
      <c r="O48" s="167">
        <v>0</v>
      </c>
      <c r="P48" s="167">
        <v>0</v>
      </c>
      <c r="Q48" s="190">
        <v>0</v>
      </c>
      <c r="R48" s="192">
        <v>0</v>
      </c>
      <c r="S48" s="238">
        <f t="shared" si="13"/>
        <v>625058</v>
      </c>
      <c r="T48" s="158"/>
      <c r="U48" s="158"/>
      <c r="V48" s="158"/>
      <c r="W48" s="158"/>
      <c r="X48" s="158"/>
      <c r="Y48" s="1" t="b">
        <f t="shared" si="3"/>
        <v>1</v>
      </c>
      <c r="Z48" s="19">
        <f t="shared" si="4"/>
        <v>0.5</v>
      </c>
      <c r="AA48" s="20" t="b">
        <f t="shared" si="5"/>
        <v>1</v>
      </c>
      <c r="AB48" s="20" t="b">
        <f t="shared" si="6"/>
        <v>1</v>
      </c>
    </row>
    <row r="49" spans="1:28" ht="37.950000000000003" customHeight="1" x14ac:dyDescent="0.3">
      <c r="A49" s="292">
        <v>47</v>
      </c>
      <c r="B49" s="237" t="s">
        <v>748</v>
      </c>
      <c r="C49" s="228" t="s">
        <v>315</v>
      </c>
      <c r="D49" s="235" t="s">
        <v>273</v>
      </c>
      <c r="E49" s="236" t="s">
        <v>662</v>
      </c>
      <c r="F49" s="237" t="s">
        <v>258</v>
      </c>
      <c r="G49" s="237" t="s">
        <v>749</v>
      </c>
      <c r="H49" s="218" t="s">
        <v>85</v>
      </c>
      <c r="I49" s="231">
        <v>0.627</v>
      </c>
      <c r="J49" s="293" t="s">
        <v>750</v>
      </c>
      <c r="K49" s="238">
        <v>1471475</v>
      </c>
      <c r="L49" s="203">
        <f t="shared" si="11"/>
        <v>882885</v>
      </c>
      <c r="M49" s="204">
        <f t="shared" si="12"/>
        <v>588590</v>
      </c>
      <c r="N49" s="234">
        <v>0.6</v>
      </c>
      <c r="O49" s="167">
        <v>0</v>
      </c>
      <c r="P49" s="167">
        <v>0</v>
      </c>
      <c r="Q49" s="190">
        <v>0</v>
      </c>
      <c r="R49" s="192">
        <v>0</v>
      </c>
      <c r="S49" s="238">
        <f t="shared" si="13"/>
        <v>882885</v>
      </c>
      <c r="T49" s="158"/>
      <c r="U49" s="158"/>
      <c r="V49" s="158"/>
      <c r="W49" s="158"/>
      <c r="X49" s="158"/>
      <c r="Y49" s="1" t="b">
        <f t="shared" si="3"/>
        <v>1</v>
      </c>
      <c r="Z49" s="19">
        <f t="shared" si="4"/>
        <v>0.6</v>
      </c>
      <c r="AA49" s="20" t="b">
        <f t="shared" si="5"/>
        <v>1</v>
      </c>
      <c r="AB49" s="20" t="b">
        <f t="shared" si="6"/>
        <v>1</v>
      </c>
    </row>
    <row r="50" spans="1:28" ht="37.950000000000003" customHeight="1" x14ac:dyDescent="0.3">
      <c r="A50" s="292">
        <v>48</v>
      </c>
      <c r="B50" s="237" t="s">
        <v>751</v>
      </c>
      <c r="C50" s="228" t="s">
        <v>315</v>
      </c>
      <c r="D50" s="235" t="s">
        <v>752</v>
      </c>
      <c r="E50" s="236" t="s">
        <v>687</v>
      </c>
      <c r="F50" s="237" t="s">
        <v>404</v>
      </c>
      <c r="G50" s="237" t="s">
        <v>762</v>
      </c>
      <c r="H50" s="218" t="s">
        <v>71</v>
      </c>
      <c r="I50" s="231">
        <v>0.40799999999999997</v>
      </c>
      <c r="J50" s="293" t="s">
        <v>753</v>
      </c>
      <c r="K50" s="238">
        <v>1176548</v>
      </c>
      <c r="L50" s="203">
        <f t="shared" si="11"/>
        <v>588274</v>
      </c>
      <c r="M50" s="204">
        <f t="shared" si="12"/>
        <v>588274</v>
      </c>
      <c r="N50" s="234">
        <v>0.5</v>
      </c>
      <c r="O50" s="167">
        <v>0</v>
      </c>
      <c r="P50" s="167">
        <v>0</v>
      </c>
      <c r="Q50" s="190">
        <v>0</v>
      </c>
      <c r="R50" s="192">
        <v>0</v>
      </c>
      <c r="S50" s="238">
        <f t="shared" si="13"/>
        <v>588274</v>
      </c>
      <c r="T50" s="158"/>
      <c r="U50" s="158"/>
      <c r="V50" s="158"/>
      <c r="W50" s="158"/>
      <c r="X50" s="158"/>
      <c r="Y50" s="1" t="b">
        <f t="shared" si="3"/>
        <v>1</v>
      </c>
      <c r="Z50" s="19">
        <f t="shared" si="4"/>
        <v>0.5</v>
      </c>
      <c r="AA50" s="20" t="b">
        <f t="shared" si="5"/>
        <v>1</v>
      </c>
      <c r="AB50" s="20" t="b">
        <f t="shared" si="6"/>
        <v>1</v>
      </c>
    </row>
    <row r="51" spans="1:28" ht="37.950000000000003" customHeight="1" x14ac:dyDescent="0.3">
      <c r="A51" s="292">
        <v>49</v>
      </c>
      <c r="B51" s="237" t="s">
        <v>754</v>
      </c>
      <c r="C51" s="228" t="s">
        <v>315</v>
      </c>
      <c r="D51" s="235" t="s">
        <v>734</v>
      </c>
      <c r="E51" s="236" t="s">
        <v>683</v>
      </c>
      <c r="F51" s="237" t="s">
        <v>83</v>
      </c>
      <c r="G51" s="237" t="s">
        <v>768</v>
      </c>
      <c r="H51" s="218" t="s">
        <v>71</v>
      </c>
      <c r="I51" s="231">
        <v>0.59</v>
      </c>
      <c r="J51" s="293" t="s">
        <v>358</v>
      </c>
      <c r="K51" s="238">
        <v>957115</v>
      </c>
      <c r="L51" s="203">
        <f t="shared" si="11"/>
        <v>478557.5</v>
      </c>
      <c r="M51" s="204">
        <f t="shared" si="12"/>
        <v>478557.5</v>
      </c>
      <c r="N51" s="234">
        <v>0.5</v>
      </c>
      <c r="O51" s="167">
        <v>0</v>
      </c>
      <c r="P51" s="167">
        <v>0</v>
      </c>
      <c r="Q51" s="190">
        <v>0</v>
      </c>
      <c r="R51" s="192">
        <v>0</v>
      </c>
      <c r="S51" s="238">
        <f t="shared" si="13"/>
        <v>478557.5</v>
      </c>
      <c r="T51" s="158"/>
      <c r="U51" s="158"/>
      <c r="V51" s="158"/>
      <c r="W51" s="158"/>
      <c r="X51" s="158"/>
      <c r="Y51" s="1" t="b">
        <f t="shared" si="3"/>
        <v>1</v>
      </c>
      <c r="Z51" s="19">
        <f t="shared" si="4"/>
        <v>0.5</v>
      </c>
      <c r="AA51" s="20" t="b">
        <f t="shared" si="5"/>
        <v>1</v>
      </c>
      <c r="AB51" s="20" t="b">
        <f t="shared" si="6"/>
        <v>1</v>
      </c>
    </row>
    <row r="52" spans="1:28" ht="32.25" customHeight="1" x14ac:dyDescent="0.3">
      <c r="A52" s="292">
        <v>50</v>
      </c>
      <c r="B52" s="237" t="s">
        <v>755</v>
      </c>
      <c r="C52" s="228" t="s">
        <v>315</v>
      </c>
      <c r="D52" s="235" t="s">
        <v>335</v>
      </c>
      <c r="E52" s="236" t="s">
        <v>677</v>
      </c>
      <c r="F52" s="237" t="s">
        <v>128</v>
      </c>
      <c r="G52" s="237" t="s">
        <v>756</v>
      </c>
      <c r="H52" s="218" t="s">
        <v>85</v>
      </c>
      <c r="I52" s="231">
        <v>0.72099999999999997</v>
      </c>
      <c r="J52" s="293" t="s">
        <v>337</v>
      </c>
      <c r="K52" s="238">
        <v>1500000</v>
      </c>
      <c r="L52" s="203">
        <f t="shared" si="11"/>
        <v>750000</v>
      </c>
      <c r="M52" s="204">
        <f t="shared" si="12"/>
        <v>750000</v>
      </c>
      <c r="N52" s="234">
        <v>0.5</v>
      </c>
      <c r="O52" s="167">
        <v>0</v>
      </c>
      <c r="P52" s="167">
        <v>0</v>
      </c>
      <c r="Q52" s="190">
        <v>0</v>
      </c>
      <c r="R52" s="192">
        <v>0</v>
      </c>
      <c r="S52" s="238">
        <f t="shared" si="13"/>
        <v>750000</v>
      </c>
      <c r="T52" s="158"/>
      <c r="U52" s="158"/>
      <c r="V52" s="158"/>
      <c r="W52" s="158"/>
      <c r="X52" s="158"/>
      <c r="Y52" s="1" t="b">
        <f t="shared" si="3"/>
        <v>1</v>
      </c>
      <c r="Z52" s="19">
        <f t="shared" si="4"/>
        <v>0.5</v>
      </c>
      <c r="AA52" s="20" t="b">
        <f t="shared" si="5"/>
        <v>1</v>
      </c>
      <c r="AB52" s="20" t="b">
        <f t="shared" si="6"/>
        <v>1</v>
      </c>
    </row>
    <row r="53" spans="1:28" ht="37.950000000000003" customHeight="1" x14ac:dyDescent="0.3">
      <c r="A53" s="292">
        <v>51</v>
      </c>
      <c r="B53" s="237" t="s">
        <v>757</v>
      </c>
      <c r="C53" s="228" t="s">
        <v>315</v>
      </c>
      <c r="D53" s="235" t="s">
        <v>273</v>
      </c>
      <c r="E53" s="236" t="s">
        <v>662</v>
      </c>
      <c r="F53" s="237" t="s">
        <v>258</v>
      </c>
      <c r="G53" s="237" t="s">
        <v>758</v>
      </c>
      <c r="H53" s="218" t="s">
        <v>85</v>
      </c>
      <c r="I53" s="231">
        <v>0.502</v>
      </c>
      <c r="J53" s="293" t="s">
        <v>353</v>
      </c>
      <c r="K53" s="238">
        <v>2310409</v>
      </c>
      <c r="L53" s="203">
        <f t="shared" si="11"/>
        <v>1386245.4</v>
      </c>
      <c r="M53" s="204">
        <f t="shared" si="12"/>
        <v>924163.60000000009</v>
      </c>
      <c r="N53" s="234">
        <v>0.6</v>
      </c>
      <c r="O53" s="167">
        <v>0</v>
      </c>
      <c r="P53" s="167">
        <v>0</v>
      </c>
      <c r="Q53" s="190">
        <v>0</v>
      </c>
      <c r="R53" s="192">
        <v>0</v>
      </c>
      <c r="S53" s="238">
        <f t="shared" si="13"/>
        <v>1386245.4</v>
      </c>
      <c r="T53" s="158"/>
      <c r="U53" s="158"/>
      <c r="V53" s="158"/>
      <c r="W53" s="158"/>
      <c r="X53" s="158"/>
      <c r="Y53" s="1" t="b">
        <f t="shared" si="3"/>
        <v>1</v>
      </c>
      <c r="Z53" s="19">
        <f t="shared" si="4"/>
        <v>0.6</v>
      </c>
      <c r="AA53" s="20" t="b">
        <f t="shared" si="5"/>
        <v>1</v>
      </c>
      <c r="AB53" s="20" t="b">
        <f t="shared" si="6"/>
        <v>1</v>
      </c>
    </row>
    <row r="54" spans="1:28" ht="37.950000000000003" customHeight="1" x14ac:dyDescent="0.3">
      <c r="A54" s="292">
        <v>52</v>
      </c>
      <c r="B54" s="237" t="s">
        <v>759</v>
      </c>
      <c r="C54" s="228" t="s">
        <v>315</v>
      </c>
      <c r="D54" s="235" t="s">
        <v>760</v>
      </c>
      <c r="E54" s="236" t="s">
        <v>688</v>
      </c>
      <c r="F54" s="237" t="s">
        <v>112</v>
      </c>
      <c r="G54" s="237" t="s">
        <v>761</v>
      </c>
      <c r="H54" s="218" t="s">
        <v>85</v>
      </c>
      <c r="I54" s="231">
        <v>1.6080000000000001</v>
      </c>
      <c r="J54" s="293" t="s">
        <v>316</v>
      </c>
      <c r="K54" s="238">
        <v>2521646</v>
      </c>
      <c r="L54" s="203">
        <f t="shared" si="11"/>
        <v>1260823</v>
      </c>
      <c r="M54" s="204">
        <f t="shared" si="12"/>
        <v>1260823</v>
      </c>
      <c r="N54" s="234">
        <v>0.5</v>
      </c>
      <c r="O54" s="167">
        <v>0</v>
      </c>
      <c r="P54" s="167">
        <v>0</v>
      </c>
      <c r="Q54" s="190">
        <v>0</v>
      </c>
      <c r="R54" s="192">
        <v>0</v>
      </c>
      <c r="S54" s="238">
        <f t="shared" si="13"/>
        <v>1260823</v>
      </c>
      <c r="T54" s="158"/>
      <c r="U54" s="158"/>
      <c r="V54" s="158"/>
      <c r="W54" s="158"/>
      <c r="X54" s="158"/>
      <c r="Y54" s="1" t="b">
        <f t="shared" si="3"/>
        <v>1</v>
      </c>
      <c r="Z54" s="19">
        <f t="shared" si="4"/>
        <v>0.5</v>
      </c>
      <c r="AA54" s="20" t="b">
        <f t="shared" si="5"/>
        <v>1</v>
      </c>
      <c r="AB54" s="20" t="b">
        <f t="shared" si="6"/>
        <v>1</v>
      </c>
    </row>
    <row r="55" spans="1:28" ht="37.950000000000003" customHeight="1" x14ac:dyDescent="0.3">
      <c r="A55" s="292">
        <v>53</v>
      </c>
      <c r="B55" s="237" t="s">
        <v>769</v>
      </c>
      <c r="C55" s="228" t="s">
        <v>315</v>
      </c>
      <c r="D55" s="235" t="s">
        <v>770</v>
      </c>
      <c r="E55" s="236" t="s">
        <v>689</v>
      </c>
      <c r="F55" s="237" t="s">
        <v>317</v>
      </c>
      <c r="G55" s="237" t="s">
        <v>771</v>
      </c>
      <c r="H55" s="218" t="s">
        <v>85</v>
      </c>
      <c r="I55" s="231">
        <v>2.0819999999999999</v>
      </c>
      <c r="J55" s="293" t="s">
        <v>358</v>
      </c>
      <c r="K55" s="238">
        <v>5331063</v>
      </c>
      <c r="L55" s="203">
        <f t="shared" si="11"/>
        <v>2665531.5</v>
      </c>
      <c r="M55" s="204">
        <f t="shared" si="12"/>
        <v>2665531.5</v>
      </c>
      <c r="N55" s="234">
        <v>0.5</v>
      </c>
      <c r="O55" s="167">
        <v>0</v>
      </c>
      <c r="P55" s="167">
        <v>0</v>
      </c>
      <c r="Q55" s="190">
        <v>0</v>
      </c>
      <c r="R55" s="192">
        <v>0</v>
      </c>
      <c r="S55" s="238">
        <f t="shared" si="13"/>
        <v>2665531.5</v>
      </c>
      <c r="T55" s="158"/>
      <c r="U55" s="158"/>
      <c r="V55" s="158"/>
      <c r="W55" s="158"/>
      <c r="X55" s="158"/>
      <c r="Y55" s="1" t="b">
        <f t="shared" si="3"/>
        <v>1</v>
      </c>
      <c r="Z55" s="19">
        <f t="shared" si="4"/>
        <v>0.5</v>
      </c>
      <c r="AA55" s="20" t="b">
        <f t="shared" si="5"/>
        <v>1</v>
      </c>
      <c r="AB55" s="20" t="b">
        <f t="shared" si="6"/>
        <v>1</v>
      </c>
    </row>
    <row r="56" spans="1:28" ht="55.5" customHeight="1" x14ac:dyDescent="0.3">
      <c r="A56" s="292">
        <v>54</v>
      </c>
      <c r="B56" s="237" t="s">
        <v>772</v>
      </c>
      <c r="C56" s="228" t="s">
        <v>315</v>
      </c>
      <c r="D56" s="235" t="s">
        <v>176</v>
      </c>
      <c r="E56" s="236" t="s">
        <v>685</v>
      </c>
      <c r="F56" s="237" t="s">
        <v>104</v>
      </c>
      <c r="G56" s="237" t="s">
        <v>773</v>
      </c>
      <c r="H56" s="218" t="s">
        <v>85</v>
      </c>
      <c r="I56" s="231">
        <v>0.77</v>
      </c>
      <c r="J56" s="293" t="s">
        <v>466</v>
      </c>
      <c r="K56" s="238">
        <v>1276188</v>
      </c>
      <c r="L56" s="203">
        <f t="shared" si="11"/>
        <v>638094</v>
      </c>
      <c r="M56" s="204">
        <f t="shared" si="12"/>
        <v>638094</v>
      </c>
      <c r="N56" s="234">
        <v>0.5</v>
      </c>
      <c r="O56" s="167">
        <v>0</v>
      </c>
      <c r="P56" s="167">
        <v>0</v>
      </c>
      <c r="Q56" s="190">
        <v>0</v>
      </c>
      <c r="R56" s="192">
        <v>0</v>
      </c>
      <c r="S56" s="238">
        <f t="shared" si="13"/>
        <v>638094</v>
      </c>
      <c r="T56" s="158"/>
      <c r="U56" s="158"/>
      <c r="V56" s="158"/>
      <c r="W56" s="158"/>
      <c r="X56" s="158"/>
      <c r="Y56" s="1" t="b">
        <f t="shared" si="3"/>
        <v>1</v>
      </c>
      <c r="Z56" s="19">
        <f t="shared" si="4"/>
        <v>0.5</v>
      </c>
      <c r="AA56" s="20" t="b">
        <f t="shared" si="5"/>
        <v>1</v>
      </c>
      <c r="AB56" s="20" t="b">
        <f t="shared" si="6"/>
        <v>1</v>
      </c>
    </row>
    <row r="57" spans="1:28" ht="37.950000000000003" customHeight="1" x14ac:dyDescent="0.3">
      <c r="A57" s="292">
        <v>55</v>
      </c>
      <c r="B57" s="237" t="s">
        <v>774</v>
      </c>
      <c r="C57" s="228" t="s">
        <v>315</v>
      </c>
      <c r="D57" s="235" t="s">
        <v>279</v>
      </c>
      <c r="E57" s="236" t="s">
        <v>666</v>
      </c>
      <c r="F57" s="237" t="s">
        <v>185</v>
      </c>
      <c r="G57" s="237" t="s">
        <v>775</v>
      </c>
      <c r="H57" s="218" t="s">
        <v>85</v>
      </c>
      <c r="I57" s="231">
        <v>0.69</v>
      </c>
      <c r="J57" s="293" t="s">
        <v>776</v>
      </c>
      <c r="K57" s="238">
        <v>1730347</v>
      </c>
      <c r="L57" s="203">
        <f t="shared" si="11"/>
        <v>1038208.2</v>
      </c>
      <c r="M57" s="204">
        <f t="shared" si="12"/>
        <v>692138.8</v>
      </c>
      <c r="N57" s="234">
        <v>0.6</v>
      </c>
      <c r="O57" s="167">
        <v>0</v>
      </c>
      <c r="P57" s="167">
        <v>0</v>
      </c>
      <c r="Q57" s="190">
        <v>0</v>
      </c>
      <c r="R57" s="192">
        <v>0</v>
      </c>
      <c r="S57" s="238">
        <f t="shared" si="13"/>
        <v>1038208.2</v>
      </c>
      <c r="T57" s="158"/>
      <c r="U57" s="158"/>
      <c r="V57" s="158"/>
      <c r="W57" s="158"/>
      <c r="X57" s="158"/>
      <c r="Y57" s="1" t="b">
        <f t="shared" si="3"/>
        <v>1</v>
      </c>
      <c r="Z57" s="19">
        <f t="shared" si="4"/>
        <v>0.6</v>
      </c>
      <c r="AA57" s="20" t="b">
        <f t="shared" si="5"/>
        <v>1</v>
      </c>
      <c r="AB57" s="20" t="b">
        <f t="shared" si="6"/>
        <v>1</v>
      </c>
    </row>
    <row r="58" spans="1:28" ht="47.25" customHeight="1" x14ac:dyDescent="0.3">
      <c r="A58" s="292">
        <v>56</v>
      </c>
      <c r="B58" s="237" t="s">
        <v>777</v>
      </c>
      <c r="C58" s="228" t="s">
        <v>315</v>
      </c>
      <c r="D58" s="235" t="s">
        <v>241</v>
      </c>
      <c r="E58" s="236" t="s">
        <v>676</v>
      </c>
      <c r="F58" s="237" t="s">
        <v>104</v>
      </c>
      <c r="G58" s="237" t="s">
        <v>778</v>
      </c>
      <c r="H58" s="218" t="s">
        <v>85</v>
      </c>
      <c r="I58" s="231">
        <v>0.12</v>
      </c>
      <c r="J58" s="293" t="s">
        <v>319</v>
      </c>
      <c r="K58" s="238">
        <v>530000</v>
      </c>
      <c r="L58" s="203">
        <f t="shared" si="11"/>
        <v>265000</v>
      </c>
      <c r="M58" s="204">
        <f t="shared" si="12"/>
        <v>265000</v>
      </c>
      <c r="N58" s="234">
        <v>0.5</v>
      </c>
      <c r="O58" s="167">
        <v>0</v>
      </c>
      <c r="P58" s="167">
        <v>0</v>
      </c>
      <c r="Q58" s="190">
        <v>0</v>
      </c>
      <c r="R58" s="192">
        <v>0</v>
      </c>
      <c r="S58" s="238">
        <f t="shared" si="13"/>
        <v>265000</v>
      </c>
      <c r="T58" s="158"/>
      <c r="U58" s="158"/>
      <c r="V58" s="158"/>
      <c r="W58" s="158"/>
      <c r="X58" s="158"/>
      <c r="Y58" s="1" t="b">
        <f t="shared" si="3"/>
        <v>1</v>
      </c>
      <c r="Z58" s="19">
        <f t="shared" si="4"/>
        <v>0.5</v>
      </c>
      <c r="AA58" s="20" t="b">
        <f t="shared" si="5"/>
        <v>1</v>
      </c>
      <c r="AB58" s="20" t="b">
        <f t="shared" si="6"/>
        <v>1</v>
      </c>
    </row>
    <row r="59" spans="1:28" ht="20.100000000000001" customHeight="1" x14ac:dyDescent="0.3">
      <c r="A59" s="342" t="s">
        <v>44</v>
      </c>
      <c r="B59" s="342"/>
      <c r="C59" s="342"/>
      <c r="D59" s="342"/>
      <c r="E59" s="342"/>
      <c r="F59" s="342"/>
      <c r="G59" s="342"/>
      <c r="H59" s="342"/>
      <c r="I59" s="239">
        <f>SUM(I3:I58)</f>
        <v>49.710999999999999</v>
      </c>
      <c r="J59" s="240" t="s">
        <v>14</v>
      </c>
      <c r="K59" s="241">
        <f>SUM(K3:K58)</f>
        <v>120858479.25</v>
      </c>
      <c r="L59" s="241">
        <f>SUM(L3:L58)</f>
        <v>65556522.639999993</v>
      </c>
      <c r="M59" s="241">
        <f>SUM(M3:M58)</f>
        <v>55301956.609999992</v>
      </c>
      <c r="N59" s="242" t="s">
        <v>14</v>
      </c>
      <c r="O59" s="303">
        <f t="shared" ref="O59:X59" si="14">SUM(O3:O58)</f>
        <v>0</v>
      </c>
      <c r="P59" s="303">
        <f t="shared" si="14"/>
        <v>0</v>
      </c>
      <c r="Q59" s="303">
        <f t="shared" si="14"/>
        <v>0</v>
      </c>
      <c r="R59" s="303">
        <f t="shared" si="14"/>
        <v>0</v>
      </c>
      <c r="S59" s="303">
        <f t="shared" si="14"/>
        <v>62207985.139999993</v>
      </c>
      <c r="T59" s="303">
        <f t="shared" si="14"/>
        <v>1591866</v>
      </c>
      <c r="U59" s="303">
        <f t="shared" si="14"/>
        <v>1756671.5</v>
      </c>
      <c r="V59" s="303">
        <f t="shared" si="14"/>
        <v>0</v>
      </c>
      <c r="W59" s="303">
        <f t="shared" si="14"/>
        <v>0</v>
      </c>
      <c r="X59" s="303">
        <f t="shared" si="14"/>
        <v>0</v>
      </c>
      <c r="Y59" s="1" t="b">
        <f t="shared" si="3"/>
        <v>1</v>
      </c>
      <c r="Z59" s="19">
        <f t="shared" si="4"/>
        <v>0.54239999999999999</v>
      </c>
      <c r="AA59" s="20" t="s">
        <v>14</v>
      </c>
      <c r="AB59" s="20" t="b">
        <f t="shared" si="6"/>
        <v>1</v>
      </c>
    </row>
    <row r="60" spans="1:28" ht="20.100000000000001" customHeight="1" x14ac:dyDescent="0.3">
      <c r="A60" s="338" t="s">
        <v>38</v>
      </c>
      <c r="B60" s="339"/>
      <c r="C60" s="339"/>
      <c r="D60" s="339"/>
      <c r="E60" s="339"/>
      <c r="F60" s="339"/>
      <c r="G60" s="339"/>
      <c r="H60" s="340"/>
      <c r="I60" s="239">
        <f>SUMIF($C$3:$C$58,"N",I3:I58)</f>
        <v>42.734000000000002</v>
      </c>
      <c r="J60" s="240" t="s">
        <v>14</v>
      </c>
      <c r="K60" s="241">
        <f>SUMIF($C$3:$C$58,"N",K3:K58)</f>
        <v>112612495.25</v>
      </c>
      <c r="L60" s="241">
        <f>SUMIF($C$3:$C$58,"N",L3:L58)</f>
        <v>61433530.639999993</v>
      </c>
      <c r="M60" s="241">
        <f>SUMIF($C$3:$C$58,"N",M3:M58)</f>
        <v>51178964.609999992</v>
      </c>
      <c r="N60" s="242" t="s">
        <v>14</v>
      </c>
      <c r="O60" s="303">
        <f t="shared" ref="O60:X60" si="15">SUMIF($C$3:$C$58,"N",O3:O58)</f>
        <v>0</v>
      </c>
      <c r="P60" s="303">
        <f t="shared" si="15"/>
        <v>0</v>
      </c>
      <c r="Q60" s="303">
        <f t="shared" si="15"/>
        <v>0</v>
      </c>
      <c r="R60" s="303">
        <f t="shared" si="15"/>
        <v>0</v>
      </c>
      <c r="S60" s="303">
        <f t="shared" si="15"/>
        <v>61433530.639999993</v>
      </c>
      <c r="T60" s="303">
        <f t="shared" si="15"/>
        <v>0</v>
      </c>
      <c r="U60" s="303">
        <f t="shared" si="15"/>
        <v>0</v>
      </c>
      <c r="V60" s="303">
        <f t="shared" si="15"/>
        <v>0</v>
      </c>
      <c r="W60" s="303">
        <f t="shared" si="15"/>
        <v>0</v>
      </c>
      <c r="X60" s="303">
        <f t="shared" si="15"/>
        <v>0</v>
      </c>
      <c r="Y60" s="1" t="b">
        <f t="shared" si="3"/>
        <v>1</v>
      </c>
      <c r="Z60" s="19">
        <f t="shared" si="4"/>
        <v>0.54549999999999998</v>
      </c>
      <c r="AA60" s="20" t="s">
        <v>14</v>
      </c>
      <c r="AB60" s="20" t="b">
        <f t="shared" si="6"/>
        <v>1</v>
      </c>
    </row>
    <row r="61" spans="1:28" ht="20.100000000000001" customHeight="1" x14ac:dyDescent="0.3">
      <c r="A61" s="341" t="s">
        <v>39</v>
      </c>
      <c r="B61" s="341"/>
      <c r="C61" s="341"/>
      <c r="D61" s="341"/>
      <c r="E61" s="341"/>
      <c r="F61" s="341"/>
      <c r="G61" s="341"/>
      <c r="H61" s="341"/>
      <c r="I61" s="244">
        <f>SUMIF($C$3:$C$58,"W",I3:I58)</f>
        <v>6.9770000000000003</v>
      </c>
      <c r="J61" s="245" t="s">
        <v>14</v>
      </c>
      <c r="K61" s="246">
        <f>SUMIF($C$3:$C$58,"W",K3:K58)</f>
        <v>8245984</v>
      </c>
      <c r="L61" s="246">
        <f>SUMIF($C$3:$C$58,"W",L3:L58)</f>
        <v>4122992</v>
      </c>
      <c r="M61" s="246">
        <f>SUMIF($C$3:$C$58,"W",M3:M58)</f>
        <v>4122992</v>
      </c>
      <c r="N61" s="247" t="s">
        <v>14</v>
      </c>
      <c r="O61" s="304">
        <f t="shared" ref="O61:X61" si="16">SUMIF($C$3:$C$58,"W",O3:O58)</f>
        <v>0</v>
      </c>
      <c r="P61" s="304">
        <f t="shared" si="16"/>
        <v>0</v>
      </c>
      <c r="Q61" s="304">
        <f t="shared" si="16"/>
        <v>0</v>
      </c>
      <c r="R61" s="304">
        <f t="shared" si="16"/>
        <v>0</v>
      </c>
      <c r="S61" s="304">
        <f t="shared" si="16"/>
        <v>774454.5</v>
      </c>
      <c r="T61" s="304">
        <f t="shared" si="16"/>
        <v>1591866</v>
      </c>
      <c r="U61" s="304">
        <f t="shared" si="16"/>
        <v>1756671.5</v>
      </c>
      <c r="V61" s="304">
        <f t="shared" si="16"/>
        <v>0</v>
      </c>
      <c r="W61" s="304">
        <f t="shared" si="16"/>
        <v>0</v>
      </c>
      <c r="X61" s="304">
        <f t="shared" si="16"/>
        <v>0</v>
      </c>
      <c r="Y61" s="1" t="b">
        <f t="shared" si="3"/>
        <v>1</v>
      </c>
      <c r="Z61" s="19">
        <f t="shared" si="4"/>
        <v>0.5</v>
      </c>
      <c r="AA61" s="20" t="s">
        <v>14</v>
      </c>
      <c r="AB61" s="20" t="b">
        <f t="shared" si="6"/>
        <v>1</v>
      </c>
    </row>
    <row r="62" spans="1:28" x14ac:dyDescent="0.3">
      <c r="A62" s="305"/>
      <c r="AB62" s="12"/>
    </row>
    <row r="63" spans="1:28" x14ac:dyDescent="0.3">
      <c r="A63" s="252" t="s">
        <v>24</v>
      </c>
    </row>
    <row r="64" spans="1:28" x14ac:dyDescent="0.3">
      <c r="A64" s="255" t="s">
        <v>25</v>
      </c>
    </row>
    <row r="65" spans="1:1" x14ac:dyDescent="0.3">
      <c r="A65" s="252" t="s">
        <v>35</v>
      </c>
    </row>
    <row r="66" spans="1:1" x14ac:dyDescent="0.3">
      <c r="A66" s="306"/>
    </row>
  </sheetData>
  <mergeCells count="18">
    <mergeCell ref="O1:X1"/>
    <mergeCell ref="M1:M2"/>
    <mergeCell ref="N1:N2"/>
    <mergeCell ref="A59:H59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  <mergeCell ref="A60:H60"/>
    <mergeCell ref="D1:D2"/>
    <mergeCell ref="A61:H61"/>
    <mergeCell ref="E1:E2"/>
  </mergeCells>
  <conditionalFormatting sqref="AB62 Y3:AB59">
    <cfRule type="cellIs" dxfId="11" priority="20" operator="equal">
      <formula>FALSE</formula>
    </cfRule>
  </conditionalFormatting>
  <conditionalFormatting sqref="Y3:AA59">
    <cfRule type="containsText" dxfId="10" priority="13" operator="containsText" text="fałsz">
      <formula>NOT(ISERROR(SEARCH("fałsz",Y3)))</formula>
    </cfRule>
  </conditionalFormatting>
  <conditionalFormatting sqref="Z61:AA61">
    <cfRule type="cellIs" dxfId="9" priority="10" operator="equal">
      <formula>FALSE</formula>
    </cfRule>
  </conditionalFormatting>
  <conditionalFormatting sqref="Y61">
    <cfRule type="cellIs" dxfId="8" priority="9" operator="equal">
      <formula>FALSE</formula>
    </cfRule>
  </conditionalFormatting>
  <conditionalFormatting sqref="Y61:AA61">
    <cfRule type="containsText" dxfId="7" priority="8" operator="containsText" text="fałsz">
      <formula>NOT(ISERROR(SEARCH("fałsz",Y61)))</formula>
    </cfRule>
  </conditionalFormatting>
  <conditionalFormatting sqref="AB61">
    <cfRule type="cellIs" dxfId="6" priority="7" operator="equal">
      <formula>FALSE</formula>
    </cfRule>
  </conditionalFormatting>
  <conditionalFormatting sqref="AB61">
    <cfRule type="cellIs" dxfId="5" priority="6" operator="equal">
      <formula>FALSE</formula>
    </cfRule>
  </conditionalFormatting>
  <conditionalFormatting sqref="Y60:AA60">
    <cfRule type="containsText" dxfId="4" priority="3" operator="containsText" text="fałsz">
      <formula>NOT(ISERROR(SEARCH("fałsz",Y60)))</formula>
    </cfRule>
  </conditionalFormatting>
  <conditionalFormatting sqref="Z60:AA60">
    <cfRule type="cellIs" dxfId="3" priority="5" operator="equal">
      <formula>FALSE</formula>
    </cfRule>
  </conditionalFormatting>
  <conditionalFormatting sqref="Y60">
    <cfRule type="cellIs" dxfId="2" priority="4" operator="equal">
      <formula>FALSE</formula>
    </cfRule>
  </conditionalFormatting>
  <conditionalFormatting sqref="AB60">
    <cfRule type="cellIs" dxfId="1" priority="2" operator="equal">
      <formula>FALSE</formula>
    </cfRule>
  </conditionalFormatting>
  <conditionalFormatting sqref="AB60">
    <cfRule type="cellIs" dxfId="0" priority="1" operator="equal">
      <formula>FALSE</formula>
    </cfRule>
  </conditionalFormatting>
  <dataValidations count="2">
    <dataValidation type="list" allowBlank="1" showInputMessage="1" showErrorMessage="1" sqref="H3:H58">
      <formula1>"B,P,R"</formula1>
    </dataValidation>
    <dataValidation type="list" allowBlank="1" showInputMessage="1" showErrorMessage="1" sqref="C3:C58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52" fitToHeight="0" orientation="landscape" r:id="rId1"/>
  <headerFooter>
    <oddHeader>&amp;LWojewództwo &amp;KFF0000[wpisać]&amp;K01+000 -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Szerszeń Emil</cp:lastModifiedBy>
  <cp:lastPrinted>2023-01-30T19:20:03Z</cp:lastPrinted>
  <dcterms:created xsi:type="dcterms:W3CDTF">2019-02-25T10:53:14Z</dcterms:created>
  <dcterms:modified xsi:type="dcterms:W3CDTF">2023-01-31T08:25:23Z</dcterms:modified>
</cp:coreProperties>
</file>