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  <sheet name="definicja" sheetId="2" r:id="rId2"/>
  </sheets>
  <definedNames>
    <definedName name="_xlnm.Print_Area" localSheetId="0">'doch_wyd'!$A$1:$M$108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<sst xmlns="http://schemas.openxmlformats.org/spreadsheetml/2006/main" count="706" uniqueCount="383">
  <si>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</si>
  <si>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</si>
  <si>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</si>
  <si>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</si>
  <si>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</si>
  <si>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</si>
  <si>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</si>
  <si>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</si>
  <si>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</si>
  <si>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</si>
  <si>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</si>
  <si>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</si>
  <si>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</si>
  <si>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</si>
  <si>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</si>
  <si>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</si>
  <si>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</si>
  <si>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</si>
  <si>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</si>
  <si>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</si>
  <si>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</si>
  <si>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</si>
  <si>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</si>
  <si>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</si>
  <si>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</si>
  <si>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</si>
  <si>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</si>
  <si>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</si>
  <si>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</si>
  <si>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</si>
  <si>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</si>
  <si>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</si>
  <si>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</si>
  <si>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</si>
  <si>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</si>
  <si>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</si>
  <si>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</si>
  <si>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</si>
  <si>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</si>
  <si>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</si>
  <si>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Zobowiązania wg stanu na koniec 
okresu sprawozdawczego</t>
  </si>
  <si>
    <t>w tym:   wydatki na inwestycje</t>
  </si>
  <si>
    <t xml:space="preserve">wydatki majątkowe      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</si>
  <si>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</si>
  <si>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</si>
  <si>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</si>
  <si>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</si>
  <si>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</si>
  <si>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</si>
  <si>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</si>
  <si>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</si>
  <si>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</si>
  <si>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</si>
  <si>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</t>
  </si>
  <si>
    <t xml:space="preserve">WYNIK  </t>
  </si>
  <si>
    <t>Wyszczególnienie</t>
  </si>
  <si>
    <t>Plan (po zmianach)</t>
  </si>
  <si>
    <t>D1</t>
  </si>
  <si>
    <t>D11</t>
  </si>
  <si>
    <t>D12</t>
  </si>
  <si>
    <t>D13</t>
  </si>
  <si>
    <t>D14</t>
  </si>
  <si>
    <t>D15</t>
  </si>
  <si>
    <t>D16</t>
  </si>
  <si>
    <t>D2</t>
  </si>
  <si>
    <t>D21</t>
  </si>
  <si>
    <t>D22</t>
  </si>
  <si>
    <t>Wskaźnik 
(3:2)</t>
  </si>
  <si>
    <t>A28</t>
  </si>
  <si>
    <t>A29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</si>
  <si>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</si>
  <si>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</si>
  <si>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</si>
  <si>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</si>
  <si>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</si>
  <si>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</si>
  <si>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</si>
  <si>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A1/A</t>
  </si>
  <si>
    <t>A2/A</t>
  </si>
  <si>
    <t>A3/A</t>
  </si>
  <si>
    <t>A4/A</t>
  </si>
  <si>
    <t>A5/A</t>
  </si>
  <si>
    <t>A6/A</t>
  </si>
  <si>
    <t>A7/A</t>
  </si>
  <si>
    <t>A8/A</t>
  </si>
  <si>
    <t>A9/A</t>
  </si>
  <si>
    <t>A10/A</t>
  </si>
  <si>
    <t>A11/A</t>
  </si>
  <si>
    <t>A12/A</t>
  </si>
  <si>
    <t>A13/A</t>
  </si>
  <si>
    <t>A14/A</t>
  </si>
  <si>
    <t>A15/A</t>
  </si>
  <si>
    <t>A16/A</t>
  </si>
  <si>
    <t>A17/A</t>
  </si>
  <si>
    <t>A18/A</t>
  </si>
  <si>
    <t>A19/A</t>
  </si>
  <si>
    <t>A20/A</t>
  </si>
  <si>
    <t>A21/A</t>
  </si>
  <si>
    <t>A22/A</t>
  </si>
  <si>
    <t>A23/A</t>
  </si>
  <si>
    <t>A24/A</t>
  </si>
  <si>
    <t>A25/A</t>
  </si>
  <si>
    <t>A26/A</t>
  </si>
  <si>
    <t>A27/A</t>
  </si>
  <si>
    <t>A28/A</t>
  </si>
  <si>
    <t>A29/A</t>
  </si>
  <si>
    <t>R4/R1</t>
  </si>
  <si>
    <t>A2/A1</t>
  </si>
  <si>
    <t>A3/A1</t>
  </si>
  <si>
    <t>A4/A1</t>
  </si>
  <si>
    <t>A5/A1</t>
  </si>
  <si>
    <t>A6/A1</t>
  </si>
  <si>
    <t>A7/A1</t>
  </si>
  <si>
    <t>A8/A1</t>
  </si>
  <si>
    <t>A9/A1</t>
  </si>
  <si>
    <t>A10/A1</t>
  </si>
  <si>
    <t>A11/A1</t>
  </si>
  <si>
    <t>A12/A1</t>
  </si>
  <si>
    <t>A13/A1</t>
  </si>
  <si>
    <t>A14/A1</t>
  </si>
  <si>
    <t>B1/B</t>
  </si>
  <si>
    <t>B2/B</t>
  </si>
  <si>
    <t>B3/B</t>
  </si>
  <si>
    <t>B4/B</t>
  </si>
  <si>
    <t>B5/B</t>
  </si>
  <si>
    <t>B6/B</t>
  </si>
  <si>
    <t>B7/B</t>
  </si>
  <si>
    <t>B8/B</t>
  </si>
  <si>
    <t>B9/B</t>
  </si>
  <si>
    <t>C=A-B</t>
  </si>
  <si>
    <t>DW</t>
  </si>
  <si>
    <t>B3=B-B1</t>
  </si>
  <si>
    <t>Struktura</t>
  </si>
  <si>
    <t>Wskaźnik</t>
  </si>
  <si>
    <t>D1W/D1P</t>
  </si>
  <si>
    <t>D11W/D1W</t>
  </si>
  <si>
    <t>D11W/D11P</t>
  </si>
  <si>
    <t>D12W/D1W</t>
  </si>
  <si>
    <t>D12W/D12P</t>
  </si>
  <si>
    <t>D13W/D1W</t>
  </si>
  <si>
    <t>D13W/D13P</t>
  </si>
  <si>
    <t>D14W/D1W</t>
  </si>
  <si>
    <t>D14W/D14P</t>
  </si>
  <si>
    <t>D15W/D1W</t>
  </si>
  <si>
    <t>D15W/D15P</t>
  </si>
  <si>
    <t>D16W/D1W</t>
  </si>
  <si>
    <t>D16W/D16P</t>
  </si>
  <si>
    <t>D21W/D2W</t>
  </si>
  <si>
    <t>D21W/D21P</t>
  </si>
  <si>
    <t>D22W/D2W</t>
  </si>
  <si>
    <t>D22W/D22P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</si>
  <si>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</si>
  <si>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</si>
  <si>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</si>
  <si>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</si>
  <si>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</si>
  <si>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A30</t>
  </si>
  <si>
    <t>A30/A</t>
  </si>
  <si>
    <t>A15/A1</t>
  </si>
  <si>
    <t>A15=A1-A2-A3-A4-A5-A6-A7-A8-A9-A10-A11-A12-A13-A14</t>
  </si>
  <si>
    <t>D2W/D2P</t>
  </si>
  <si>
    <t>A31</t>
  </si>
  <si>
    <t>A32</t>
  </si>
  <si>
    <t>A31/A</t>
  </si>
  <si>
    <t>A32/A</t>
  </si>
  <si>
    <t>D111</t>
  </si>
  <si>
    <t>na realizację programów i projektów realizowanych z udziałem środków pochodzących z funduszy strukturalnych i Funduszu Spójności UE, w tym:</t>
  </si>
  <si>
    <t>D111W/D1W</t>
  </si>
  <si>
    <t>D111W/D111P</t>
  </si>
  <si>
    <t xml:space="preserve">  spłaty pożyczek udzielonych</t>
  </si>
  <si>
    <t xml:space="preserve">  nadwyżka z lat ubiegłych</t>
  </si>
  <si>
    <t xml:space="preserve">  papiery wartościowe</t>
  </si>
  <si>
    <t xml:space="preserve">  obligacje j.s.t. oraz związków komunalnych</t>
  </si>
  <si>
    <t xml:space="preserve">  prywatyzacja majątku j.s.t.</t>
  </si>
  <si>
    <t xml:space="preserve"> ROZCHODY OGÓŁEM     z tego:</t>
  </si>
  <si>
    <t xml:space="preserve">  spłaty kredytów i pożyczek</t>
  </si>
  <si>
    <t>D211</t>
  </si>
  <si>
    <t>D211W/D2W</t>
  </si>
  <si>
    <t>D211W/D211P</t>
  </si>
  <si>
    <t xml:space="preserve">  pożyczki</t>
  </si>
  <si>
    <t xml:space="preserve">  wykup obligacji samorządowych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</si>
  <si>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</si>
  <si>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</si>
  <si>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</si>
  <si>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</si>
  <si>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</si>
  <si>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</si>
  <si>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</si>
  <si>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</si>
  <si>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</si>
  <si>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</si>
  <si>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</si>
  <si>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</si>
  <si>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</si>
  <si>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</si>
  <si>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</si>
  <si>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</si>
  <si>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</si>
  <si>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</si>
  <si>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</si>
  <si>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</si>
  <si>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</si>
  <si>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</si>
  <si>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</si>
  <si>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t>B=Σ§§</t>
  </si>
  <si>
    <t>PL</t>
  </si>
  <si>
    <t>DO</t>
  </si>
  <si>
    <t>SO</t>
  </si>
  <si>
    <t>SU</t>
  </si>
  <si>
    <t>PO</t>
  </si>
  <si>
    <t>UZ</t>
  </si>
  <si>
    <t>OT</t>
  </si>
  <si>
    <t>A = Σ §§</t>
  </si>
  <si>
    <t>ZA</t>
  </si>
  <si>
    <t>WW</t>
  </si>
  <si>
    <t>ZO</t>
  </si>
  <si>
    <t>LU</t>
  </si>
  <si>
    <t>RB</t>
  </si>
  <si>
    <t>WN</t>
  </si>
  <si>
    <t>P</t>
  </si>
  <si>
    <t>W</t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</si>
  <si>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</si>
  <si>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</si>
  <si>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</si>
  <si>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</si>
  <si>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</si>
  <si>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A33</t>
  </si>
  <si>
    <t>A33/A</t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</si>
  <si>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</si>
  <si>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</si>
  <si>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</si>
  <si>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</si>
  <si>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</si>
  <si>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</si>
  <si>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</si>
  <si>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</si>
  <si>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kwartał</t>
  </si>
  <si>
    <t>rok</t>
  </si>
  <si>
    <t>stanNa</t>
  </si>
  <si>
    <t>Symbol=D1</t>
  </si>
  <si>
    <t>Symbol=D11</t>
  </si>
  <si>
    <t>Symbol=D111</t>
  </si>
  <si>
    <t>Symbol=D12</t>
  </si>
  <si>
    <t>Symbol=D13</t>
  </si>
  <si>
    <t>Symbol=D14</t>
  </si>
  <si>
    <t>Symbol=D15</t>
  </si>
  <si>
    <t>Symbol=D16</t>
  </si>
  <si>
    <t>Symbol=D2</t>
  </si>
  <si>
    <t>Symbol=D21</t>
  </si>
  <si>
    <t>Symbol=D211</t>
  </si>
  <si>
    <t>Symbol=D22</t>
  </si>
  <si>
    <t>paragraf zawiera(002)</t>
  </si>
  <si>
    <t>paragraf zawiera(001)</t>
  </si>
  <si>
    <t>paragraf zawiera(032)</t>
  </si>
  <si>
    <t>paragraf zawiera(031)</t>
  </si>
  <si>
    <t>paragraf zawiera(033)</t>
  </si>
  <si>
    <t>paragraf zawiera(034)</t>
  </si>
  <si>
    <t>paragraf zawiera(035)</t>
  </si>
  <si>
    <t>paragraf zawiera(036)</t>
  </si>
  <si>
    <t>paragraf zawiera(050)</t>
  </si>
  <si>
    <t>paragraf zawiera(041)</t>
  </si>
  <si>
    <t>paragraf zawiera(046)</t>
  </si>
  <si>
    <t>paragraf zawiera(043)</t>
  </si>
  <si>
    <t>paragraf zawiera(202,212,222,632,642,652)</t>
  </si>
  <si>
    <t>paragraf zawiera(632,642,652)</t>
  </si>
  <si>
    <t>paragraf zawiera(231,232,233,288,661,662,663,664)</t>
  </si>
  <si>
    <t>paragraf zawiera(661,662,663,664)</t>
  </si>
  <si>
    <t>paragraf zawiera(244,626)</t>
  </si>
  <si>
    <t>paragraf zawiera(626)</t>
  </si>
  <si>
    <t>paragraf zawiera(292) i dzial zawiera(758) i rozdzial zawiera(75803,75804,75807)</t>
  </si>
  <si>
    <t>paragraf zawiera(292) i dzial zawiera(758) i rozdzial zawiera(75801)</t>
  </si>
  <si>
    <t>paragraf zawiera(292) i dzial zawiera(758) i rozdzial zawiera(75805)</t>
  </si>
  <si>
    <t>paragraf zawiera(292) i dzial zawiera(758) i rozdzial zawiera(75831,75832)</t>
  </si>
  <si>
    <t>paragraf zawiera(292) i dzial zawiera(758) i rozdzial zawiera(75833)</t>
  </si>
  <si>
    <t>wydatki z tytułu udzielania poręczeń i gwarancji</t>
  </si>
  <si>
    <t>D23</t>
  </si>
  <si>
    <t>Symbol=D23</t>
  </si>
  <si>
    <t>D23W/D23P</t>
  </si>
  <si>
    <t>D23W/D2W</t>
  </si>
  <si>
    <t>paragraf zawiera(620)</t>
  </si>
  <si>
    <t>paragraf zawiera(200,620)</t>
  </si>
  <si>
    <t>A34</t>
  </si>
  <si>
    <t>A35</t>
  </si>
  <si>
    <t>A34/A</t>
  </si>
  <si>
    <t>A35/A</t>
  </si>
  <si>
    <t>Dotacje ogółem                  z tego:</t>
  </si>
  <si>
    <t>Dotacje ogółem             z tego:</t>
  </si>
  <si>
    <t>A36</t>
  </si>
  <si>
    <t>A36/A</t>
  </si>
  <si>
    <t>świadczenia na rzecz osób fizycznych</t>
  </si>
  <si>
    <r>
      <t xml:space="preserve">Dotacje </t>
    </r>
    <r>
      <rPr>
        <b/>
        <sz val="10"/>
        <color indexed="8"/>
        <rFont val="Arial"/>
        <family val="0"/>
      </rPr>
      <t>§§ 200 i 620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</si>
  <si>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620</t>
    </r>
  </si>
  <si>
    <t xml:space="preserve">wydatki bieżące 
</t>
  </si>
  <si>
    <t>UE</t>
  </si>
  <si>
    <t>UE1</t>
  </si>
  <si>
    <t>UE2</t>
  </si>
  <si>
    <t>UE2=UE-UE1</t>
  </si>
  <si>
    <t>UE1/UE</t>
  </si>
  <si>
    <t>UE2/UE</t>
  </si>
  <si>
    <t>WYDATKI OGÓŁEM UE
z tego:</t>
  </si>
  <si>
    <t>AM</t>
  </si>
  <si>
    <t>majątkowe</t>
  </si>
  <si>
    <t>AM/A</t>
  </si>
  <si>
    <t>AB</t>
  </si>
  <si>
    <t>bieżące</t>
  </si>
  <si>
    <t>AB=A-AM</t>
  </si>
  <si>
    <t>AB/A</t>
  </si>
  <si>
    <t>wydatki majątkowe</t>
  </si>
  <si>
    <t>wydatki bieżące</t>
  </si>
  <si>
    <t>Dochody bieżące 
minus 
wydatki bieżące</t>
  </si>
  <si>
    <t>w złotych</t>
  </si>
  <si>
    <t>paragraf zawiera(630)</t>
  </si>
  <si>
    <t>A37</t>
  </si>
  <si>
    <t>A38</t>
  </si>
  <si>
    <t>A37/A</t>
  </si>
  <si>
    <t>A38/A</t>
  </si>
  <si>
    <t>paragraf zawiera(633,643,653)</t>
  </si>
  <si>
    <t>z tytułu pomocy finansowej udzielanej między jst na dofinansowanie własnych zadań</t>
  </si>
  <si>
    <t>paragraf zawiera(203,204,213,223,287,633,643,653)</t>
  </si>
  <si>
    <t>A17=A18+A20+A22+A24+A26+A28</t>
  </si>
  <si>
    <t>inne źródła</t>
  </si>
  <si>
    <t xml:space="preserve"> E</t>
  </si>
  <si>
    <t>FINANSOWANIE DEFICYTU (E1+E2+E3+E4+E5)  z tego:</t>
  </si>
  <si>
    <t>Symbol=E</t>
  </si>
  <si>
    <t xml:space="preserve"> E1</t>
  </si>
  <si>
    <t>sprzedaż papierów wartościowych wyemitowanych przez jednostkę samorządu terytorialnego</t>
  </si>
  <si>
    <t>Symbol=E1</t>
  </si>
  <si>
    <t xml:space="preserve"> E2</t>
  </si>
  <si>
    <t>kredyty i pożyczki</t>
  </si>
  <si>
    <t>Symbol=E2</t>
  </si>
  <si>
    <t xml:space="preserve"> E3</t>
  </si>
  <si>
    <t>prywatyzacja majątku jednostki samorządu terytorialnego</t>
  </si>
  <si>
    <t>Symbol=E3</t>
  </si>
  <si>
    <t xml:space="preserve"> E4</t>
  </si>
  <si>
    <t>nadwyżka budżetu jednostki samorządu terytorialnego z lat ubiegłych</t>
  </si>
  <si>
    <t>Symbol=E4</t>
  </si>
  <si>
    <t xml:space="preserve"> E5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</si>
  <si>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</si>
  <si>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Symbol=E5</t>
  </si>
  <si>
    <r>
      <t xml:space="preserve">Dotacje </t>
    </r>
    <r>
      <rPr>
        <b/>
        <sz val="10"/>
        <color indexed="8"/>
        <rFont val="Arial"/>
        <family val="0"/>
      </rPr>
      <t>§§ 205 i 625</t>
    </r>
  </si>
  <si>
    <r>
      <t xml:space="preserve">w tym: inwestycyjne </t>
    </r>
    <r>
      <rPr>
        <sz val="8"/>
        <color indexed="8"/>
        <rFont val="Arial"/>
        <family val="0"/>
      </rPr>
      <t>§</t>
    </r>
    <r>
      <rPr>
        <sz val="8"/>
        <color indexed="8"/>
        <rFont val="Arial"/>
        <family val="2"/>
      </rPr>
      <t xml:space="preserve"> 625</t>
    </r>
  </si>
  <si>
    <t>paragraf zawiera(205,625)</t>
  </si>
  <si>
    <t>paragraf zawiera(625)</t>
  </si>
  <si>
    <t>A39</t>
  </si>
  <si>
    <t>A40</t>
  </si>
  <si>
    <t>A34=A35+A36+A37+A38+A39+A40</t>
  </si>
  <si>
    <t>A39/A</t>
  </si>
  <si>
    <t>A40/A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</si>
  <si>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</si>
  <si>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A1=A-A16-A34</t>
  </si>
  <si>
    <t>A16=A17+A30+A32</t>
  </si>
  <si>
    <t>paragraf zawiera(073,074,075,076,077,078,080,081,087)</t>
  </si>
  <si>
    <t>paragraf zawiera(631,634,641,644,645,651)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</si>
  <si>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</si>
  <si>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</si>
  <si>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</si>
  <si>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</si>
  <si>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</si>
  <si>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 , o których mowa w art. 217 ust.2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</si>
  <si>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</si>
  <si>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</si>
  <si>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</si>
  <si>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wydatki na wynagrodzenia i pochodne od wynagrodzeń</t>
  </si>
  <si>
    <t>paragraf zawiera(271,278,630)</t>
  </si>
  <si>
    <t>paragraf zawiera(802,803) lub grupa zawiera(1800)</t>
  </si>
  <si>
    <t>paragraf zawiera(302,303,304,305,307,311,320,321,324,325,326) lub grupa zawiera(1300,1301,1302,1303)</t>
  </si>
  <si>
    <t>B9=B3-B4-B5-B6-B7-B8</t>
  </si>
  <si>
    <t>paragraf zawiera(801,804,806,807,809,811,812,813) lub grupa zawiera(1810)</t>
  </si>
  <si>
    <t>paragraf zawiera(601,603,605,606,613,614,615,617,619,620,621,622,623,625,630,656,657,658,659,661,662,663,664,665,666,669,680) i finpar zawiera(1,2,5,6,7,8,9) lub grupa zawiera (1601,1602,1611,1612)</t>
  </si>
  <si>
    <t>paragraf zawiera(601,603,605,606,613,614,615,617,619,620,621,622,623,625,630,656,657,658,659,661,662,663,664,665,666,669,680) lub grupa zawiera(1600,1601,1602,1610,1611,1612,1620,1630)</t>
  </si>
  <si>
    <t>paragraf zawiera(605,606,613,614,615,617,619,620,621,622,623,625,630,656,657,658,659,661,662,663,664,665,666,669,680) lub grupa zawiera(1600,1601,1602,1610,1611,1612)</t>
  </si>
  <si>
    <t>paragraf zawiera(401,402,404,405,406,407,408,409,410,411,412,417,418,478) lub grupa zawiera(1400,1401,1402,1403)</t>
  </si>
  <si>
    <t>paragraf zawiera(200,205,220,226,227,231,232,233,236,241,243,248,249,250,251,252,253,254,255,256,257,258,259,262,263,264,265,266,271,272,273,278,280,281,282,283,288,290) lub grupa zawiera(1200,1201,1202,1203)</t>
  </si>
  <si>
    <t>finpar zawiera(1,2,5,6,7,8,9) lub grupa zawiera(1101,1102,1201,1202,1301,1302,1401,1402,1601,1602,1611,1612)</t>
  </si>
  <si>
    <t>D13a</t>
  </si>
  <si>
    <t>Symbol=D13a</t>
  </si>
  <si>
    <t>D13aW/D1W</t>
  </si>
  <si>
    <t>D13aW/D13aP</t>
  </si>
  <si>
    <t>niewykorzystane środki pienężne o których mowa w art.217 ust.2 pkt.8 ustawy o finansach publicznych</t>
  </si>
  <si>
    <t xml:space="preserve">niewykorzystane środki pienężne o których mowa w art..217 ust.2 pkt.8 ustawy o finasach publicznych </t>
  </si>
  <si>
    <t>paragraf zawiera(275,276,277,279,618) i dzial zawiera(758) i rozdzial zawiera(75802,75819)</t>
  </si>
  <si>
    <t>paragraf zawiera(076,077,078,080,087,609,610,618,620,625,626,628,629,630,631,632,633,634,635,641,642,643,644,645,651,652,653,656,661,662,663,664,665,666,668,669)</t>
  </si>
  <si>
    <t>paragraf zawiera(201,206,211,216,218,221,238,631,634,641,644,645,651)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</si>
</sst>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1" applyNumberFormat="0" applyAlignment="0" applyProtection="0"/>
    <xf numFmtId="0" fontId="21" fillId="41" borderId="2" applyNumberFormat="0" applyAlignment="0" applyProtection="0"/>
    <xf numFmtId="0" fontId="51" fillId="42" borderId="3" applyNumberFormat="0" applyAlignment="0" applyProtection="0"/>
    <xf numFmtId="0" fontId="52" fillId="43" borderId="4" applyNumberFormat="0" applyAlignment="0" applyProtection="0"/>
    <xf numFmtId="0" fontId="5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5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6" borderId="1" applyNumberFormat="0" applyAlignment="0" applyProtection="0"/>
    <xf numFmtId="0" fontId="54" fillId="0" borderId="8" applyNumberFormat="0" applyFill="0" applyAlignment="0" applyProtection="0"/>
    <xf numFmtId="0" fontId="55" fillId="46" borderId="9" applyNumberFormat="0" applyAlignment="0" applyProtection="0"/>
    <xf numFmtId="0" fontId="28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59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61" fillId="43" borderId="3" applyNumberFormat="0" applyAlignment="0" applyProtection="0"/>
    <xf numFmtId="0" fontId="2" fillId="0" borderId="0" applyNumberFormat="0" applyFill="0" applyBorder="0" applyAlignment="0" applyProtection="0"/>
    <xf numFmtId="0" fontId="30" fillId="40" borderId="15" applyNumberFormat="0" applyAlignment="0" applyProtection="0"/>
    <xf numFmtId="9" fontId="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6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8" fillId="40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 indent="1"/>
    </xf>
    <xf numFmtId="0" fontId="5" fillId="40" borderId="19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4" fontId="12" fillId="4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7" fillId="40" borderId="19" xfId="0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5" fillId="40" borderId="23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8" fillId="0" borderId="24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40" borderId="23" xfId="0" applyNumberFormat="1" applyFont="1" applyFill="1" applyBorder="1" applyAlignment="1">
      <alignment horizontal="right" vertical="center"/>
    </xf>
    <xf numFmtId="4" fontId="8" fillId="40" borderId="19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/>
    </xf>
    <xf numFmtId="168" fontId="3" fillId="0" borderId="19" xfId="0" applyNumberFormat="1" applyFont="1" applyBorder="1" applyAlignment="1">
      <alignment/>
    </xf>
    <xf numFmtId="164" fontId="14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4" fontId="5" fillId="40" borderId="0" xfId="0" applyNumberFormat="1" applyFont="1" applyFill="1" applyBorder="1" applyAlignment="1">
      <alignment horizontal="left" vertical="center"/>
    </xf>
    <xf numFmtId="4" fontId="5" fillId="40" borderId="21" xfId="0" applyNumberFormat="1" applyFont="1" applyFill="1" applyBorder="1" applyAlignment="1">
      <alignment horizontal="left" vertical="center"/>
    </xf>
    <xf numFmtId="4" fontId="5" fillId="40" borderId="0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7" fillId="5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4" fontId="12" fillId="40" borderId="19" xfId="72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40" borderId="19" xfId="0" applyNumberFormat="1" applyFont="1" applyFill="1" applyBorder="1" applyAlignment="1">
      <alignment horizontal="center" vertical="center"/>
    </xf>
    <xf numFmtId="4" fontId="12" fillId="40" borderId="19" xfId="0" applyNumberFormat="1" applyFont="1" applyFill="1" applyBorder="1" applyAlignment="1">
      <alignment horizontal="center" vertical="center"/>
    </xf>
    <xf numFmtId="0" fontId="67" fillId="0" borderId="0" xfId="91" applyFont="1" applyAlignment="1">
      <alignment horizontal="center" vertical="center"/>
      <protection/>
    </xf>
    <xf numFmtId="164" fontId="12" fillId="40" borderId="19" xfId="72" applyNumberFormat="1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4" fontId="12" fillId="40" borderId="26" xfId="0" applyNumberFormat="1" applyFont="1" applyFill="1" applyBorder="1" applyAlignment="1">
      <alignment horizontal="right" vertical="center"/>
    </xf>
    <xf numFmtId="4" fontId="12" fillId="40" borderId="23" xfId="0" applyNumberFormat="1" applyFont="1" applyFill="1" applyBorder="1" applyAlignment="1">
      <alignment horizontal="right" vertical="center"/>
    </xf>
    <xf numFmtId="4" fontId="7" fillId="0" borderId="26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40" borderId="23" xfId="0" applyNumberFormat="1" applyFont="1" applyFill="1" applyBorder="1" applyAlignment="1">
      <alignment horizontal="right" vertical="center"/>
    </xf>
    <xf numFmtId="4" fontId="7" fillId="50" borderId="23" xfId="0" applyNumberFormat="1" applyFont="1" applyFill="1" applyBorder="1" applyAlignment="1">
      <alignment horizontal="right" vertical="center"/>
    </xf>
    <xf numFmtId="0" fontId="67" fillId="0" borderId="19" xfId="91" applyFont="1" applyBorder="1" applyAlignment="1">
      <alignment horizontal="left" vertical="center" wrapText="1"/>
      <protection/>
    </xf>
    <xf numFmtId="4" fontId="7" fillId="40" borderId="26" xfId="0" applyNumberFormat="1" applyFont="1" applyFill="1" applyBorder="1" applyAlignment="1">
      <alignment horizontal="right" vertical="center"/>
    </xf>
    <xf numFmtId="4" fontId="7" fillId="51" borderId="23" xfId="0" applyNumberFormat="1" applyFont="1" applyFill="1" applyBorder="1" applyAlignment="1">
      <alignment horizontal="right" vertical="center"/>
    </xf>
    <xf numFmtId="4" fontId="7" fillId="51" borderId="26" xfId="0" applyNumberFormat="1" applyFont="1" applyFill="1" applyBorder="1" applyAlignment="1">
      <alignment horizontal="right" vertical="center"/>
    </xf>
    <xf numFmtId="4" fontId="12" fillId="52" borderId="26" xfId="0" applyNumberFormat="1" applyFont="1" applyFill="1" applyBorder="1" applyAlignment="1">
      <alignment horizontal="right" vertical="center"/>
    </xf>
    <xf numFmtId="4" fontId="12" fillId="52" borderId="23" xfId="0" applyNumberFormat="1" applyFont="1" applyFill="1" applyBorder="1" applyAlignment="1">
      <alignment horizontal="right" vertical="center"/>
    </xf>
    <xf numFmtId="0" fontId="67" fillId="52" borderId="19" xfId="91" applyFont="1" applyFill="1" applyBorder="1" applyAlignment="1">
      <alignment horizontal="left" vertical="center" wrapText="1"/>
      <protection/>
    </xf>
    <xf numFmtId="164" fontId="12" fillId="51" borderId="19" xfId="72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164" fontId="12" fillId="52" borderId="19" xfId="0" applyNumberFormat="1" applyFont="1" applyFill="1" applyBorder="1" applyAlignment="1">
      <alignment horizontal="right" vertical="center"/>
    </xf>
    <xf numFmtId="0" fontId="11" fillId="40" borderId="19" xfId="0" applyFont="1" applyFill="1" applyBorder="1" applyAlignment="1">
      <alignment horizontal="center" vertical="center" wrapText="1"/>
    </xf>
    <xf numFmtId="4" fontId="12" fillId="40" borderId="19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/>
    </xf>
    <xf numFmtId="0" fontId="8" fillId="52" borderId="19" xfId="0" applyFont="1" applyFill="1" applyBorder="1" applyAlignment="1">
      <alignment horizontal="left" vertical="center" wrapText="1"/>
    </xf>
    <xf numFmtId="4" fontId="14" fillId="52" borderId="19" xfId="0" applyNumberFormat="1" applyFont="1" applyFill="1" applyBorder="1" applyAlignment="1">
      <alignment horizontal="right" vertical="center"/>
    </xf>
    <xf numFmtId="164" fontId="14" fillId="52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4" fontId="5" fillId="52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1" fillId="52" borderId="19" xfId="0" applyFont="1" applyFill="1" applyBorder="1" applyAlignment="1">
      <alignment horizontal="lef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164" fontId="7" fillId="52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164" fontId="12" fillId="0" borderId="19" xfId="0" applyNumberFormat="1" applyFont="1" applyFill="1" applyBorder="1" applyAlignment="1">
      <alignment horizontal="right" vertical="center"/>
    </xf>
    <xf numFmtId="0" fontId="11" fillId="52" borderId="22" xfId="0" applyFont="1" applyFill="1" applyBorder="1" applyAlignment="1">
      <alignment horizontal="left" vertical="center" wrapText="1"/>
    </xf>
    <xf numFmtId="4" fontId="7" fillId="0" borderId="26" xfId="0" applyNumberFormat="1" applyFont="1" applyFill="1" applyBorder="1" applyAlignment="1">
      <alignment horizontal="right" vertical="center"/>
    </xf>
    <xf numFmtId="4" fontId="7" fillId="0" borderId="23" xfId="0" applyNumberFormat="1" applyFont="1" applyFill="1" applyBorder="1" applyAlignment="1">
      <alignment horizontal="right" vertical="center"/>
    </xf>
    <xf numFmtId="164" fontId="12" fillId="0" borderId="19" xfId="72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4" fontId="7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14" fillId="40" borderId="19" xfId="0" applyNumberFormat="1" applyFont="1" applyFill="1" applyBorder="1" applyAlignment="1">
      <alignment horizontal="right" vertical="center" wrapText="1"/>
    </xf>
    <xf numFmtId="4" fontId="12" fillId="52" borderId="19" xfId="0" applyNumberFormat="1" applyFont="1" applyFill="1" applyBorder="1" applyAlignment="1">
      <alignment horizontal="right" vertical="center"/>
    </xf>
    <xf numFmtId="4" fontId="12" fillId="40" borderId="26" xfId="0" applyNumberFormat="1" applyFont="1" applyFill="1" applyBorder="1" applyAlignment="1">
      <alignment vertical="center" wrapText="1"/>
    </xf>
    <xf numFmtId="4" fontId="12" fillId="40" borderId="23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4" fontId="14" fillId="29" borderId="19" xfId="0" applyNumberFormat="1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left" vertical="top" wrapText="1"/>
    </xf>
    <xf numFmtId="4" fontId="5" fillId="0" borderId="27" xfId="0" applyNumberFormat="1" applyFont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left" vertical="center"/>
    </xf>
    <xf numFmtId="4" fontId="8" fillId="40" borderId="19" xfId="0" applyNumberFormat="1" applyFont="1" applyFill="1" applyBorder="1" applyAlignment="1">
      <alignment horizontal="left" vertical="center" wrapText="1"/>
    </xf>
    <xf numFmtId="4" fontId="7" fillId="40" borderId="26" xfId="0" applyNumberFormat="1" applyFont="1" applyFill="1" applyBorder="1" applyAlignment="1">
      <alignment horizontal="left" vertical="top" wrapText="1"/>
    </xf>
    <xf numFmtId="4" fontId="7" fillId="40" borderId="27" xfId="0" applyNumberFormat="1" applyFont="1" applyFill="1" applyBorder="1" applyAlignment="1">
      <alignment horizontal="left" vertical="top" wrapText="1"/>
    </xf>
    <xf numFmtId="4" fontId="7" fillId="40" borderId="23" xfId="0" applyNumberFormat="1" applyFont="1" applyFill="1" applyBorder="1" applyAlignment="1">
      <alignment horizontal="left" vertical="top" wrapText="1"/>
    </xf>
    <xf numFmtId="4" fontId="11" fillId="40" borderId="19" xfId="0" applyNumberFormat="1" applyFont="1" applyFill="1" applyBorder="1" applyAlignment="1">
      <alignment horizontal="left" vertical="center" wrapText="1"/>
    </xf>
    <xf numFmtId="4" fontId="8" fillId="0" borderId="26" xfId="0" applyNumberFormat="1" applyFont="1" applyBorder="1" applyAlignment="1">
      <alignment horizontal="left" vertical="center"/>
    </xf>
    <xf numFmtId="4" fontId="8" fillId="0" borderId="27" xfId="0" applyNumberFormat="1" applyFont="1" applyBorder="1" applyAlignment="1">
      <alignment horizontal="left" vertical="center"/>
    </xf>
    <xf numFmtId="4" fontId="8" fillId="0" borderId="23" xfId="0" applyNumberFormat="1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left" vertical="center"/>
    </xf>
    <xf numFmtId="4" fontId="5" fillId="0" borderId="27" xfId="0" applyNumberFormat="1" applyFont="1" applyBorder="1" applyAlignment="1">
      <alignment horizontal="left" vertical="center"/>
    </xf>
    <xf numFmtId="4" fontId="5" fillId="0" borderId="23" xfId="0" applyNumberFormat="1" applyFont="1" applyBorder="1" applyAlignment="1">
      <alignment horizontal="left" vertical="center"/>
    </xf>
    <xf numFmtId="4" fontId="8" fillId="40" borderId="26" xfId="0" applyNumberFormat="1" applyFont="1" applyFill="1" applyBorder="1" applyAlignment="1">
      <alignment horizontal="left" vertical="center"/>
    </xf>
    <xf numFmtId="4" fontId="8" fillId="40" borderId="27" xfId="0" applyNumberFormat="1" applyFont="1" applyFill="1" applyBorder="1" applyAlignment="1">
      <alignment horizontal="left" vertical="center"/>
    </xf>
    <xf numFmtId="4" fontId="8" fillId="40" borderId="23" xfId="0" applyNumberFormat="1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" fontId="5" fillId="40" borderId="26" xfId="0" applyNumberFormat="1" applyFont="1" applyFill="1" applyBorder="1" applyAlignment="1">
      <alignment horizontal="left" vertical="center"/>
    </xf>
    <xf numFmtId="4" fontId="5" fillId="40" borderId="27" xfId="0" applyNumberFormat="1" applyFont="1" applyFill="1" applyBorder="1" applyAlignment="1">
      <alignment horizontal="left" vertical="center"/>
    </xf>
    <xf numFmtId="4" fontId="5" fillId="40" borderId="23" xfId="0" applyNumberFormat="1" applyFont="1" applyFill="1" applyBorder="1" applyAlignment="1">
      <alignment horizontal="left" vertical="center"/>
    </xf>
    <xf numFmtId="4" fontId="8" fillId="0" borderId="26" xfId="0" applyNumberFormat="1" applyFont="1" applyFill="1" applyBorder="1" applyAlignment="1">
      <alignment horizontal="left" vertical="center"/>
    </xf>
    <xf numFmtId="4" fontId="8" fillId="0" borderId="27" xfId="0" applyNumberFormat="1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horizontal="left" vertical="center"/>
    </xf>
    <xf numFmtId="4" fontId="8" fillId="0" borderId="26" xfId="0" applyNumberFormat="1" applyFont="1" applyFill="1" applyBorder="1" applyAlignment="1">
      <alignment horizontal="left" vertical="top" wrapText="1"/>
    </xf>
    <xf numFmtId="4" fontId="8" fillId="0" borderId="27" xfId="0" applyNumberFormat="1" applyFont="1" applyFill="1" applyBorder="1" applyAlignment="1">
      <alignment horizontal="left" vertical="top" wrapText="1"/>
    </xf>
    <xf numFmtId="4" fontId="8" fillId="0" borderId="23" xfId="0" applyNumberFormat="1" applyFont="1" applyFill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center" wrapText="1" indent="1"/>
    </xf>
    <xf numFmtId="4" fontId="5" fillId="40" borderId="26" xfId="0" applyNumberFormat="1" applyFont="1" applyFill="1" applyBorder="1" applyAlignment="1">
      <alignment horizontal="left" vertical="top" wrapText="1"/>
    </xf>
    <xf numFmtId="4" fontId="5" fillId="40" borderId="27" xfId="0" applyNumberFormat="1" applyFont="1" applyFill="1" applyBorder="1" applyAlignment="1">
      <alignment horizontal="left" vertical="top" wrapText="1"/>
    </xf>
    <xf numFmtId="4" fontId="5" fillId="40" borderId="23" xfId="0" applyNumberFormat="1" applyFont="1" applyFill="1" applyBorder="1" applyAlignment="1">
      <alignment horizontal="left" vertical="top" wrapText="1"/>
    </xf>
    <xf numFmtId="4" fontId="9" fillId="40" borderId="26" xfId="0" applyNumberFormat="1" applyFont="1" applyFill="1" applyBorder="1" applyAlignment="1">
      <alignment horizontal="center" vertical="center"/>
    </xf>
    <xf numFmtId="4" fontId="9" fillId="40" borderId="27" xfId="0" applyNumberFormat="1" applyFont="1" applyFill="1" applyBorder="1" applyAlignment="1">
      <alignment horizontal="center" vertical="center"/>
    </xf>
    <xf numFmtId="4" fontId="9" fillId="40" borderId="23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4" fontId="9" fillId="0" borderId="26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" fontId="5" fillId="40" borderId="19" xfId="0" applyNumberFormat="1" applyFont="1" applyFill="1" applyBorder="1" applyAlignment="1">
      <alignment horizontal="left" vertical="center" wrapText="1"/>
    </xf>
    <xf numFmtId="4" fontId="5" fillId="40" borderId="26" xfId="0" applyNumberFormat="1" applyFont="1" applyFill="1" applyBorder="1" applyAlignment="1">
      <alignment horizontal="left" vertical="center" wrapText="1"/>
    </xf>
    <xf numFmtId="4" fontId="5" fillId="40" borderId="27" xfId="0" applyNumberFormat="1" applyFont="1" applyFill="1" applyBorder="1" applyAlignment="1">
      <alignment horizontal="left" vertical="center" wrapText="1"/>
    </xf>
    <xf numFmtId="4" fontId="5" fillId="40" borderId="23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1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7" fillId="40" borderId="26" xfId="0" applyFont="1" applyFill="1" applyBorder="1" applyAlignment="1">
      <alignment horizontal="left" vertical="center" wrapText="1"/>
    </xf>
    <xf numFmtId="0" fontId="7" fillId="40" borderId="23" xfId="0" applyFont="1" applyFill="1" applyBorder="1" applyAlignment="1">
      <alignment horizontal="left" vertical="center" wrapText="1"/>
    </xf>
    <xf numFmtId="4" fontId="11" fillId="40" borderId="26" xfId="0" applyNumberFormat="1" applyFont="1" applyFill="1" applyBorder="1" applyAlignment="1">
      <alignment horizontal="center" vertical="center"/>
    </xf>
    <xf numFmtId="4" fontId="11" fillId="40" borderId="27" xfId="0" applyNumberFormat="1" applyFont="1" applyFill="1" applyBorder="1" applyAlignment="1">
      <alignment horizontal="center" vertical="center"/>
    </xf>
    <xf numFmtId="4" fontId="11" fillId="40" borderId="23" xfId="0" applyNumberFormat="1" applyFont="1" applyFill="1" applyBorder="1" applyAlignment="1">
      <alignment horizontal="center" vertical="center"/>
    </xf>
    <xf numFmtId="0" fontId="11" fillId="52" borderId="19" xfId="0" applyFont="1" applyFill="1" applyBorder="1" applyAlignment="1">
      <alignment horizontal="left" vertical="center" wrapText="1"/>
    </xf>
    <xf numFmtId="0" fontId="11" fillId="40" borderId="19" xfId="0" applyFont="1" applyFill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1" fillId="40" borderId="26" xfId="0" applyFont="1" applyFill="1" applyBorder="1" applyAlignment="1">
      <alignment horizontal="left" vertical="center" wrapText="1"/>
    </xf>
    <xf numFmtId="0" fontId="11" fillId="40" borderId="23" xfId="0" applyFont="1" applyFill="1" applyBorder="1" applyAlignment="1">
      <alignment horizontal="left" vertical="center"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3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rmalny 2 2" xfId="91"/>
    <cellStyle name="Note" xfId="92"/>
    <cellStyle name="Note 2" xfId="93"/>
    <cellStyle name="Obliczenia" xfId="94"/>
    <cellStyle name="Followed Hyperlink" xfId="95"/>
    <cellStyle name="Output" xfId="96"/>
    <cellStyle name="Percent" xfId="97"/>
    <cellStyle name="Suma" xfId="98"/>
    <cellStyle name="Tekst objaśnienia" xfId="99"/>
    <cellStyle name="Tekst ostrzeżenia" xfId="100"/>
    <cellStyle name="Title" xfId="101"/>
    <cellStyle name="Total" xfId="102"/>
    <cellStyle name="Tytuł" xfId="103"/>
    <cellStyle name="Uwaga" xfId="104"/>
    <cellStyle name="Currency" xfId="105"/>
    <cellStyle name="Currency [0]" xfId="106"/>
    <cellStyle name="Warning Text" xfId="107"/>
    <cellStyle name="Zły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0.37109375" style="1" customWidth="1"/>
    <col min="2" max="2" width="22.875" style="1" customWidth="1"/>
    <col min="3" max="5" width="14.625" style="1" customWidth="1"/>
    <col min="6" max="6" width="13.875" style="1" customWidth="1"/>
    <col min="7" max="8" width="13.00390625" style="1" customWidth="1"/>
    <col min="9" max="9" width="12.00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62.25" customHeight="1">
      <c r="B1" s="131" t="str">
        <f>CONCATENATE("Informacja z wykonania budżetów jednostek samorządu terytorialnego za ",$D$106," ",$C$107," roku")</f>
        <v>Informacja z wykonania budżetów jednostek samorządu terytorialnego za II Kwartały 2021 roku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2.75"/>
    <row r="3" spans="2:13" ht="66.75" customHeight="1">
      <c r="B3" s="132" t="s">
        <v>0</v>
      </c>
      <c r="C3" s="17" t="s">
        <v>185</v>
      </c>
      <c r="D3" s="17" t="s">
        <v>186</v>
      </c>
      <c r="E3" s="17" t="s">
        <v>187</v>
      </c>
      <c r="F3" s="17" t="s">
        <v>188</v>
      </c>
      <c r="G3" s="17" t="s">
        <v>189</v>
      </c>
      <c r="H3" s="17" t="s">
        <v>190</v>
      </c>
      <c r="I3" s="17" t="s">
        <v>191</v>
      </c>
      <c r="J3" s="17" t="s">
        <v>192</v>
      </c>
      <c r="K3" s="19" t="s">
        <v>2</v>
      </c>
      <c r="L3" s="17" t="s">
        <v>67</v>
      </c>
      <c r="M3" s="17" t="s">
        <v>3</v>
      </c>
    </row>
    <row r="4" spans="2:13" ht="12.75">
      <c r="B4" s="132"/>
      <c r="C4" s="133" t="s">
        <v>310</v>
      </c>
      <c r="D4" s="133"/>
      <c r="E4" s="133"/>
      <c r="F4" s="133"/>
      <c r="G4" s="133"/>
      <c r="H4" s="133"/>
      <c r="I4" s="133"/>
      <c r="J4" s="133"/>
      <c r="K4" s="133" t="s">
        <v>4</v>
      </c>
      <c r="L4" s="133"/>
      <c r="M4" s="133"/>
    </row>
    <row r="5" spans="2:13" ht="12.75">
      <c r="B5" s="19">
        <v>1</v>
      </c>
      <c r="C5" s="21">
        <v>2</v>
      </c>
      <c r="D5" s="21">
        <v>3</v>
      </c>
      <c r="E5" s="21">
        <v>4</v>
      </c>
      <c r="F5" s="19">
        <v>5</v>
      </c>
      <c r="G5" s="21">
        <v>6</v>
      </c>
      <c r="H5" s="19">
        <v>7</v>
      </c>
      <c r="I5" s="21">
        <v>8</v>
      </c>
      <c r="J5" s="19">
        <v>9</v>
      </c>
      <c r="K5" s="21">
        <v>10</v>
      </c>
      <c r="L5" s="19">
        <v>11</v>
      </c>
      <c r="M5" s="21">
        <v>12</v>
      </c>
    </row>
    <row r="6" spans="2:13" ht="25.5" customHeight="1">
      <c r="B6" s="105" t="s">
        <v>5</v>
      </c>
      <c r="C6" s="106">
        <f>310163927605.85</f>
        <v>310163927605.85</v>
      </c>
      <c r="D6" s="106">
        <f>163094443671.25</f>
        <v>163094443671.25</v>
      </c>
      <c r="E6" s="106">
        <f>154947845919.55</f>
        <v>154947845919.55</v>
      </c>
      <c r="F6" s="106">
        <f>1829760794.66</f>
        <v>1829760794.66</v>
      </c>
      <c r="G6" s="106">
        <f>501653698.62</f>
        <v>501653698.62</v>
      </c>
      <c r="H6" s="106">
        <f>94583202.18</f>
        <v>94583202.18</v>
      </c>
      <c r="I6" s="106">
        <f>209991555.61</f>
        <v>209991555.61</v>
      </c>
      <c r="J6" s="106">
        <f>780850.01</f>
        <v>780850.01</v>
      </c>
      <c r="K6" s="107">
        <f aca="true" t="shared" si="0" ref="K6:K46">IF($D$6=0,"",100*$D6/$D$6)</f>
        <v>100</v>
      </c>
      <c r="L6" s="107">
        <f aca="true" t="shared" si="1" ref="L6:L50">IF(C6=0,"",100*D6/C6)</f>
        <v>52.583304876931756</v>
      </c>
      <c r="M6" s="107"/>
    </row>
    <row r="7" spans="2:13" ht="38.25" customHeight="1">
      <c r="B7" s="23" t="s">
        <v>229</v>
      </c>
      <c r="C7" s="35">
        <f>C6-C22-C40</f>
        <v>148039365714.22995</v>
      </c>
      <c r="D7" s="35">
        <f>D6-D22-D40</f>
        <v>79470976777.95999</v>
      </c>
      <c r="E7" s="35">
        <f>E6-E22-E40</f>
        <v>75486810015.68</v>
      </c>
      <c r="F7" s="35">
        <f>F6</f>
        <v>1829760794.66</v>
      </c>
      <c r="G7" s="35">
        <f>G6</f>
        <v>501653698.62</v>
      </c>
      <c r="H7" s="35">
        <f>H6</f>
        <v>94583202.18</v>
      </c>
      <c r="I7" s="35">
        <f>I6</f>
        <v>209991555.61</v>
      </c>
      <c r="J7" s="35">
        <f>J6</f>
        <v>780850.01</v>
      </c>
      <c r="K7" s="57">
        <f t="shared" si="0"/>
        <v>48.726967632416645</v>
      </c>
      <c r="L7" s="57">
        <f t="shared" si="1"/>
        <v>53.68232726109351</v>
      </c>
      <c r="M7" s="57">
        <f aca="true" t="shared" si="2" ref="M7:M21">IF($D$7=0,"",100*$D7/$D$7)</f>
        <v>100</v>
      </c>
    </row>
    <row r="8" spans="2:13" ht="32.25" customHeight="1">
      <c r="B8" s="24" t="s">
        <v>183</v>
      </c>
      <c r="C8" s="32">
        <f>10336064564.69</f>
        <v>10336064564.69</v>
      </c>
      <c r="D8" s="32">
        <f>7530375562.39</f>
        <v>7530375562.39</v>
      </c>
      <c r="E8" s="32">
        <f>6704414459.47</f>
        <v>6704414459.47</v>
      </c>
      <c r="F8" s="32">
        <f>0</f>
        <v>0</v>
      </c>
      <c r="G8" s="32">
        <f>0</f>
        <v>0</v>
      </c>
      <c r="H8" s="32">
        <f>0</f>
        <v>0</v>
      </c>
      <c r="I8" s="32">
        <f>0</f>
        <v>0</v>
      </c>
      <c r="J8" s="34">
        <f>0</f>
        <v>0</v>
      </c>
      <c r="K8" s="58">
        <f t="shared" si="0"/>
        <v>4.6171870683522505</v>
      </c>
      <c r="L8" s="58">
        <f t="shared" si="1"/>
        <v>72.85534562269689</v>
      </c>
      <c r="M8" s="58">
        <f t="shared" si="2"/>
        <v>9.475629805620345</v>
      </c>
    </row>
    <row r="9" spans="2:13" ht="32.25" customHeight="1">
      <c r="B9" s="24" t="s">
        <v>70</v>
      </c>
      <c r="C9" s="32">
        <f>57288341411.77</f>
        <v>57288341411.77</v>
      </c>
      <c r="D9" s="32">
        <f>27998948248</f>
        <v>27998948248</v>
      </c>
      <c r="E9" s="32">
        <f>25204324490.81</f>
        <v>25204324490.81</v>
      </c>
      <c r="F9" s="32">
        <f>0</f>
        <v>0</v>
      </c>
      <c r="G9" s="32">
        <f>0</f>
        <v>0</v>
      </c>
      <c r="H9" s="32">
        <f>0</f>
        <v>0</v>
      </c>
      <c r="I9" s="32">
        <f>0</f>
        <v>0</v>
      </c>
      <c r="J9" s="34">
        <f>0</f>
        <v>0</v>
      </c>
      <c r="K9" s="58">
        <f t="shared" si="0"/>
        <v>17.167321962505092</v>
      </c>
      <c r="L9" s="58">
        <f t="shared" si="1"/>
        <v>48.873728158322216</v>
      </c>
      <c r="M9" s="58">
        <f t="shared" si="2"/>
        <v>35.23166492118046</v>
      </c>
    </row>
    <row r="10" spans="2:13" ht="32.25" customHeight="1">
      <c r="B10" s="24" t="s">
        <v>71</v>
      </c>
      <c r="C10" s="32">
        <f>1671230229.94</f>
        <v>1671230229.94</v>
      </c>
      <c r="D10" s="32">
        <f>989278289.62</f>
        <v>989278289.62</v>
      </c>
      <c r="E10" s="32">
        <f>988141096.51</f>
        <v>988141096.51</v>
      </c>
      <c r="F10" s="32">
        <f>74805411.64</f>
        <v>74805411.64</v>
      </c>
      <c r="G10" s="32">
        <f>1402103.92</f>
        <v>1402103.92</v>
      </c>
      <c r="H10" s="32">
        <f>2194671.41</f>
        <v>2194671.41</v>
      </c>
      <c r="I10" s="32">
        <f>2103847.03</f>
        <v>2103847.03</v>
      </c>
      <c r="J10" s="34">
        <f>1866.69</f>
        <v>1866.69</v>
      </c>
      <c r="K10" s="58">
        <f t="shared" si="0"/>
        <v>0.6065677452593612</v>
      </c>
      <c r="L10" s="58">
        <f t="shared" si="1"/>
        <v>59.19461435636649</v>
      </c>
      <c r="M10" s="58">
        <f t="shared" si="2"/>
        <v>1.2448296594919424</v>
      </c>
    </row>
    <row r="11" spans="2:13" ht="32.25" customHeight="1">
      <c r="B11" s="24" t="s">
        <v>72</v>
      </c>
      <c r="C11" s="32">
        <f>25411647219.71</f>
        <v>25411647219.71</v>
      </c>
      <c r="D11" s="32">
        <f>13700593097.23</f>
        <v>13700593097.23</v>
      </c>
      <c r="E11" s="32">
        <f>13742983842.46</f>
        <v>13742983842.46</v>
      </c>
      <c r="F11" s="32">
        <f>1180711697.64</f>
        <v>1180711697.64</v>
      </c>
      <c r="G11" s="32">
        <f>434995375.4</f>
        <v>434995375.4</v>
      </c>
      <c r="H11" s="32">
        <f>78500662.58</f>
        <v>78500662.58</v>
      </c>
      <c r="I11" s="32">
        <f>177692965.39</f>
        <v>177692965.39</v>
      </c>
      <c r="J11" s="34">
        <f>626013.06</f>
        <v>626013.06</v>
      </c>
      <c r="K11" s="58">
        <f t="shared" si="0"/>
        <v>8.400404568561717</v>
      </c>
      <c r="L11" s="58">
        <f t="shared" si="1"/>
        <v>53.91462024785008</v>
      </c>
      <c r="M11" s="58">
        <f t="shared" si="2"/>
        <v>17.239744184231093</v>
      </c>
    </row>
    <row r="12" spans="2:13" ht="32.25" customHeight="1">
      <c r="B12" s="24" t="s">
        <v>73</v>
      </c>
      <c r="C12" s="32">
        <f>307180365.59</f>
        <v>307180365.59</v>
      </c>
      <c r="D12" s="32">
        <f>169232161.25</f>
        <v>169232161.25</v>
      </c>
      <c r="E12" s="32">
        <f>169198355.21</f>
        <v>169198355.21</v>
      </c>
      <c r="F12" s="32">
        <f>787327.73</f>
        <v>787327.73</v>
      </c>
      <c r="G12" s="32">
        <f>326877.21</f>
        <v>326877.21</v>
      </c>
      <c r="H12" s="32">
        <f>63209.2</f>
        <v>63209.2</v>
      </c>
      <c r="I12" s="32">
        <f>32745.86</f>
        <v>32745.86</v>
      </c>
      <c r="J12" s="34">
        <f>142.14</f>
        <v>142.14</v>
      </c>
      <c r="K12" s="58">
        <f t="shared" si="0"/>
        <v>0.1037632904227699</v>
      </c>
      <c r="L12" s="58">
        <f t="shared" si="1"/>
        <v>55.0921153195962</v>
      </c>
      <c r="M12" s="58">
        <f t="shared" si="2"/>
        <v>0.2129483845691624</v>
      </c>
    </row>
    <row r="13" spans="2:13" ht="32.25" customHeight="1">
      <c r="B13" s="24" t="s">
        <v>74</v>
      </c>
      <c r="C13" s="32">
        <f>1209666634.72</f>
        <v>1209666634.72</v>
      </c>
      <c r="D13" s="32">
        <f>647884122.18</f>
        <v>647884122.18</v>
      </c>
      <c r="E13" s="32">
        <f>647827495.71</f>
        <v>647827495.71</v>
      </c>
      <c r="F13" s="32">
        <f>570577888.62</f>
        <v>570577888.62</v>
      </c>
      <c r="G13" s="32">
        <f>1492392.62</f>
        <v>1492392.62</v>
      </c>
      <c r="H13" s="32">
        <f>4226787.23</f>
        <v>4226787.23</v>
      </c>
      <c r="I13" s="32">
        <f>6990422.2</f>
        <v>6990422.2</v>
      </c>
      <c r="J13" s="34">
        <f>9262.98</f>
        <v>9262.98</v>
      </c>
      <c r="K13" s="58">
        <f t="shared" si="0"/>
        <v>0.3972447543865701</v>
      </c>
      <c r="L13" s="58">
        <f t="shared" si="1"/>
        <v>53.55889826042568</v>
      </c>
      <c r="M13" s="58">
        <f t="shared" si="2"/>
        <v>0.8152462049009069</v>
      </c>
    </row>
    <row r="14" spans="2:13" ht="43.5" customHeight="1">
      <c r="B14" s="24" t="s">
        <v>194</v>
      </c>
      <c r="C14" s="32">
        <f>69745733.33</f>
        <v>69745733.33</v>
      </c>
      <c r="D14" s="32">
        <f>72960605.49</f>
        <v>72960605.49</v>
      </c>
      <c r="E14" s="32">
        <f>69597426.25</f>
        <v>69597426.25</v>
      </c>
      <c r="F14" s="32">
        <f>0</f>
        <v>0</v>
      </c>
      <c r="G14" s="32">
        <f>0</f>
        <v>0</v>
      </c>
      <c r="H14" s="32">
        <f>243647.28</f>
        <v>243647.28</v>
      </c>
      <c r="I14" s="32">
        <f>3291872.7</f>
        <v>3291872.7</v>
      </c>
      <c r="J14" s="34">
        <f>0</f>
        <v>0</v>
      </c>
      <c r="K14" s="58">
        <f t="shared" si="0"/>
        <v>0.04473518769104539</v>
      </c>
      <c r="L14" s="58">
        <f t="shared" si="1"/>
        <v>104.60941767547115</v>
      </c>
      <c r="M14" s="58">
        <f t="shared" si="2"/>
        <v>0.09180786300620185</v>
      </c>
    </row>
    <row r="15" spans="2:13" ht="32.25" customHeight="1">
      <c r="B15" s="24" t="s">
        <v>151</v>
      </c>
      <c r="C15" s="32">
        <f>281722913.29</f>
        <v>281722913.29</v>
      </c>
      <c r="D15" s="32">
        <f>183506777.27</f>
        <v>183506777.27</v>
      </c>
      <c r="E15" s="32">
        <f>178669708.37</f>
        <v>178669708.37</v>
      </c>
      <c r="F15" s="32">
        <f>0</f>
        <v>0</v>
      </c>
      <c r="G15" s="32">
        <f>0</f>
        <v>0</v>
      </c>
      <c r="H15" s="32">
        <f>2578330.56</f>
        <v>2578330.56</v>
      </c>
      <c r="I15" s="32">
        <f>6539554.59</f>
        <v>6539554.59</v>
      </c>
      <c r="J15" s="34">
        <f>0</f>
        <v>0</v>
      </c>
      <c r="K15" s="58">
        <f t="shared" si="0"/>
        <v>0.11251565236636461</v>
      </c>
      <c r="L15" s="58">
        <f t="shared" si="1"/>
        <v>65.13732771217715</v>
      </c>
      <c r="M15" s="58">
        <f t="shared" si="2"/>
        <v>0.23091043385903454</v>
      </c>
    </row>
    <row r="16" spans="2:13" ht="32.25" customHeight="1">
      <c r="B16" s="24" t="s">
        <v>152</v>
      </c>
      <c r="C16" s="32">
        <f>2728105315.56</f>
        <v>2728105315.56</v>
      </c>
      <c r="D16" s="32">
        <f>2032212368.16</f>
        <v>2032212368.16</v>
      </c>
      <c r="E16" s="32">
        <f>1991356550.22</f>
        <v>1991356550.22</v>
      </c>
      <c r="F16" s="32">
        <f>0</f>
        <v>0</v>
      </c>
      <c r="G16" s="32">
        <f>0</f>
        <v>0</v>
      </c>
      <c r="H16" s="32">
        <f>135785.69</f>
        <v>135785.69</v>
      </c>
      <c r="I16" s="32">
        <f>344479.28</f>
        <v>344479.28</v>
      </c>
      <c r="J16" s="34">
        <f>0</f>
        <v>0</v>
      </c>
      <c r="K16" s="58">
        <f t="shared" si="0"/>
        <v>1.24603409068695</v>
      </c>
      <c r="L16" s="58">
        <f t="shared" si="1"/>
        <v>74.49171249251594</v>
      </c>
      <c r="M16" s="58">
        <f t="shared" si="2"/>
        <v>2.557175525648757</v>
      </c>
    </row>
    <row r="17" spans="2:13" ht="32.25" customHeight="1">
      <c r="B17" s="24" t="s">
        <v>153</v>
      </c>
      <c r="C17" s="32">
        <f>491604352.37</f>
        <v>491604352.37</v>
      </c>
      <c r="D17" s="32">
        <f>286956476.89</f>
        <v>286956476.89</v>
      </c>
      <c r="E17" s="32">
        <f>286734777.31</f>
        <v>286734777.31</v>
      </c>
      <c r="F17" s="32">
        <f>0</f>
        <v>0</v>
      </c>
      <c r="G17" s="32">
        <f>0</f>
        <v>0</v>
      </c>
      <c r="H17" s="32">
        <f>4469</f>
        <v>4469</v>
      </c>
      <c r="I17" s="32">
        <f>7468.72</f>
        <v>7468.72</v>
      </c>
      <c r="J17" s="34">
        <f>0</f>
        <v>0</v>
      </c>
      <c r="K17" s="58">
        <f t="shared" si="0"/>
        <v>0.17594497423126143</v>
      </c>
      <c r="L17" s="58">
        <f t="shared" si="1"/>
        <v>58.37142724766312</v>
      </c>
      <c r="M17" s="58">
        <f t="shared" si="2"/>
        <v>0.36108336467506813</v>
      </c>
    </row>
    <row r="18" spans="2:13" ht="32.25" customHeight="1">
      <c r="B18" s="24" t="s">
        <v>154</v>
      </c>
      <c r="C18" s="32">
        <f>423190240.24</f>
        <v>423190240.24</v>
      </c>
      <c r="D18" s="32">
        <f>216424225.06</f>
        <v>216424225.06</v>
      </c>
      <c r="E18" s="32">
        <f>213359739.11</f>
        <v>213359739.11</v>
      </c>
      <c r="F18" s="32">
        <f>0</f>
        <v>0</v>
      </c>
      <c r="G18" s="32">
        <f>0</f>
        <v>0</v>
      </c>
      <c r="H18" s="32">
        <f>2639.89</f>
        <v>2639.89</v>
      </c>
      <c r="I18" s="32">
        <f>291529.22</f>
        <v>291529.22</v>
      </c>
      <c r="J18" s="34">
        <f>0</f>
        <v>0</v>
      </c>
      <c r="K18" s="58">
        <f t="shared" si="0"/>
        <v>0.13269871136520567</v>
      </c>
      <c r="L18" s="58">
        <f t="shared" si="1"/>
        <v>51.141119165995256</v>
      </c>
      <c r="M18" s="58">
        <f t="shared" si="2"/>
        <v>0.2723311501061376</v>
      </c>
    </row>
    <row r="19" spans="2:13" ht="32.25" customHeight="1">
      <c r="B19" s="24" t="s">
        <v>155</v>
      </c>
      <c r="C19" s="32">
        <f>8317017.09</f>
        <v>8317017.09</v>
      </c>
      <c r="D19" s="32">
        <f>2334053.98</f>
        <v>2334053.98</v>
      </c>
      <c r="E19" s="32">
        <f>2348912.69</f>
        <v>2348912.69</v>
      </c>
      <c r="F19" s="32">
        <f>51591.31</f>
        <v>51591.31</v>
      </c>
      <c r="G19" s="32">
        <f>0</f>
        <v>0</v>
      </c>
      <c r="H19" s="32">
        <f>4082.5</f>
        <v>4082.5</v>
      </c>
      <c r="I19" s="32">
        <f>158771.71</f>
        <v>158771.71</v>
      </c>
      <c r="J19" s="34">
        <f>0</f>
        <v>0</v>
      </c>
      <c r="K19" s="58">
        <f t="shared" si="0"/>
        <v>0.001431105761459759</v>
      </c>
      <c r="L19" s="58">
        <f t="shared" si="1"/>
        <v>28.063594853091736</v>
      </c>
      <c r="M19" s="58">
        <f t="shared" si="2"/>
        <v>0.002936989168412125</v>
      </c>
    </row>
    <row r="20" spans="2:13" ht="32.25" customHeight="1">
      <c r="B20" s="24" t="s">
        <v>75</v>
      </c>
      <c r="C20" s="32">
        <f>9563205605.6</f>
        <v>9563205605.6</v>
      </c>
      <c r="D20" s="32">
        <f>4514286884.52</f>
        <v>4514286884.52</v>
      </c>
      <c r="E20" s="32">
        <f>4513367491.31</f>
        <v>4513367491.31</v>
      </c>
      <c r="F20" s="32">
        <f>0</f>
        <v>0</v>
      </c>
      <c r="G20" s="32">
        <f>50026.6</f>
        <v>50026.6</v>
      </c>
      <c r="H20" s="32">
        <f>0</f>
        <v>0</v>
      </c>
      <c r="I20" s="32">
        <f>122480.7</f>
        <v>122480.7</v>
      </c>
      <c r="J20" s="34">
        <f>0</f>
        <v>0</v>
      </c>
      <c r="K20" s="58">
        <f t="shared" si="0"/>
        <v>2.7678974114038266</v>
      </c>
      <c r="L20" s="58">
        <f t="shared" si="1"/>
        <v>47.20474567520053</v>
      </c>
      <c r="M20" s="58">
        <f t="shared" si="2"/>
        <v>5.6804220453119765</v>
      </c>
    </row>
    <row r="21" spans="2:13" ht="32.25" customHeight="1">
      <c r="B21" s="24" t="s">
        <v>76</v>
      </c>
      <c r="C21" s="32">
        <f>C7-C8-C9-C10-C11-C12-C13-C14-C15-C16-C17-C18-C19-C20</f>
        <v>38249344110.32996</v>
      </c>
      <c r="D21" s="32">
        <f aca="true" t="shared" si="3" ref="D21:J21">D7-D8-D9-D10-D11-D12-D13-D14-D15-D16-D17-D18-D19-D20</f>
        <v>21125983905.919987</v>
      </c>
      <c r="E21" s="32">
        <f t="shared" si="3"/>
        <v>20774485670.249992</v>
      </c>
      <c r="F21" s="32">
        <f t="shared" si="3"/>
        <v>2826877.719999852</v>
      </c>
      <c r="G21" s="32">
        <f t="shared" si="3"/>
        <v>63386922.87000001</v>
      </c>
      <c r="H21" s="32">
        <f t="shared" si="3"/>
        <v>6628916.840000013</v>
      </c>
      <c r="I21" s="32">
        <f t="shared" si="3"/>
        <v>12415418.210000029</v>
      </c>
      <c r="J21" s="34">
        <f t="shared" si="3"/>
        <v>143565.13999999998</v>
      </c>
      <c r="K21" s="58">
        <f t="shared" si="0"/>
        <v>12.953221109422772</v>
      </c>
      <c r="L21" s="58">
        <f t="shared" si="1"/>
        <v>55.23227756528906</v>
      </c>
      <c r="M21" s="58">
        <f t="shared" si="2"/>
        <v>26.583269468230498</v>
      </c>
    </row>
    <row r="22" spans="2:13" ht="36.75" customHeight="1">
      <c r="B22" s="105" t="s">
        <v>285</v>
      </c>
      <c r="C22" s="106">
        <f>C23+C36+C38</f>
        <v>92743149072.62003</v>
      </c>
      <c r="D22" s="106">
        <f>D23+D36+D38</f>
        <v>42886394399.29001</v>
      </c>
      <c r="E22" s="106">
        <f>E23+E36+E38</f>
        <v>42650423355.87</v>
      </c>
      <c r="F22" s="109" t="s">
        <v>228</v>
      </c>
      <c r="G22" s="109" t="s">
        <v>228</v>
      </c>
      <c r="H22" s="109" t="s">
        <v>228</v>
      </c>
      <c r="I22" s="109" t="s">
        <v>228</v>
      </c>
      <c r="J22" s="109" t="s">
        <v>228</v>
      </c>
      <c r="K22" s="107">
        <f t="shared" si="0"/>
        <v>26.29543559787742</v>
      </c>
      <c r="L22" s="107">
        <f t="shared" si="1"/>
        <v>46.242115809232416</v>
      </c>
      <c r="M22" s="110"/>
    </row>
    <row r="23" spans="2:13" ht="36.75" customHeight="1">
      <c r="B23" s="105" t="s">
        <v>230</v>
      </c>
      <c r="C23" s="106">
        <f>C24+C26+C28+C30+C32+C34</f>
        <v>69709340779.77002</v>
      </c>
      <c r="D23" s="106">
        <f>D24+D26+D28+D30+D32+D34</f>
        <v>36079675097.50001</v>
      </c>
      <c r="E23" s="106">
        <f>E24+E26+E28+E30+E32+E34</f>
        <v>35884882719.32001</v>
      </c>
      <c r="F23" s="109" t="s">
        <v>228</v>
      </c>
      <c r="G23" s="109" t="s">
        <v>228</v>
      </c>
      <c r="H23" s="109" t="s">
        <v>228</v>
      </c>
      <c r="I23" s="109" t="s">
        <v>228</v>
      </c>
      <c r="J23" s="109" t="s">
        <v>228</v>
      </c>
      <c r="K23" s="107">
        <f t="shared" si="0"/>
        <v>22.121952339606324</v>
      </c>
      <c r="L23" s="107">
        <f t="shared" si="1"/>
        <v>51.75730353194002</v>
      </c>
      <c r="M23" s="110"/>
    </row>
    <row r="24" spans="2:13" ht="33.75" customHeight="1">
      <c r="B24" s="108" t="s">
        <v>9</v>
      </c>
      <c r="C24" s="34">
        <f>60077063059.1</f>
        <v>60077063059.1</v>
      </c>
      <c r="D24" s="34">
        <f>32108166432.67</f>
        <v>32108166432.67</v>
      </c>
      <c r="E24" s="34">
        <f>31930117349.43</f>
        <v>31930117349.43</v>
      </c>
      <c r="F24" s="34" t="s">
        <v>228</v>
      </c>
      <c r="G24" s="34" t="s">
        <v>228</v>
      </c>
      <c r="H24" s="34" t="s">
        <v>228</v>
      </c>
      <c r="I24" s="34" t="s">
        <v>228</v>
      </c>
      <c r="J24" s="34" t="s">
        <v>228</v>
      </c>
      <c r="K24" s="58">
        <f t="shared" si="0"/>
        <v>19.68685487372613</v>
      </c>
      <c r="L24" s="58">
        <f t="shared" si="1"/>
        <v>53.444966843808636</v>
      </c>
      <c r="M24" s="45"/>
    </row>
    <row r="25" spans="2:13" ht="21" customHeight="1">
      <c r="B25" s="111" t="s">
        <v>6</v>
      </c>
      <c r="C25" s="34">
        <f>145794471.61</f>
        <v>145794471.61</v>
      </c>
      <c r="D25" s="34">
        <f>51751151.09</f>
        <v>51751151.09</v>
      </c>
      <c r="E25" s="34">
        <f>51749980.7</f>
        <v>51749980.7</v>
      </c>
      <c r="F25" s="34" t="s">
        <v>228</v>
      </c>
      <c r="G25" s="34" t="s">
        <v>228</v>
      </c>
      <c r="H25" s="34" t="s">
        <v>228</v>
      </c>
      <c r="I25" s="34" t="s">
        <v>228</v>
      </c>
      <c r="J25" s="34" t="s">
        <v>228</v>
      </c>
      <c r="K25" s="58">
        <f t="shared" si="0"/>
        <v>0.03173078734326165</v>
      </c>
      <c r="L25" s="58">
        <f t="shared" si="1"/>
        <v>35.49596258247312</v>
      </c>
      <c r="M25" s="45"/>
    </row>
    <row r="26" spans="2:13" ht="33.75" customHeight="1">
      <c r="B26" s="108" t="s">
        <v>7</v>
      </c>
      <c r="C26" s="34">
        <f>5826337646.44</f>
        <v>5826337646.44</v>
      </c>
      <c r="D26" s="34">
        <f>2740624107.41</f>
        <v>2740624107.41</v>
      </c>
      <c r="E26" s="34">
        <f>2729157511.62</f>
        <v>2729157511.62</v>
      </c>
      <c r="F26" s="34" t="s">
        <v>228</v>
      </c>
      <c r="G26" s="34" t="s">
        <v>228</v>
      </c>
      <c r="H26" s="34" t="s">
        <v>228</v>
      </c>
      <c r="I26" s="34" t="s">
        <v>228</v>
      </c>
      <c r="J26" s="34" t="s">
        <v>228</v>
      </c>
      <c r="K26" s="58">
        <f t="shared" si="0"/>
        <v>1.680390849448118</v>
      </c>
      <c r="L26" s="58">
        <f t="shared" si="1"/>
        <v>47.03853902261521</v>
      </c>
      <c r="M26" s="45"/>
    </row>
    <row r="27" spans="2:13" ht="21" customHeight="1">
      <c r="B27" s="111" t="s">
        <v>6</v>
      </c>
      <c r="C27" s="34">
        <f>663472938.54</f>
        <v>663472938.54</v>
      </c>
      <c r="D27" s="34">
        <f>114818180.34</f>
        <v>114818180.34</v>
      </c>
      <c r="E27" s="34">
        <f>114807972.83</f>
        <v>114807972.83</v>
      </c>
      <c r="F27" s="34" t="s">
        <v>228</v>
      </c>
      <c r="G27" s="34" t="s">
        <v>228</v>
      </c>
      <c r="H27" s="34" t="s">
        <v>228</v>
      </c>
      <c r="I27" s="34" t="s">
        <v>228</v>
      </c>
      <c r="J27" s="34" t="s">
        <v>228</v>
      </c>
      <c r="K27" s="58">
        <f t="shared" si="0"/>
        <v>0.07039981114956888</v>
      </c>
      <c r="L27" s="58">
        <f t="shared" si="1"/>
        <v>17.305631273019547</v>
      </c>
      <c r="M27" s="45"/>
    </row>
    <row r="28" spans="2:13" ht="39.75" customHeight="1">
      <c r="B28" s="108" t="s">
        <v>10</v>
      </c>
      <c r="C28" s="34">
        <f>244808458.69</f>
        <v>244808458.69</v>
      </c>
      <c r="D28" s="34">
        <f>133118636.43</f>
        <v>133118636.43</v>
      </c>
      <c r="E28" s="34">
        <f>130798731.24</f>
        <v>130798731.24</v>
      </c>
      <c r="F28" s="34" t="s">
        <v>228</v>
      </c>
      <c r="G28" s="34" t="s">
        <v>228</v>
      </c>
      <c r="H28" s="34" t="s">
        <v>228</v>
      </c>
      <c r="I28" s="34" t="s">
        <v>228</v>
      </c>
      <c r="J28" s="34" t="s">
        <v>228</v>
      </c>
      <c r="K28" s="58">
        <f t="shared" si="0"/>
        <v>0.08162058340768964</v>
      </c>
      <c r="L28" s="58">
        <f t="shared" si="1"/>
        <v>54.376649051398836</v>
      </c>
      <c r="M28" s="45"/>
    </row>
    <row r="29" spans="2:13" ht="21" customHeight="1">
      <c r="B29" s="111" t="s">
        <v>6</v>
      </c>
      <c r="C29" s="34">
        <f>19948284.43</f>
        <v>19948284.43</v>
      </c>
      <c r="D29" s="34">
        <f>5868223.03</f>
        <v>5868223.03</v>
      </c>
      <c r="E29" s="34">
        <f>5759126.23</f>
        <v>5759126.23</v>
      </c>
      <c r="F29" s="34" t="s">
        <v>228</v>
      </c>
      <c r="G29" s="34" t="s">
        <v>228</v>
      </c>
      <c r="H29" s="34" t="s">
        <v>228</v>
      </c>
      <c r="I29" s="34" t="s">
        <v>228</v>
      </c>
      <c r="J29" s="34" t="s">
        <v>228</v>
      </c>
      <c r="K29" s="58">
        <f t="shared" si="0"/>
        <v>0.0035980520843668937</v>
      </c>
      <c r="L29" s="58">
        <f t="shared" si="1"/>
        <v>29.417181465363736</v>
      </c>
      <c r="M29" s="45"/>
    </row>
    <row r="30" spans="2:13" ht="39.75" customHeight="1">
      <c r="B30" s="108" t="s">
        <v>11</v>
      </c>
      <c r="C30" s="34">
        <f>1510823774.98</f>
        <v>1510823774.98</v>
      </c>
      <c r="D30" s="34">
        <f>608521753.58</f>
        <v>608521753.58</v>
      </c>
      <c r="E30" s="34">
        <f>607271020.48</f>
        <v>607271020.48</v>
      </c>
      <c r="F30" s="34" t="s">
        <v>228</v>
      </c>
      <c r="G30" s="34" t="s">
        <v>228</v>
      </c>
      <c r="H30" s="34" t="s">
        <v>228</v>
      </c>
      <c r="I30" s="34" t="s">
        <v>228</v>
      </c>
      <c r="J30" s="34" t="s">
        <v>228</v>
      </c>
      <c r="K30" s="58">
        <f t="shared" si="0"/>
        <v>0.37311004586189295</v>
      </c>
      <c r="L30" s="58">
        <f t="shared" si="1"/>
        <v>40.27748064714269</v>
      </c>
      <c r="M30" s="45"/>
    </row>
    <row r="31" spans="2:13" ht="21" customHeight="1">
      <c r="B31" s="111" t="s">
        <v>6</v>
      </c>
      <c r="C31" s="34">
        <f>363477072.68</f>
        <v>363477072.68</v>
      </c>
      <c r="D31" s="34">
        <f>45057693.74</f>
        <v>45057693.74</v>
      </c>
      <c r="E31" s="34">
        <f>44920557.11</f>
        <v>44920557.11</v>
      </c>
      <c r="F31" s="34" t="s">
        <v>228</v>
      </c>
      <c r="G31" s="34" t="s">
        <v>228</v>
      </c>
      <c r="H31" s="34" t="s">
        <v>228</v>
      </c>
      <c r="I31" s="34" t="s">
        <v>228</v>
      </c>
      <c r="J31" s="34" t="s">
        <v>228</v>
      </c>
      <c r="K31" s="58">
        <f t="shared" si="0"/>
        <v>0.02762674970756388</v>
      </c>
      <c r="L31" s="58">
        <f t="shared" si="1"/>
        <v>12.39629597756449</v>
      </c>
      <c r="M31" s="45"/>
    </row>
    <row r="32" spans="2:13" ht="39.75" customHeight="1">
      <c r="B32" s="108" t="s">
        <v>317</v>
      </c>
      <c r="C32" s="34">
        <f>1425623497.07</f>
        <v>1425623497.07</v>
      </c>
      <c r="D32" s="34">
        <f>351090315.87</f>
        <v>351090315.87</v>
      </c>
      <c r="E32" s="34">
        <f>350840436.44</f>
        <v>350840436.44</v>
      </c>
      <c r="F32" s="34" t="s">
        <v>228</v>
      </c>
      <c r="G32" s="34" t="s">
        <v>228</v>
      </c>
      <c r="H32" s="34" t="s">
        <v>228</v>
      </c>
      <c r="I32" s="34" t="s">
        <v>228</v>
      </c>
      <c r="J32" s="34" t="s">
        <v>228</v>
      </c>
      <c r="K32" s="58">
        <f t="shared" si="0"/>
        <v>0.21526810353986914</v>
      </c>
      <c r="L32" s="58">
        <f t="shared" si="1"/>
        <v>24.62714149925105</v>
      </c>
      <c r="M32" s="45"/>
    </row>
    <row r="33" spans="2:13" ht="24" customHeight="1">
      <c r="B33" s="111" t="s">
        <v>6</v>
      </c>
      <c r="C33" s="34">
        <f>1192456487.99</f>
        <v>1192456487.99</v>
      </c>
      <c r="D33" s="34">
        <f>259752269.44</f>
        <v>259752269.44</v>
      </c>
      <c r="E33" s="34">
        <f>259586227.18</f>
        <v>259586227.18</v>
      </c>
      <c r="F33" s="34" t="s">
        <v>228</v>
      </c>
      <c r="G33" s="34" t="s">
        <v>228</v>
      </c>
      <c r="H33" s="34" t="s">
        <v>228</v>
      </c>
      <c r="I33" s="34" t="s">
        <v>228</v>
      </c>
      <c r="J33" s="34" t="s">
        <v>228</v>
      </c>
      <c r="K33" s="58">
        <f t="shared" si="0"/>
        <v>0.15926494097100174</v>
      </c>
      <c r="L33" s="58">
        <f t="shared" si="1"/>
        <v>21.7829557770982</v>
      </c>
      <c r="M33" s="45"/>
    </row>
    <row r="34" spans="2:13" ht="22.5" customHeight="1">
      <c r="B34" s="108" t="s">
        <v>8</v>
      </c>
      <c r="C34" s="34">
        <f>624684343.49</f>
        <v>624684343.49</v>
      </c>
      <c r="D34" s="34">
        <f>138153851.54</f>
        <v>138153851.54</v>
      </c>
      <c r="E34" s="34">
        <f>136697670.11</f>
        <v>136697670.11</v>
      </c>
      <c r="F34" s="34" t="s">
        <v>228</v>
      </c>
      <c r="G34" s="34" t="s">
        <v>228</v>
      </c>
      <c r="H34" s="34" t="s">
        <v>228</v>
      </c>
      <c r="I34" s="34" t="s">
        <v>228</v>
      </c>
      <c r="J34" s="34" t="s">
        <v>228</v>
      </c>
      <c r="K34" s="58">
        <f t="shared" si="0"/>
        <v>0.08470788362261879</v>
      </c>
      <c r="L34" s="58">
        <f t="shared" si="1"/>
        <v>22.115785833235243</v>
      </c>
      <c r="M34" s="45"/>
    </row>
    <row r="35" spans="2:13" ht="21" customHeight="1">
      <c r="B35" s="111" t="s">
        <v>6</v>
      </c>
      <c r="C35" s="34">
        <f>458798488.9</f>
        <v>458798488.9</v>
      </c>
      <c r="D35" s="34">
        <f>77459764.67</f>
        <v>77459764.67</v>
      </c>
      <c r="E35" s="34">
        <f>76353622.23</f>
        <v>76353622.23</v>
      </c>
      <c r="F35" s="34" t="s">
        <v>228</v>
      </c>
      <c r="G35" s="34" t="s">
        <v>228</v>
      </c>
      <c r="H35" s="34" t="s">
        <v>228</v>
      </c>
      <c r="I35" s="34" t="s">
        <v>228</v>
      </c>
      <c r="J35" s="34" t="s">
        <v>228</v>
      </c>
      <c r="K35" s="58">
        <f t="shared" si="0"/>
        <v>0.047493809676395785</v>
      </c>
      <c r="L35" s="58">
        <f t="shared" si="1"/>
        <v>16.88317780987356</v>
      </c>
      <c r="M35" s="45"/>
    </row>
    <row r="36" spans="2:13" ht="25.5" customHeight="1">
      <c r="B36" s="105" t="s">
        <v>290</v>
      </c>
      <c r="C36" s="106">
        <f>3096431622.81</f>
        <v>3096431622.81</v>
      </c>
      <c r="D36" s="106">
        <f>1156457662.21</f>
        <v>1156457662.21</v>
      </c>
      <c r="E36" s="106">
        <f>1147004063.52</f>
        <v>1147004063.52</v>
      </c>
      <c r="F36" s="109" t="s">
        <v>228</v>
      </c>
      <c r="G36" s="109" t="s">
        <v>228</v>
      </c>
      <c r="H36" s="109" t="s">
        <v>228</v>
      </c>
      <c r="I36" s="109" t="s">
        <v>228</v>
      </c>
      <c r="J36" s="109" t="s">
        <v>228</v>
      </c>
      <c r="K36" s="107">
        <f t="shared" si="0"/>
        <v>0.7090723854094475</v>
      </c>
      <c r="L36" s="107">
        <f t="shared" si="1"/>
        <v>37.348076853721025</v>
      </c>
      <c r="M36" s="45"/>
    </row>
    <row r="37" spans="2:13" ht="19.5" customHeight="1">
      <c r="B37" s="50" t="s">
        <v>291</v>
      </c>
      <c r="C37" s="32">
        <f>2245876206.41</f>
        <v>2245876206.41</v>
      </c>
      <c r="D37" s="32">
        <f>755108985.56</f>
        <v>755108985.56</v>
      </c>
      <c r="E37" s="32">
        <f>752685329.03</f>
        <v>752685329.03</v>
      </c>
      <c r="F37" s="32" t="s">
        <v>228</v>
      </c>
      <c r="G37" s="32" t="s">
        <v>228</v>
      </c>
      <c r="H37" s="32" t="s">
        <v>228</v>
      </c>
      <c r="I37" s="32" t="s">
        <v>228</v>
      </c>
      <c r="J37" s="32" t="s">
        <v>228</v>
      </c>
      <c r="K37" s="58">
        <f t="shared" si="0"/>
        <v>0.46298878647397435</v>
      </c>
      <c r="L37" s="58">
        <f t="shared" si="1"/>
        <v>33.62202170381558</v>
      </c>
      <c r="M37" s="45"/>
    </row>
    <row r="38" spans="2:13" ht="25.5" customHeight="1">
      <c r="B38" s="105" t="s">
        <v>339</v>
      </c>
      <c r="C38" s="106">
        <f>19937376670.04</f>
        <v>19937376670.04</v>
      </c>
      <c r="D38" s="106">
        <f>5650261639.58</f>
        <v>5650261639.58</v>
      </c>
      <c r="E38" s="106">
        <f>5618536573.03</f>
        <v>5618536573.03</v>
      </c>
      <c r="F38" s="109" t="s">
        <v>228</v>
      </c>
      <c r="G38" s="109" t="s">
        <v>228</v>
      </c>
      <c r="H38" s="109" t="s">
        <v>228</v>
      </c>
      <c r="I38" s="109" t="s">
        <v>228</v>
      </c>
      <c r="J38" s="109" t="s">
        <v>228</v>
      </c>
      <c r="K38" s="107">
        <f t="shared" si="0"/>
        <v>3.4644108728616474</v>
      </c>
      <c r="L38" s="107">
        <f t="shared" si="1"/>
        <v>28.340045599232106</v>
      </c>
      <c r="M38" s="45"/>
    </row>
    <row r="39" spans="2:13" ht="21" customHeight="1">
      <c r="B39" s="50" t="s">
        <v>340</v>
      </c>
      <c r="C39" s="32">
        <f>16114773242.64</f>
        <v>16114773242.64</v>
      </c>
      <c r="D39" s="32">
        <f>3833912774.63</f>
        <v>3833912774.63</v>
      </c>
      <c r="E39" s="32">
        <f>3825871618.43</f>
        <v>3825871618.43</v>
      </c>
      <c r="F39" s="32" t="s">
        <v>228</v>
      </c>
      <c r="G39" s="32" t="s">
        <v>228</v>
      </c>
      <c r="H39" s="32" t="s">
        <v>228</v>
      </c>
      <c r="I39" s="32" t="s">
        <v>228</v>
      </c>
      <c r="J39" s="32" t="s">
        <v>228</v>
      </c>
      <c r="K39" s="58">
        <f t="shared" si="0"/>
        <v>2.350731691606877</v>
      </c>
      <c r="L39" s="58">
        <f t="shared" si="1"/>
        <v>23.79129210757613</v>
      </c>
      <c r="M39" s="45"/>
    </row>
    <row r="40" spans="2:13" ht="35.25" customHeight="1">
      <c r="B40" s="105" t="s">
        <v>231</v>
      </c>
      <c r="C40" s="106">
        <f>C41+C42+C43+C44+C45+C46</f>
        <v>69381412819</v>
      </c>
      <c r="D40" s="106">
        <f>D41+D42+D43+D44+D45+D46</f>
        <v>40737072494</v>
      </c>
      <c r="E40" s="106">
        <f>E41+E42+E43+E44+E45+E46</f>
        <v>36810612548</v>
      </c>
      <c r="F40" s="109" t="s">
        <v>228</v>
      </c>
      <c r="G40" s="109" t="s">
        <v>228</v>
      </c>
      <c r="H40" s="109" t="s">
        <v>228</v>
      </c>
      <c r="I40" s="109" t="s">
        <v>228</v>
      </c>
      <c r="J40" s="109" t="s">
        <v>228</v>
      </c>
      <c r="K40" s="107">
        <f t="shared" si="0"/>
        <v>24.977596769705933</v>
      </c>
      <c r="L40" s="107">
        <f t="shared" si="1"/>
        <v>58.71467708545164</v>
      </c>
      <c r="M40" s="45"/>
    </row>
    <row r="41" spans="2:13" ht="26.25" customHeight="1">
      <c r="B41" s="24" t="s">
        <v>198</v>
      </c>
      <c r="C41" s="32">
        <f>14240205477</f>
        <v>14240205477</v>
      </c>
      <c r="D41" s="32">
        <f>7120105938</f>
        <v>7120105938</v>
      </c>
      <c r="E41" s="32">
        <f>7119489009</f>
        <v>7119489009</v>
      </c>
      <c r="F41" s="32" t="s">
        <v>228</v>
      </c>
      <c r="G41" s="32" t="s">
        <v>228</v>
      </c>
      <c r="H41" s="32" t="s">
        <v>228</v>
      </c>
      <c r="I41" s="32" t="s">
        <v>228</v>
      </c>
      <c r="J41" s="32" t="s">
        <v>228</v>
      </c>
      <c r="K41" s="58">
        <f t="shared" si="0"/>
        <v>4.365633664597441</v>
      </c>
      <c r="L41" s="58">
        <f t="shared" si="1"/>
        <v>50.00002246807467</v>
      </c>
      <c r="M41" s="45"/>
    </row>
    <row r="42" spans="2:13" ht="26.25" customHeight="1">
      <c r="B42" s="24" t="s">
        <v>197</v>
      </c>
      <c r="C42" s="32">
        <f>51819411351</f>
        <v>51819411351</v>
      </c>
      <c r="D42" s="32">
        <f>31893896692</f>
        <v>31893896692</v>
      </c>
      <c r="E42" s="32">
        <f>27968054035</f>
        <v>27968054035</v>
      </c>
      <c r="F42" s="32" t="s">
        <v>228</v>
      </c>
      <c r="G42" s="32" t="s">
        <v>228</v>
      </c>
      <c r="H42" s="32" t="s">
        <v>228</v>
      </c>
      <c r="I42" s="32" t="s">
        <v>228</v>
      </c>
      <c r="J42" s="32" t="s">
        <v>228</v>
      </c>
      <c r="K42" s="58">
        <f t="shared" si="0"/>
        <v>19.55547716652361</v>
      </c>
      <c r="L42" s="58">
        <f t="shared" si="1"/>
        <v>61.54816479092351</v>
      </c>
      <c r="M42" s="45"/>
    </row>
    <row r="43" spans="2:13" ht="26.25" customHeight="1">
      <c r="B43" s="24" t="s">
        <v>196</v>
      </c>
      <c r="C43" s="32">
        <f>3099168</f>
        <v>3099168</v>
      </c>
      <c r="D43" s="32">
        <f>0</f>
        <v>0</v>
      </c>
      <c r="E43" s="32">
        <f>0</f>
        <v>0</v>
      </c>
      <c r="F43" s="32" t="s">
        <v>228</v>
      </c>
      <c r="G43" s="32" t="s">
        <v>228</v>
      </c>
      <c r="H43" s="32" t="s">
        <v>228</v>
      </c>
      <c r="I43" s="32" t="s">
        <v>228</v>
      </c>
      <c r="J43" s="32" t="s">
        <v>228</v>
      </c>
      <c r="K43" s="58">
        <f t="shared" si="0"/>
        <v>0</v>
      </c>
      <c r="L43" s="58">
        <f t="shared" si="1"/>
        <v>0</v>
      </c>
      <c r="M43" s="45"/>
    </row>
    <row r="44" spans="2:13" ht="26.25" customHeight="1">
      <c r="B44" s="24" t="s">
        <v>195</v>
      </c>
      <c r="C44" s="32">
        <f>2135383360</f>
        <v>2135383360</v>
      </c>
      <c r="D44" s="32">
        <f>1067600382</f>
        <v>1067600382</v>
      </c>
      <c r="E44" s="32">
        <f>1067600022</f>
        <v>1067600022</v>
      </c>
      <c r="F44" s="32" t="s">
        <v>228</v>
      </c>
      <c r="G44" s="32" t="s">
        <v>228</v>
      </c>
      <c r="H44" s="32" t="s">
        <v>228</v>
      </c>
      <c r="I44" s="32" t="s">
        <v>228</v>
      </c>
      <c r="J44" s="32" t="s">
        <v>228</v>
      </c>
      <c r="K44" s="58">
        <f t="shared" si="0"/>
        <v>0.6545902839902784</v>
      </c>
      <c r="L44" s="58">
        <f t="shared" si="1"/>
        <v>49.99572451477752</v>
      </c>
      <c r="M44" s="45"/>
    </row>
    <row r="45" spans="2:13" ht="26.25" customHeight="1">
      <c r="B45" s="24" t="s">
        <v>225</v>
      </c>
      <c r="C45" s="32">
        <f>574940966</f>
        <v>574940966</v>
      </c>
      <c r="D45" s="32">
        <f>287470482</f>
        <v>287470482</v>
      </c>
      <c r="E45" s="32">
        <f>287470482</f>
        <v>287470482</v>
      </c>
      <c r="F45" s="32" t="s">
        <v>228</v>
      </c>
      <c r="G45" s="32" t="s">
        <v>228</v>
      </c>
      <c r="H45" s="32" t="s">
        <v>228</v>
      </c>
      <c r="I45" s="32" t="s">
        <v>228</v>
      </c>
      <c r="J45" s="32" t="s">
        <v>228</v>
      </c>
      <c r="K45" s="58">
        <f t="shared" si="0"/>
        <v>0.17626013218418107</v>
      </c>
      <c r="L45" s="58">
        <f t="shared" si="1"/>
        <v>49.9999998260691</v>
      </c>
      <c r="M45" s="45"/>
    </row>
    <row r="46" spans="2:13" ht="26.25" customHeight="1">
      <c r="B46" s="24" t="s">
        <v>193</v>
      </c>
      <c r="C46" s="32">
        <f>608372497</f>
        <v>608372497</v>
      </c>
      <c r="D46" s="32">
        <f>367999000</f>
        <v>367999000</v>
      </c>
      <c r="E46" s="32">
        <f>367999000</f>
        <v>367999000</v>
      </c>
      <c r="F46" s="32" t="s">
        <v>228</v>
      </c>
      <c r="G46" s="32" t="s">
        <v>228</v>
      </c>
      <c r="H46" s="32" t="s">
        <v>228</v>
      </c>
      <c r="I46" s="32" t="s">
        <v>228</v>
      </c>
      <c r="J46" s="32" t="s">
        <v>228</v>
      </c>
      <c r="K46" s="58">
        <f t="shared" si="0"/>
        <v>0.22563552241042423</v>
      </c>
      <c r="L46" s="58">
        <f t="shared" si="1"/>
        <v>60.48909209648246</v>
      </c>
      <c r="M46" s="45"/>
    </row>
    <row r="47" spans="1:13" s="6" customFormat="1" ht="13.5" customHeight="1">
      <c r="A47" s="3"/>
      <c r="B47" s="26"/>
      <c r="C47" s="8"/>
      <c r="D47" s="9"/>
      <c r="E47" s="9"/>
      <c r="F47" s="18"/>
      <c r="G47" s="18"/>
      <c r="H47" s="18"/>
      <c r="I47" s="18"/>
      <c r="J47" s="18"/>
      <c r="K47" s="10"/>
      <c r="L47" s="10"/>
      <c r="M47" s="4"/>
    </row>
    <row r="48" spans="1:13" s="6" customFormat="1" ht="18.75" customHeight="1">
      <c r="A48" s="3"/>
      <c r="B48" s="112" t="s">
        <v>5</v>
      </c>
      <c r="C48" s="113">
        <f aca="true" t="shared" si="4" ref="C48:J48">+C6</f>
        <v>310163927605.85</v>
      </c>
      <c r="D48" s="113">
        <f t="shared" si="4"/>
        <v>163094443671.25</v>
      </c>
      <c r="E48" s="113">
        <f t="shared" si="4"/>
        <v>154947845919.55</v>
      </c>
      <c r="F48" s="113">
        <f t="shared" si="4"/>
        <v>1829760794.66</v>
      </c>
      <c r="G48" s="113">
        <f t="shared" si="4"/>
        <v>501653698.62</v>
      </c>
      <c r="H48" s="113">
        <f t="shared" si="4"/>
        <v>94583202.18</v>
      </c>
      <c r="I48" s="113">
        <f t="shared" si="4"/>
        <v>209991555.61</v>
      </c>
      <c r="J48" s="113">
        <f t="shared" si="4"/>
        <v>780850.01</v>
      </c>
      <c r="K48" s="114">
        <f>IF($D$48=0,"",100*$D48/$D$48)</f>
        <v>100</v>
      </c>
      <c r="L48" s="114">
        <f t="shared" si="1"/>
        <v>52.583304876931756</v>
      </c>
      <c r="M48" s="4"/>
    </row>
    <row r="49" spans="1:13" s="6" customFormat="1" ht="24.75" customHeight="1">
      <c r="A49" s="3"/>
      <c r="B49" s="103" t="s">
        <v>301</v>
      </c>
      <c r="C49" s="104">
        <f>34463091423.52</f>
        <v>34463091423.52</v>
      </c>
      <c r="D49" s="104">
        <f>12418426174.92</f>
        <v>12418426174.92</v>
      </c>
      <c r="E49" s="104">
        <f>12049190816.05</f>
        <v>12049190816.05</v>
      </c>
      <c r="F49" s="104">
        <f>0</f>
        <v>0</v>
      </c>
      <c r="G49" s="104">
        <f>0</f>
        <v>0</v>
      </c>
      <c r="H49" s="104">
        <f>0</f>
        <v>0</v>
      </c>
      <c r="I49" s="104">
        <f>122480.7</f>
        <v>122480.7</v>
      </c>
      <c r="J49" s="104">
        <f>0</f>
        <v>0</v>
      </c>
      <c r="K49" s="59">
        <f>IF($D$48=0,"",100*$D49/$D$48)</f>
        <v>7.614254597141189</v>
      </c>
      <c r="L49" s="59">
        <f t="shared" si="1"/>
        <v>36.03398784603753</v>
      </c>
      <c r="M49" s="4"/>
    </row>
    <row r="50" spans="1:13" s="6" customFormat="1" ht="24.75" customHeight="1">
      <c r="A50" s="3"/>
      <c r="B50" s="103" t="s">
        <v>304</v>
      </c>
      <c r="C50" s="104">
        <f>+C48-C49</f>
        <v>275700836182.32996</v>
      </c>
      <c r="D50" s="104">
        <f aca="true" t="shared" si="5" ref="D50:J50">+D48-D49</f>
        <v>150676017496.33</v>
      </c>
      <c r="E50" s="104">
        <f t="shared" si="5"/>
        <v>142898655103.5</v>
      </c>
      <c r="F50" s="104">
        <f t="shared" si="5"/>
        <v>1829760794.66</v>
      </c>
      <c r="G50" s="104">
        <f t="shared" si="5"/>
        <v>501653698.62</v>
      </c>
      <c r="H50" s="104">
        <f t="shared" si="5"/>
        <v>94583202.18</v>
      </c>
      <c r="I50" s="104">
        <f t="shared" si="5"/>
        <v>209869074.91000003</v>
      </c>
      <c r="J50" s="104">
        <f t="shared" si="5"/>
        <v>780850.01</v>
      </c>
      <c r="K50" s="59">
        <f>IF($D$48=0,"",100*$D50/$D$48)</f>
        <v>92.3857454028588</v>
      </c>
      <c r="L50" s="59">
        <f t="shared" si="1"/>
        <v>54.651998732670876</v>
      </c>
      <c r="M50" s="4"/>
    </row>
    <row r="51" spans="1:13" s="6" customFormat="1" ht="13.5" customHeight="1">
      <c r="A51" s="3"/>
      <c r="B51" s="26"/>
      <c r="C51" s="8"/>
      <c r="D51" s="9"/>
      <c r="E51" s="9"/>
      <c r="F51" s="18"/>
      <c r="G51" s="18"/>
      <c r="H51" s="18"/>
      <c r="I51" s="18"/>
      <c r="J51" s="18"/>
      <c r="K51" s="10"/>
      <c r="L51" s="10"/>
      <c r="M51" s="4"/>
    </row>
    <row r="52" spans="2:13" ht="58.5" customHeight="1">
      <c r="B52" s="131" t="str">
        <f>CONCATENATE("Informacja z wykonania budżetów jednostek samorządu terytorialnego za ",$D$106," ",$C$107," roku")</f>
        <v>Informacja z wykonania budżetów jednostek samorządu terytorialnego za II Kwartały 2021 roku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</row>
    <row r="53" spans="2:13" s="6" customFormat="1" ht="13.5" customHeight="1">
      <c r="B53" s="7"/>
      <c r="C53" s="8"/>
      <c r="D53" s="9"/>
      <c r="E53" s="9"/>
      <c r="F53" s="5"/>
      <c r="G53" s="5"/>
      <c r="H53" s="5"/>
      <c r="I53" s="5"/>
      <c r="J53" s="5"/>
      <c r="K53" s="10"/>
      <c r="L53" s="10"/>
      <c r="M53" s="4"/>
    </row>
    <row r="54" spans="2:27" ht="29.25" customHeight="1">
      <c r="B54" s="132" t="s">
        <v>0</v>
      </c>
      <c r="C54" s="143" t="s">
        <v>221</v>
      </c>
      <c r="D54" s="143" t="s">
        <v>222</v>
      </c>
      <c r="E54" s="143" t="s">
        <v>223</v>
      </c>
      <c r="F54" s="143" t="s">
        <v>40</v>
      </c>
      <c r="G54" s="143"/>
      <c r="H54" s="143"/>
      <c r="I54" s="143" t="s">
        <v>348</v>
      </c>
      <c r="J54" s="143"/>
      <c r="K54" s="143" t="s">
        <v>2</v>
      </c>
      <c r="L54" s="145" t="s">
        <v>184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2:27" ht="18" customHeight="1">
      <c r="B55" s="132"/>
      <c r="C55" s="143"/>
      <c r="D55" s="134"/>
      <c r="E55" s="143"/>
      <c r="F55" s="138" t="s">
        <v>224</v>
      </c>
      <c r="G55" s="144" t="s">
        <v>182</v>
      </c>
      <c r="H55" s="134"/>
      <c r="I55" s="143"/>
      <c r="J55" s="143"/>
      <c r="K55" s="143"/>
      <c r="L55" s="145"/>
      <c r="M55" s="12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36" customHeight="1">
      <c r="B56" s="132"/>
      <c r="C56" s="143"/>
      <c r="D56" s="134"/>
      <c r="E56" s="143"/>
      <c r="F56" s="134"/>
      <c r="G56" s="20" t="s">
        <v>202</v>
      </c>
      <c r="H56" s="20" t="s">
        <v>203</v>
      </c>
      <c r="I56" s="143"/>
      <c r="J56" s="143"/>
      <c r="K56" s="143"/>
      <c r="L56" s="145"/>
      <c r="M56" s="12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13.5" customHeight="1">
      <c r="B57" s="132"/>
      <c r="C57" s="133" t="s">
        <v>310</v>
      </c>
      <c r="D57" s="133"/>
      <c r="E57" s="133"/>
      <c r="F57" s="133"/>
      <c r="G57" s="133"/>
      <c r="H57" s="133"/>
      <c r="I57" s="133"/>
      <c r="J57" s="133"/>
      <c r="K57" s="133" t="s">
        <v>4</v>
      </c>
      <c r="L57" s="13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1.25" customHeight="1">
      <c r="B58" s="19">
        <v>1</v>
      </c>
      <c r="C58" s="21">
        <v>2</v>
      </c>
      <c r="D58" s="21">
        <v>3</v>
      </c>
      <c r="E58" s="21">
        <v>4</v>
      </c>
      <c r="F58" s="19">
        <v>5</v>
      </c>
      <c r="G58" s="19">
        <v>6</v>
      </c>
      <c r="H58" s="21">
        <v>7</v>
      </c>
      <c r="I58" s="134">
        <v>8</v>
      </c>
      <c r="J58" s="134"/>
      <c r="K58" s="19">
        <v>9</v>
      </c>
      <c r="L58" s="21">
        <v>10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12" ht="44.25" customHeight="1">
      <c r="B59" s="105" t="s">
        <v>232</v>
      </c>
      <c r="C59" s="113">
        <f>343191049784.18</f>
        <v>343191049784.18</v>
      </c>
      <c r="D59" s="113">
        <f>249430968706.61</f>
        <v>249430968706.61</v>
      </c>
      <c r="E59" s="113">
        <f>140654652312.12</f>
        <v>140654652312.12</v>
      </c>
      <c r="F59" s="113">
        <f>7362061567.21</f>
        <v>7362061567.21</v>
      </c>
      <c r="G59" s="113">
        <f>4056316.88</f>
        <v>4056316.88</v>
      </c>
      <c r="H59" s="113">
        <f>18473524.21</f>
        <v>18473524.21</v>
      </c>
      <c r="I59" s="128">
        <f>0</f>
        <v>0</v>
      </c>
      <c r="J59" s="128"/>
      <c r="K59" s="97">
        <f aca="true" t="shared" si="6" ref="K59:K68">IF($E$59=0,"",100*$E59/$E$59)</f>
        <v>100</v>
      </c>
      <c r="L59" s="97">
        <f aca="true" t="shared" si="7" ref="L59:L68">IF(C59=0,"",100*E59/C59)</f>
        <v>40.98435912025458</v>
      </c>
    </row>
    <row r="60" spans="2:12" ht="24" customHeight="1">
      <c r="B60" s="23" t="s">
        <v>42</v>
      </c>
      <c r="C60" s="40">
        <f>75354581290.46</f>
        <v>75354581290.46</v>
      </c>
      <c r="D60" s="40">
        <f>38774342203.34</f>
        <v>38774342203.34</v>
      </c>
      <c r="E60" s="40">
        <f>12964891249.69</f>
        <v>12964891249.69</v>
      </c>
      <c r="F60" s="40">
        <f>1919977040.22</f>
        <v>1919977040.22</v>
      </c>
      <c r="G60" s="40">
        <f>850207.99</f>
        <v>850207.99</v>
      </c>
      <c r="H60" s="40">
        <f>2376667.44</f>
        <v>2376667.44</v>
      </c>
      <c r="I60" s="127">
        <f>0</f>
        <v>0</v>
      </c>
      <c r="J60" s="135"/>
      <c r="K60" s="60">
        <f t="shared" si="6"/>
        <v>9.21753460448662</v>
      </c>
      <c r="L60" s="60">
        <f t="shared" si="7"/>
        <v>17.205179867851477</v>
      </c>
    </row>
    <row r="61" spans="2:12" ht="22.5" customHeight="1">
      <c r="B61" s="24" t="s">
        <v>41</v>
      </c>
      <c r="C61" s="32">
        <f>72673165179.45</f>
        <v>72673165179.45</v>
      </c>
      <c r="D61" s="32">
        <f>37393427124.8</f>
        <v>37393427124.8</v>
      </c>
      <c r="E61" s="32">
        <f>11868534599.13</f>
        <v>11868534599.13</v>
      </c>
      <c r="F61" s="32">
        <f>1799193620.08</f>
        <v>1799193620.08</v>
      </c>
      <c r="G61" s="32">
        <f>850207.99</f>
        <v>850207.99</v>
      </c>
      <c r="H61" s="32">
        <f>2376667.44</f>
        <v>2376667.44</v>
      </c>
      <c r="I61" s="125">
        <f>0</f>
        <v>0</v>
      </c>
      <c r="J61" s="126"/>
      <c r="K61" s="61">
        <f t="shared" si="6"/>
        <v>8.438067567642983</v>
      </c>
      <c r="L61" s="61">
        <f t="shared" si="7"/>
        <v>16.33138527794039</v>
      </c>
    </row>
    <row r="62" spans="2:12" ht="44.25" customHeight="1">
      <c r="B62" s="105" t="s">
        <v>233</v>
      </c>
      <c r="C62" s="113">
        <f aca="true" t="shared" si="8" ref="C62:I62">C59-C60</f>
        <v>267836468493.71997</v>
      </c>
      <c r="D62" s="113">
        <f t="shared" si="8"/>
        <v>210656626503.27</v>
      </c>
      <c r="E62" s="113">
        <f t="shared" si="8"/>
        <v>127689761062.43</v>
      </c>
      <c r="F62" s="113">
        <f t="shared" si="8"/>
        <v>5442084526.99</v>
      </c>
      <c r="G62" s="113">
        <f t="shared" si="8"/>
        <v>3206108.8899999997</v>
      </c>
      <c r="H62" s="113">
        <f t="shared" si="8"/>
        <v>16096856.770000001</v>
      </c>
      <c r="I62" s="128">
        <f t="shared" si="8"/>
        <v>0</v>
      </c>
      <c r="J62" s="128"/>
      <c r="K62" s="97">
        <f t="shared" si="6"/>
        <v>90.78246539551338</v>
      </c>
      <c r="L62" s="97">
        <f t="shared" si="7"/>
        <v>47.67452385425399</v>
      </c>
    </row>
    <row r="63" spans="2:12" ht="22.5" customHeight="1">
      <c r="B63" s="24" t="s">
        <v>362</v>
      </c>
      <c r="C63" s="32">
        <f>103863096083.31</f>
        <v>103863096083.31</v>
      </c>
      <c r="D63" s="32">
        <f>91791079809.81</f>
        <v>91791079809.81</v>
      </c>
      <c r="E63" s="32">
        <f>52318046690.05</f>
        <v>52318046690.05</v>
      </c>
      <c r="F63" s="32">
        <f>2181763315.01</f>
        <v>2181763315.01</v>
      </c>
      <c r="G63" s="32">
        <f>1347664.53</f>
        <v>1347664.53</v>
      </c>
      <c r="H63" s="32">
        <f>1602677.56</f>
        <v>1602677.56</v>
      </c>
      <c r="I63" s="125">
        <f>0</f>
        <v>0</v>
      </c>
      <c r="J63" s="126"/>
      <c r="K63" s="61">
        <f t="shared" si="6"/>
        <v>37.196101110081685</v>
      </c>
      <c r="L63" s="61">
        <f t="shared" si="7"/>
        <v>50.37212317268588</v>
      </c>
    </row>
    <row r="64" spans="2:12" ht="22.5" customHeight="1">
      <c r="B64" s="24" t="s">
        <v>201</v>
      </c>
      <c r="C64" s="32">
        <f>27281624745.45</f>
        <v>27281624745.45</v>
      </c>
      <c r="D64" s="32">
        <f>20615591142.74</f>
        <v>20615591142.74</v>
      </c>
      <c r="E64" s="32">
        <f>13534514773.82</f>
        <v>13534514773.82</v>
      </c>
      <c r="F64" s="32">
        <f>116649862.76</f>
        <v>116649862.76</v>
      </c>
      <c r="G64" s="32">
        <f>150205.93</f>
        <v>150205.93</v>
      </c>
      <c r="H64" s="32">
        <f>11069</f>
        <v>11069</v>
      </c>
      <c r="I64" s="125">
        <f>0</f>
        <v>0</v>
      </c>
      <c r="J64" s="126"/>
      <c r="K64" s="61">
        <f t="shared" si="6"/>
        <v>9.62251482715709</v>
      </c>
      <c r="L64" s="61">
        <f t="shared" si="7"/>
        <v>49.61036925074366</v>
      </c>
    </row>
    <row r="65" spans="2:12" ht="22.5" customHeight="1">
      <c r="B65" s="24" t="s">
        <v>200</v>
      </c>
      <c r="C65" s="32">
        <f>2130232218.72</f>
        <v>2130232218.72</v>
      </c>
      <c r="D65" s="32">
        <f>1029994426.35</f>
        <v>1029994426.35</v>
      </c>
      <c r="E65" s="32">
        <f>568912847.35</f>
        <v>568912847.35</v>
      </c>
      <c r="F65" s="32">
        <f>26865359.64</f>
        <v>26865359.64</v>
      </c>
      <c r="G65" s="32">
        <f>0</f>
        <v>0</v>
      </c>
      <c r="H65" s="32">
        <f>0</f>
        <v>0</v>
      </c>
      <c r="I65" s="125">
        <f>0</f>
        <v>0</v>
      </c>
      <c r="J65" s="126"/>
      <c r="K65" s="61">
        <f t="shared" si="6"/>
        <v>0.40447495905613756</v>
      </c>
      <c r="L65" s="61">
        <f t="shared" si="7"/>
        <v>26.706611718221247</v>
      </c>
    </row>
    <row r="66" spans="2:12" ht="33.75" customHeight="1">
      <c r="B66" s="24" t="s">
        <v>274</v>
      </c>
      <c r="C66" s="32">
        <f>443689035.48</f>
        <v>443689035.48</v>
      </c>
      <c r="D66" s="32">
        <f>69998241.68</f>
        <v>69998241.68</v>
      </c>
      <c r="E66" s="32">
        <f>15844109.62</f>
        <v>15844109.62</v>
      </c>
      <c r="F66" s="32">
        <f>61200</f>
        <v>61200</v>
      </c>
      <c r="G66" s="32">
        <f>0</f>
        <v>0</v>
      </c>
      <c r="H66" s="32">
        <f>0</f>
        <v>0</v>
      </c>
      <c r="I66" s="125">
        <f>0</f>
        <v>0</v>
      </c>
      <c r="J66" s="126"/>
      <c r="K66" s="61">
        <f t="shared" si="6"/>
        <v>0.011264547144051158</v>
      </c>
      <c r="L66" s="61">
        <f t="shared" si="7"/>
        <v>3.5709941767795157</v>
      </c>
    </row>
    <row r="67" spans="2:12" ht="30" customHeight="1">
      <c r="B67" s="24" t="s">
        <v>289</v>
      </c>
      <c r="C67" s="32">
        <f>57990847276.25</f>
        <v>57990847276.25</v>
      </c>
      <c r="D67" s="32">
        <f>45798202891.45</f>
        <v>45798202891.45</v>
      </c>
      <c r="E67" s="32">
        <f>29323888855.47</f>
        <v>29323888855.47</v>
      </c>
      <c r="F67" s="32">
        <f>801270695.06</f>
        <v>801270695.06</v>
      </c>
      <c r="G67" s="32">
        <f>55928.77</f>
        <v>55928.77</v>
      </c>
      <c r="H67" s="32">
        <f>41261.5</f>
        <v>41261.5</v>
      </c>
      <c r="I67" s="125">
        <f>0</f>
        <v>0</v>
      </c>
      <c r="J67" s="126"/>
      <c r="K67" s="61">
        <f t="shared" si="6"/>
        <v>20.84814712733338</v>
      </c>
      <c r="L67" s="61">
        <f t="shared" si="7"/>
        <v>50.566408722708076</v>
      </c>
    </row>
    <row r="68" spans="2:12" ht="22.5" customHeight="1">
      <c r="B68" s="24" t="s">
        <v>199</v>
      </c>
      <c r="C68" s="32">
        <f aca="true" t="shared" si="9" ref="C68:I68">C62-C63-C64-C65-C66-C67</f>
        <v>76126979134.50998</v>
      </c>
      <c r="D68" s="32">
        <f t="shared" si="9"/>
        <v>51351759991.23999</v>
      </c>
      <c r="E68" s="32">
        <f t="shared" si="9"/>
        <v>31928553786.119987</v>
      </c>
      <c r="F68" s="32">
        <f t="shared" si="9"/>
        <v>2315474094.5199995</v>
      </c>
      <c r="G68" s="32">
        <f t="shared" si="9"/>
        <v>1652309.6599999997</v>
      </c>
      <c r="H68" s="32">
        <f t="shared" si="9"/>
        <v>14441848.71</v>
      </c>
      <c r="I68" s="125">
        <f t="shared" si="9"/>
        <v>0</v>
      </c>
      <c r="J68" s="126"/>
      <c r="K68" s="61">
        <f t="shared" si="6"/>
        <v>22.69996282474103</v>
      </c>
      <c r="L68" s="61">
        <f t="shared" si="7"/>
        <v>41.94118057634326</v>
      </c>
    </row>
    <row r="69" spans="2:13" ht="24" customHeight="1">
      <c r="B69" s="23" t="s">
        <v>54</v>
      </c>
      <c r="C69" s="40">
        <f>C6-C59</f>
        <v>-33027122178.330017</v>
      </c>
      <c r="D69" s="40"/>
      <c r="E69" s="40">
        <f>D6-E59</f>
        <v>22439791359.130005</v>
      </c>
      <c r="F69" s="40"/>
      <c r="G69" s="40"/>
      <c r="H69" s="40"/>
      <c r="I69" s="127"/>
      <c r="J69" s="127"/>
      <c r="K69" s="42"/>
      <c r="L69" s="42"/>
      <c r="M69" s="14"/>
    </row>
    <row r="70" spans="2:13" ht="38.25">
      <c r="B70" s="98" t="s">
        <v>309</v>
      </c>
      <c r="C70" s="99">
        <f>+C50-C62</f>
        <v>7864367688.609985</v>
      </c>
      <c r="D70" s="99"/>
      <c r="E70" s="99">
        <f>+D50-E62</f>
        <v>22986256433.899994</v>
      </c>
      <c r="F70" s="99"/>
      <c r="G70" s="99"/>
      <c r="H70" s="99"/>
      <c r="I70" s="129"/>
      <c r="J70" s="130"/>
      <c r="K70" s="42"/>
      <c r="L70" s="42"/>
      <c r="M70" s="14"/>
    </row>
    <row r="71" spans="2:13" ht="12" customHeight="1" thickBot="1">
      <c r="B71" s="100"/>
      <c r="C71" s="101"/>
      <c r="D71" s="101"/>
      <c r="E71" s="101"/>
      <c r="F71" s="2"/>
      <c r="G71" s="2"/>
      <c r="H71" s="2"/>
      <c r="I71" s="2"/>
      <c r="L71" s="11"/>
      <c r="M71" s="11"/>
    </row>
    <row r="72" spans="2:13" ht="12" customHeight="1" thickBot="1">
      <c r="B72" s="102" t="s">
        <v>293</v>
      </c>
      <c r="C72" s="101"/>
      <c r="D72" s="101"/>
      <c r="E72" s="101"/>
      <c r="F72" s="2"/>
      <c r="G72" s="2"/>
      <c r="H72" s="2"/>
      <c r="I72" s="2"/>
      <c r="L72" s="11"/>
      <c r="M72" s="11"/>
    </row>
    <row r="73" spans="2:13" ht="35.25" customHeight="1">
      <c r="B73" s="118" t="s">
        <v>299</v>
      </c>
      <c r="C73" s="113">
        <f>33401278109.84</f>
        <v>33401278109.84</v>
      </c>
      <c r="D73" s="113">
        <f>20249174409.17</f>
        <v>20249174409.17</v>
      </c>
      <c r="E73" s="113">
        <f>7681586835.99</f>
        <v>7681586835.99</v>
      </c>
      <c r="F73" s="113">
        <f>668839317.18</f>
        <v>668839317.18</v>
      </c>
      <c r="G73" s="113">
        <f>556589.26</f>
        <v>556589.26</v>
      </c>
      <c r="H73" s="113">
        <f>633855</f>
        <v>633855</v>
      </c>
      <c r="I73" s="128">
        <f>0</f>
        <v>0</v>
      </c>
      <c r="J73" s="128"/>
      <c r="K73" s="97">
        <f>IF($E$73=0,"",100*$E73/$E$73)</f>
        <v>100</v>
      </c>
      <c r="L73" s="97">
        <f>IF(C73=0,"",100*E73/C73)</f>
        <v>22.997882927500935</v>
      </c>
      <c r="M73" s="11"/>
    </row>
    <row r="74" spans="2:13" ht="21.75" customHeight="1">
      <c r="B74" s="115" t="s">
        <v>307</v>
      </c>
      <c r="C74" s="116">
        <f>27096865035.67</f>
        <v>27096865035.67</v>
      </c>
      <c r="D74" s="116">
        <f>16746491578.89</f>
        <v>16746491578.89</v>
      </c>
      <c r="E74" s="116">
        <f>5616656419.08</f>
        <v>5616656419.08</v>
      </c>
      <c r="F74" s="116">
        <f>628604461.68</f>
        <v>628604461.68</v>
      </c>
      <c r="G74" s="116">
        <f>556589.26</f>
        <v>556589.26</v>
      </c>
      <c r="H74" s="116">
        <f>571480.65</f>
        <v>571480.65</v>
      </c>
      <c r="I74" s="124">
        <f>0</f>
        <v>0</v>
      </c>
      <c r="J74" s="124"/>
      <c r="K74" s="117">
        <f>IF($E$73=0,"",100*$E74/$E$73)</f>
        <v>73.11843944489013</v>
      </c>
      <c r="L74" s="117">
        <f>IF(C74=0,"",100*E74/C74)</f>
        <v>20.728067293712016</v>
      </c>
      <c r="M74" s="11"/>
    </row>
    <row r="75" spans="2:12" ht="24" customHeight="1">
      <c r="B75" s="115" t="s">
        <v>308</v>
      </c>
      <c r="C75" s="116">
        <f aca="true" t="shared" si="10" ref="C75:I75">C73-C74</f>
        <v>6304413074.170002</v>
      </c>
      <c r="D75" s="116">
        <f t="shared" si="10"/>
        <v>3502682830.279999</v>
      </c>
      <c r="E75" s="116">
        <f t="shared" si="10"/>
        <v>2064930416.9099998</v>
      </c>
      <c r="F75" s="116">
        <f t="shared" si="10"/>
        <v>40234855.5</v>
      </c>
      <c r="G75" s="116">
        <f t="shared" si="10"/>
        <v>0</v>
      </c>
      <c r="H75" s="116">
        <f t="shared" si="10"/>
        <v>62374.34999999998</v>
      </c>
      <c r="I75" s="124">
        <f t="shared" si="10"/>
        <v>0</v>
      </c>
      <c r="J75" s="124"/>
      <c r="K75" s="117">
        <f>IF($E$73=0,"",100*$E75/$E$73)</f>
        <v>26.881560555109868</v>
      </c>
      <c r="L75" s="117">
        <f>IF(C75=0,"",100*E75/C75)</f>
        <v>32.75372969087777</v>
      </c>
    </row>
    <row r="76" spans="2:13" ht="20.25">
      <c r="B76" s="131" t="str">
        <f>CONCATENATE("Informacja z wykonania budżetów jednostek samorządu terytorialnego za ",$D$106," ",$C$107," roku")</f>
        <v>Informacja z wykonania budżetów jednostek samorządu terytorialnego za II Kwartały 2021 roku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</row>
    <row r="77" spans="2:8" ht="12.75">
      <c r="B77" s="73" t="s">
        <v>55</v>
      </c>
      <c r="C77" s="136" t="s">
        <v>56</v>
      </c>
      <c r="D77" s="137"/>
      <c r="E77" s="136" t="s">
        <v>1</v>
      </c>
      <c r="F77" s="137"/>
      <c r="G77" s="21" t="s">
        <v>132</v>
      </c>
      <c r="H77" s="21" t="s">
        <v>133</v>
      </c>
    </row>
    <row r="78" spans="2:8" ht="12.75">
      <c r="B78" s="73"/>
      <c r="C78" s="138" t="s">
        <v>310</v>
      </c>
      <c r="D78" s="139"/>
      <c r="E78" s="139"/>
      <c r="F78" s="140"/>
      <c r="G78" s="141" t="s">
        <v>4</v>
      </c>
      <c r="H78" s="142"/>
    </row>
    <row r="79" spans="2:8" ht="12.75">
      <c r="B79" s="71">
        <v>1</v>
      </c>
      <c r="C79" s="80">
        <v>2</v>
      </c>
      <c r="D79" s="81"/>
      <c r="E79" s="80">
        <v>3</v>
      </c>
      <c r="F79" s="81"/>
      <c r="G79" s="72">
        <v>4</v>
      </c>
      <c r="H79" s="72">
        <v>5</v>
      </c>
    </row>
    <row r="80" spans="2:8" ht="25.5">
      <c r="B80" s="70" t="s">
        <v>234</v>
      </c>
      <c r="C80" s="82">
        <f>43017359055.72</f>
        <v>43017359055.72</v>
      </c>
      <c r="D80" s="83"/>
      <c r="E80" s="82">
        <f>34876176312.16</f>
        <v>34876176312.16</v>
      </c>
      <c r="F80" s="83"/>
      <c r="G80" s="79">
        <f>IF($E$80=0,"",100*$E80/$E$80)</f>
        <v>100</v>
      </c>
      <c r="H80" s="60">
        <f>IF(C80=0,"",100*E80/C80)</f>
        <v>81.07465701691544</v>
      </c>
    </row>
    <row r="81" spans="2:8" ht="33.75">
      <c r="B81" s="69" t="s">
        <v>353</v>
      </c>
      <c r="C81" s="84">
        <f>19549355057.45</f>
        <v>19549355057.45</v>
      </c>
      <c r="D81" s="85"/>
      <c r="E81" s="84">
        <f>1003937991.51</f>
        <v>1003937991.51</v>
      </c>
      <c r="F81" s="85"/>
      <c r="G81" s="95">
        <f aca="true" t="shared" si="11" ref="G81:G88">IF($E$80=0,"",100*$E81/$E$80)</f>
        <v>2.8785781518140934</v>
      </c>
      <c r="H81" s="96">
        <f aca="true" t="shared" si="12" ref="H81:H93">IF(C81=0,"",100*E81/C81)</f>
        <v>5.135402106922256</v>
      </c>
    </row>
    <row r="82" spans="2:8" ht="22.5">
      <c r="B82" s="51" t="s">
        <v>354</v>
      </c>
      <c r="C82" s="119">
        <f>1450433243.14</f>
        <v>1450433243.14</v>
      </c>
      <c r="D82" s="120"/>
      <c r="E82" s="119">
        <f>12755000</f>
        <v>12755000</v>
      </c>
      <c r="F82" s="120"/>
      <c r="G82" s="121">
        <f t="shared" si="11"/>
        <v>0.03657224314338844</v>
      </c>
      <c r="H82" s="117">
        <f t="shared" si="12"/>
        <v>0.8793924201838533</v>
      </c>
    </row>
    <row r="83" spans="2:8" ht="12.75">
      <c r="B83" s="122" t="s">
        <v>355</v>
      </c>
      <c r="C83" s="119">
        <f>261370496.18</f>
        <v>261370496.18</v>
      </c>
      <c r="D83" s="120"/>
      <c r="E83" s="119">
        <f>51750125.18</f>
        <v>51750125.18</v>
      </c>
      <c r="F83" s="120"/>
      <c r="G83" s="121">
        <f t="shared" si="11"/>
        <v>0.1483824508650528</v>
      </c>
      <c r="H83" s="117">
        <f t="shared" si="12"/>
        <v>19.7995282315112</v>
      </c>
    </row>
    <row r="84" spans="2:8" ht="12.75">
      <c r="B84" s="122" t="s">
        <v>356</v>
      </c>
      <c r="C84" s="119">
        <f>2317468782.48</f>
        <v>2317468782.48</v>
      </c>
      <c r="D84" s="120"/>
      <c r="E84" s="119">
        <f>4194567092.35</f>
        <v>4194567092.35</v>
      </c>
      <c r="F84" s="120"/>
      <c r="G84" s="121">
        <f t="shared" si="11"/>
        <v>12.027026858696987</v>
      </c>
      <c r="H84" s="117">
        <f t="shared" si="12"/>
        <v>180.9977818929347</v>
      </c>
    </row>
    <row r="85" spans="2:8" ht="45">
      <c r="B85" s="122" t="s">
        <v>378</v>
      </c>
      <c r="C85" s="119">
        <f>7824226214.39</f>
        <v>7824226214.39</v>
      </c>
      <c r="D85" s="120"/>
      <c r="E85" s="119">
        <f>9341372708.87</f>
        <v>9341372708.87</v>
      </c>
      <c r="F85" s="120"/>
      <c r="G85" s="121">
        <f t="shared" si="11"/>
        <v>26.784394668899004</v>
      </c>
      <c r="H85" s="117">
        <f t="shared" si="12"/>
        <v>119.39037104640107</v>
      </c>
    </row>
    <row r="86" spans="2:8" ht="12.75">
      <c r="B86" s="122" t="s">
        <v>357</v>
      </c>
      <c r="C86" s="119">
        <f>500000</f>
        <v>500000</v>
      </c>
      <c r="D86" s="120"/>
      <c r="E86" s="119">
        <f>2651709.54</f>
        <v>2651709.54</v>
      </c>
      <c r="F86" s="120"/>
      <c r="G86" s="121">
        <f t="shared" si="11"/>
        <v>0.007603211763427888</v>
      </c>
      <c r="H86" s="117">
        <f t="shared" si="12"/>
        <v>530.341908</v>
      </c>
    </row>
    <row r="87" spans="2:8" ht="33.75">
      <c r="B87" s="122" t="s">
        <v>358</v>
      </c>
      <c r="C87" s="119">
        <f>12955353907.02</f>
        <v>12955353907.02</v>
      </c>
      <c r="D87" s="120"/>
      <c r="E87" s="119">
        <f>20195595197.38</f>
        <v>20195595197.38</v>
      </c>
      <c r="F87" s="120"/>
      <c r="G87" s="121">
        <f t="shared" si="11"/>
        <v>57.906563542456226</v>
      </c>
      <c r="H87" s="117">
        <f t="shared" si="12"/>
        <v>155.88609421497003</v>
      </c>
    </row>
    <row r="88" spans="2:8" ht="12.75">
      <c r="B88" s="122" t="s">
        <v>320</v>
      </c>
      <c r="C88" s="119">
        <f>109084598.2</f>
        <v>109084598.2</v>
      </c>
      <c r="D88" s="120"/>
      <c r="E88" s="119">
        <f>86301487.33</f>
        <v>86301487.33</v>
      </c>
      <c r="F88" s="120"/>
      <c r="G88" s="121">
        <f t="shared" si="11"/>
        <v>0.24745111550519927</v>
      </c>
      <c r="H88" s="117">
        <f t="shared" si="12"/>
        <v>79.11427346670101</v>
      </c>
    </row>
    <row r="89" spans="2:8" ht="25.5">
      <c r="B89" s="70" t="s">
        <v>235</v>
      </c>
      <c r="C89" s="92">
        <f>9954219391.38</f>
        <v>9954219391.38</v>
      </c>
      <c r="D89" s="93"/>
      <c r="E89" s="92">
        <f>4826260131.8</f>
        <v>4826260131.8</v>
      </c>
      <c r="F89" s="93"/>
      <c r="G89" s="79">
        <f>IF($E$89=0,"",100*$E89/$E$89)</f>
        <v>100</v>
      </c>
      <c r="H89" s="60">
        <f t="shared" si="12"/>
        <v>48.48456661483039</v>
      </c>
    </row>
    <row r="90" spans="2:8" ht="33.75">
      <c r="B90" s="69" t="s">
        <v>359</v>
      </c>
      <c r="C90" s="84">
        <f>8977961031.46</f>
        <v>8977961031.46</v>
      </c>
      <c r="D90" s="90"/>
      <c r="E90" s="91">
        <f>3811311343.39</f>
        <v>3811311343.39</v>
      </c>
      <c r="F90" s="90"/>
      <c r="G90" s="95">
        <f>IF($E$89=0,"",100*$E90/$E$89)</f>
        <v>78.97028422229978</v>
      </c>
      <c r="H90" s="96">
        <f t="shared" si="12"/>
        <v>42.451858835593576</v>
      </c>
    </row>
    <row r="91" spans="2:8" ht="22.5">
      <c r="B91" s="51" t="s">
        <v>360</v>
      </c>
      <c r="C91" s="119">
        <f>661717140</f>
        <v>661717140</v>
      </c>
      <c r="D91" s="120"/>
      <c r="E91" s="119">
        <f>360177000</f>
        <v>360177000</v>
      </c>
      <c r="F91" s="120"/>
      <c r="G91" s="121">
        <f>IF($E$89=0,"",100*$E91/$E$89)</f>
        <v>7.462859236011974</v>
      </c>
      <c r="H91" s="117">
        <f t="shared" si="12"/>
        <v>54.43065899728697</v>
      </c>
    </row>
    <row r="92" spans="2:8" ht="12.75">
      <c r="B92" s="122" t="s">
        <v>361</v>
      </c>
      <c r="C92" s="119">
        <f>217201541.68</f>
        <v>217201541.68</v>
      </c>
      <c r="D92" s="120"/>
      <c r="E92" s="119">
        <f>100310784.38</f>
        <v>100310784.38</v>
      </c>
      <c r="F92" s="120"/>
      <c r="G92" s="121">
        <f>IF($E$89=0,"",100*$E92/$E$89)</f>
        <v>2.0784371675089988</v>
      </c>
      <c r="H92" s="117">
        <f t="shared" si="12"/>
        <v>46.18327457720649</v>
      </c>
    </row>
    <row r="93" spans="2:8" ht="12.75">
      <c r="B93" s="68" t="s">
        <v>181</v>
      </c>
      <c r="C93" s="84">
        <f>759056818.24</f>
        <v>759056818.24</v>
      </c>
      <c r="D93" s="87"/>
      <c r="E93" s="84">
        <f>914638004.03</f>
        <v>914638004.03</v>
      </c>
      <c r="F93" s="87"/>
      <c r="G93" s="95">
        <f>IF($E$89=0,"",100*$E93/$E$89)</f>
        <v>18.95127861019122</v>
      </c>
      <c r="H93" s="96">
        <f t="shared" si="12"/>
        <v>120.4966455805958</v>
      </c>
    </row>
    <row r="95" spans="2:8" ht="12.75">
      <c r="B95" s="73" t="s">
        <v>55</v>
      </c>
      <c r="C95" s="136" t="s">
        <v>56</v>
      </c>
      <c r="D95" s="137"/>
      <c r="E95" s="136" t="s">
        <v>1</v>
      </c>
      <c r="F95" s="137"/>
      <c r="G95" s="21" t="s">
        <v>132</v>
      </c>
      <c r="H95" s="21" t="s">
        <v>133</v>
      </c>
    </row>
    <row r="96" spans="2:8" ht="12.75">
      <c r="B96" s="73"/>
      <c r="C96" s="138" t="s">
        <v>310</v>
      </c>
      <c r="D96" s="139"/>
      <c r="E96" s="139"/>
      <c r="F96" s="140"/>
      <c r="G96" s="141" t="s">
        <v>4</v>
      </c>
      <c r="H96" s="142"/>
    </row>
    <row r="97" spans="2:8" ht="12.75">
      <c r="B97" s="71">
        <v>1</v>
      </c>
      <c r="C97" s="80">
        <v>2</v>
      </c>
      <c r="D97" s="81"/>
      <c r="E97" s="80">
        <v>3</v>
      </c>
      <c r="F97" s="81"/>
      <c r="G97" s="72">
        <v>4</v>
      </c>
      <c r="H97" s="72">
        <v>5</v>
      </c>
    </row>
    <row r="98" spans="2:8" ht="22.5">
      <c r="B98" s="94" t="s">
        <v>322</v>
      </c>
      <c r="C98" s="89">
        <f>33125287948.9</f>
        <v>33125287948.9</v>
      </c>
      <c r="D98" s="86"/>
      <c r="E98" s="89">
        <f>0</f>
        <v>0</v>
      </c>
      <c r="F98" s="83"/>
      <c r="G98" s="79"/>
      <c r="H98" s="60"/>
    </row>
    <row r="99" spans="2:8" ht="56.25">
      <c r="B99" s="88" t="s">
        <v>325</v>
      </c>
      <c r="C99" s="91">
        <f>1102535397</f>
        <v>1102535397</v>
      </c>
      <c r="D99" s="90"/>
      <c r="E99" s="91">
        <f>0</f>
        <v>0</v>
      </c>
      <c r="F99" s="90"/>
      <c r="G99" s="95"/>
      <c r="H99" s="96"/>
    </row>
    <row r="100" spans="2:8" ht="12.75">
      <c r="B100" s="88" t="s">
        <v>328</v>
      </c>
      <c r="C100" s="91">
        <f>12744803405.71</f>
        <v>12744803405.71</v>
      </c>
      <c r="D100" s="90"/>
      <c r="E100" s="91">
        <f>0</f>
        <v>0</v>
      </c>
      <c r="F100" s="90"/>
      <c r="G100" s="95"/>
      <c r="H100" s="96"/>
    </row>
    <row r="101" spans="2:8" ht="33.75">
      <c r="B101" s="88" t="s">
        <v>331</v>
      </c>
      <c r="C101" s="91">
        <f>0</f>
        <v>0</v>
      </c>
      <c r="D101" s="90"/>
      <c r="E101" s="91">
        <f>0</f>
        <v>0</v>
      </c>
      <c r="F101" s="90"/>
      <c r="G101" s="95"/>
      <c r="H101" s="96"/>
    </row>
    <row r="102" spans="2:8" ht="33.75">
      <c r="B102" s="88" t="s">
        <v>334</v>
      </c>
      <c r="C102" s="91">
        <f>1695158985.6</f>
        <v>1695158985.6</v>
      </c>
      <c r="D102" s="90"/>
      <c r="E102" s="91">
        <f>0</f>
        <v>0</v>
      </c>
      <c r="F102" s="90"/>
      <c r="G102" s="95"/>
      <c r="H102" s="96"/>
    </row>
    <row r="103" spans="2:8" ht="101.25">
      <c r="B103" s="88" t="s">
        <v>337</v>
      </c>
      <c r="C103" s="91">
        <f>10360253059.35</f>
        <v>10360253059.35</v>
      </c>
      <c r="D103" s="90"/>
      <c r="E103" s="91">
        <f>0</f>
        <v>0</v>
      </c>
      <c r="F103" s="90"/>
      <c r="G103" s="95"/>
      <c r="H103" s="96"/>
    </row>
    <row r="106" spans="2:4" ht="12.75">
      <c r="B106" s="55" t="s">
        <v>236</v>
      </c>
      <c r="C106" s="55">
        <f>2</f>
        <v>2</v>
      </c>
      <c r="D106" s="55" t="str">
        <f>IF(C106=1,"I Kwartał",IF(C106=2,"II Kwartały",IF(C106=3,"III Kwartały",IF(C106=4,"IV Kwartały","-"))))</f>
        <v>II Kwartały</v>
      </c>
    </row>
    <row r="107" spans="2:3" ht="12.75">
      <c r="B107" s="55" t="s">
        <v>237</v>
      </c>
      <c r="C107" s="55">
        <f>2021</f>
        <v>2021</v>
      </c>
    </row>
    <row r="108" spans="2:3" ht="12.75">
      <c r="B108" s="55" t="s">
        <v>238</v>
      </c>
      <c r="C108" s="56" t="str">
        <f>"Aug 18 2021 12:00AM"</f>
        <v>Aug 18 2021 12:00AM</v>
      </c>
    </row>
  </sheetData>
  <sheetProtection/>
  <mergeCells count="42">
    <mergeCell ref="C77:D77"/>
    <mergeCell ref="E77:F77"/>
    <mergeCell ref="C78:F78"/>
    <mergeCell ref="C54:C56"/>
    <mergeCell ref="B54:B57"/>
    <mergeCell ref="K54:K56"/>
    <mergeCell ref="K57:L57"/>
    <mergeCell ref="G78:H78"/>
    <mergeCell ref="G55:H55"/>
    <mergeCell ref="L54:L56"/>
    <mergeCell ref="C95:D95"/>
    <mergeCell ref="E95:F95"/>
    <mergeCell ref="C96:F96"/>
    <mergeCell ref="G96:H96"/>
    <mergeCell ref="B76:M76"/>
    <mergeCell ref="I54:J56"/>
    <mergeCell ref="D54:D56"/>
    <mergeCell ref="E54:E56"/>
    <mergeCell ref="F55:F56"/>
    <mergeCell ref="F54:H54"/>
    <mergeCell ref="I64:J64"/>
    <mergeCell ref="I59:J59"/>
    <mergeCell ref="I60:J60"/>
    <mergeCell ref="I61:J61"/>
    <mergeCell ref="I62:J62"/>
    <mergeCell ref="I63:J63"/>
    <mergeCell ref="B1:M1"/>
    <mergeCell ref="B3:B4"/>
    <mergeCell ref="K4:M4"/>
    <mergeCell ref="C4:J4"/>
    <mergeCell ref="B52:M52"/>
    <mergeCell ref="I58:J58"/>
    <mergeCell ref="C57:J57"/>
    <mergeCell ref="I75:J75"/>
    <mergeCell ref="I67:J67"/>
    <mergeCell ref="I65:J65"/>
    <mergeCell ref="I66:J66"/>
    <mergeCell ref="I68:J68"/>
    <mergeCell ref="I69:J69"/>
    <mergeCell ref="I73:J73"/>
    <mergeCell ref="I74:J74"/>
    <mergeCell ref="I70:J70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55" r:id="rId3"/>
  <headerFooter alignWithMargins="0">
    <oddFooter>&amp;RStrona &amp;P z &amp;N</oddFooter>
  </headerFooter>
  <rowBreaks count="3" manualBreakCount="3">
    <brk id="21" max="255" man="1"/>
    <brk id="51" max="255" man="1"/>
    <brk id="7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A111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5.75390625" style="52" customWidth="1"/>
    <col min="2" max="2" width="22.875" style="1" customWidth="1"/>
    <col min="3" max="6" width="13.875" style="1" customWidth="1"/>
    <col min="7" max="10" width="13.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54.75" customHeight="1">
      <c r="B1" s="131" t="str">
        <f>CONCATENATE("Informacja z wykonania budżetów jednostek samorządu terytorialnego za ",$D$109," ",$C$110," roku")</f>
        <v>Informacja z wykonania budżetów jednostek samorządu terytorialnego za - 2021 roku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3" spans="2:13" ht="66.75" customHeight="1">
      <c r="B3" s="166" t="s">
        <v>0</v>
      </c>
      <c r="C3" s="17" t="s">
        <v>185</v>
      </c>
      <c r="D3" s="17" t="s">
        <v>186</v>
      </c>
      <c r="E3" s="17" t="s">
        <v>187</v>
      </c>
      <c r="F3" s="17" t="s">
        <v>188</v>
      </c>
      <c r="G3" s="17" t="s">
        <v>189</v>
      </c>
      <c r="H3" s="17" t="s">
        <v>190</v>
      </c>
      <c r="I3" s="17" t="s">
        <v>191</v>
      </c>
      <c r="J3" s="17" t="s">
        <v>192</v>
      </c>
      <c r="K3" s="19" t="s">
        <v>2</v>
      </c>
      <c r="L3" s="17" t="s">
        <v>67</v>
      </c>
      <c r="M3" s="17" t="s">
        <v>3</v>
      </c>
    </row>
    <row r="4" spans="2:13" ht="12.75">
      <c r="B4" s="167"/>
      <c r="C4" s="19" t="s">
        <v>205</v>
      </c>
      <c r="D4" s="19" t="s">
        <v>130</v>
      </c>
      <c r="E4" s="19" t="s">
        <v>206</v>
      </c>
      <c r="F4" s="19" t="s">
        <v>207</v>
      </c>
      <c r="G4" s="19" t="s">
        <v>208</v>
      </c>
      <c r="H4" s="19" t="s">
        <v>210</v>
      </c>
      <c r="I4" s="19" t="s">
        <v>211</v>
      </c>
      <c r="J4" s="19" t="s">
        <v>209</v>
      </c>
      <c r="K4" s="188" t="s">
        <v>4</v>
      </c>
      <c r="L4" s="189"/>
      <c r="M4" s="190"/>
    </row>
    <row r="5" spans="2:13" ht="12.75">
      <c r="B5" s="19">
        <v>1</v>
      </c>
      <c r="C5" s="21">
        <v>2</v>
      </c>
      <c r="D5" s="21">
        <v>3</v>
      </c>
      <c r="E5" s="21">
        <v>4</v>
      </c>
      <c r="F5" s="19">
        <v>5</v>
      </c>
      <c r="G5" s="21">
        <v>6</v>
      </c>
      <c r="H5" s="19">
        <v>7</v>
      </c>
      <c r="I5" s="21">
        <v>8</v>
      </c>
      <c r="J5" s="19">
        <v>9</v>
      </c>
      <c r="K5" s="21">
        <v>10</v>
      </c>
      <c r="L5" s="19">
        <v>11</v>
      </c>
      <c r="M5" s="21">
        <v>12</v>
      </c>
    </row>
    <row r="6" spans="1:13" ht="25.5" customHeight="1">
      <c r="A6" s="52" t="s">
        <v>12</v>
      </c>
      <c r="B6" s="22" t="s">
        <v>5</v>
      </c>
      <c r="C6" s="157" t="s">
        <v>212</v>
      </c>
      <c r="D6" s="158"/>
      <c r="E6" s="158"/>
      <c r="F6" s="158"/>
      <c r="G6" s="158"/>
      <c r="H6" s="158"/>
      <c r="I6" s="158"/>
      <c r="J6" s="159"/>
      <c r="K6" s="47">
        <v>100</v>
      </c>
      <c r="L6" s="47" t="s">
        <v>106</v>
      </c>
      <c r="M6" s="47"/>
    </row>
    <row r="7" spans="1:13" ht="25.5" customHeight="1">
      <c r="A7" s="52" t="s">
        <v>13</v>
      </c>
      <c r="B7" s="23" t="s">
        <v>229</v>
      </c>
      <c r="C7" s="163" t="s">
        <v>349</v>
      </c>
      <c r="D7" s="164"/>
      <c r="E7" s="164"/>
      <c r="F7" s="164"/>
      <c r="G7" s="164"/>
      <c r="H7" s="164"/>
      <c r="I7" s="164"/>
      <c r="J7" s="165"/>
      <c r="K7" s="49" t="s">
        <v>77</v>
      </c>
      <c r="L7" s="49" t="s">
        <v>106</v>
      </c>
      <c r="M7" s="49">
        <v>100</v>
      </c>
    </row>
    <row r="8" spans="1:13" ht="22.5" customHeight="1">
      <c r="A8" s="52" t="s">
        <v>14</v>
      </c>
      <c r="B8" s="24" t="s">
        <v>183</v>
      </c>
      <c r="C8" s="160" t="s">
        <v>251</v>
      </c>
      <c r="D8" s="161"/>
      <c r="E8" s="161"/>
      <c r="F8" s="161"/>
      <c r="G8" s="161"/>
      <c r="H8" s="161"/>
      <c r="I8" s="161"/>
      <c r="J8" s="162"/>
      <c r="K8" s="34" t="s">
        <v>78</v>
      </c>
      <c r="L8" s="34" t="s">
        <v>106</v>
      </c>
      <c r="M8" s="34" t="s">
        <v>107</v>
      </c>
    </row>
    <row r="9" spans="1:13" ht="22.5" customHeight="1">
      <c r="A9" s="52" t="s">
        <v>15</v>
      </c>
      <c r="B9" s="25" t="s">
        <v>70</v>
      </c>
      <c r="C9" s="168" t="s">
        <v>252</v>
      </c>
      <c r="D9" s="169"/>
      <c r="E9" s="169"/>
      <c r="F9" s="169"/>
      <c r="G9" s="169"/>
      <c r="H9" s="169"/>
      <c r="I9" s="169"/>
      <c r="J9" s="170"/>
      <c r="K9" s="33" t="s">
        <v>79</v>
      </c>
      <c r="L9" s="33" t="s">
        <v>106</v>
      </c>
      <c r="M9" s="33" t="s">
        <v>108</v>
      </c>
    </row>
    <row r="10" spans="1:13" ht="13.5" customHeight="1">
      <c r="A10" s="52" t="s">
        <v>16</v>
      </c>
      <c r="B10" s="24" t="s">
        <v>71</v>
      </c>
      <c r="C10" s="160" t="s">
        <v>253</v>
      </c>
      <c r="D10" s="161"/>
      <c r="E10" s="161"/>
      <c r="F10" s="161"/>
      <c r="G10" s="161"/>
      <c r="H10" s="161"/>
      <c r="I10" s="161"/>
      <c r="J10" s="162"/>
      <c r="K10" s="34" t="s">
        <v>80</v>
      </c>
      <c r="L10" s="34" t="s">
        <v>106</v>
      </c>
      <c r="M10" s="34" t="s">
        <v>109</v>
      </c>
    </row>
    <row r="11" spans="1:13" ht="13.5" customHeight="1">
      <c r="A11" s="52" t="s">
        <v>17</v>
      </c>
      <c r="B11" s="25" t="s">
        <v>72</v>
      </c>
      <c r="C11" s="168" t="s">
        <v>254</v>
      </c>
      <c r="D11" s="169"/>
      <c r="E11" s="169"/>
      <c r="F11" s="169"/>
      <c r="G11" s="169"/>
      <c r="H11" s="169"/>
      <c r="I11" s="169"/>
      <c r="J11" s="170"/>
      <c r="K11" s="33" t="s">
        <v>81</v>
      </c>
      <c r="L11" s="33" t="s">
        <v>106</v>
      </c>
      <c r="M11" s="33" t="s">
        <v>110</v>
      </c>
    </row>
    <row r="12" spans="1:13" ht="13.5" customHeight="1">
      <c r="A12" s="52" t="s">
        <v>18</v>
      </c>
      <c r="B12" s="24" t="s">
        <v>73</v>
      </c>
      <c r="C12" s="160" t="s">
        <v>255</v>
      </c>
      <c r="D12" s="161"/>
      <c r="E12" s="161"/>
      <c r="F12" s="161"/>
      <c r="G12" s="161"/>
      <c r="H12" s="161"/>
      <c r="I12" s="161"/>
      <c r="J12" s="162"/>
      <c r="K12" s="34" t="s">
        <v>82</v>
      </c>
      <c r="L12" s="34" t="s">
        <v>106</v>
      </c>
      <c r="M12" s="34" t="s">
        <v>111</v>
      </c>
    </row>
    <row r="13" spans="1:13" ht="22.5" customHeight="1">
      <c r="A13" s="52" t="s">
        <v>19</v>
      </c>
      <c r="B13" s="25" t="s">
        <v>74</v>
      </c>
      <c r="C13" s="168" t="s">
        <v>256</v>
      </c>
      <c r="D13" s="169"/>
      <c r="E13" s="169"/>
      <c r="F13" s="169"/>
      <c r="G13" s="169"/>
      <c r="H13" s="169"/>
      <c r="I13" s="169"/>
      <c r="J13" s="170"/>
      <c r="K13" s="33" t="s">
        <v>83</v>
      </c>
      <c r="L13" s="33" t="s">
        <v>106</v>
      </c>
      <c r="M13" s="33" t="s">
        <v>112</v>
      </c>
    </row>
    <row r="14" spans="1:13" ht="33" customHeight="1">
      <c r="A14" s="52" t="s">
        <v>20</v>
      </c>
      <c r="B14" s="24" t="s">
        <v>194</v>
      </c>
      <c r="C14" s="160" t="s">
        <v>257</v>
      </c>
      <c r="D14" s="161"/>
      <c r="E14" s="161"/>
      <c r="F14" s="161"/>
      <c r="G14" s="161"/>
      <c r="H14" s="161"/>
      <c r="I14" s="161"/>
      <c r="J14" s="162"/>
      <c r="K14" s="34" t="s">
        <v>84</v>
      </c>
      <c r="L14" s="34" t="s">
        <v>106</v>
      </c>
      <c r="M14" s="34" t="s">
        <v>113</v>
      </c>
    </row>
    <row r="15" spans="1:13" ht="22.5" customHeight="1">
      <c r="A15" s="52" t="s">
        <v>21</v>
      </c>
      <c r="B15" s="25" t="s">
        <v>151</v>
      </c>
      <c r="C15" s="168" t="s">
        <v>258</v>
      </c>
      <c r="D15" s="169"/>
      <c r="E15" s="169"/>
      <c r="F15" s="169"/>
      <c r="G15" s="169"/>
      <c r="H15" s="169"/>
      <c r="I15" s="169"/>
      <c r="J15" s="170"/>
      <c r="K15" s="33" t="s">
        <v>85</v>
      </c>
      <c r="L15" s="33" t="s">
        <v>106</v>
      </c>
      <c r="M15" s="33" t="s">
        <v>114</v>
      </c>
    </row>
    <row r="16" spans="1:13" ht="22.5" customHeight="1">
      <c r="A16" s="52" t="s">
        <v>22</v>
      </c>
      <c r="B16" s="24" t="s">
        <v>152</v>
      </c>
      <c r="C16" s="160" t="s">
        <v>259</v>
      </c>
      <c r="D16" s="161"/>
      <c r="E16" s="161"/>
      <c r="F16" s="161"/>
      <c r="G16" s="161"/>
      <c r="H16" s="161"/>
      <c r="I16" s="161"/>
      <c r="J16" s="162"/>
      <c r="K16" s="34" t="s">
        <v>86</v>
      </c>
      <c r="L16" s="34" t="s">
        <v>106</v>
      </c>
      <c r="M16" s="34" t="s">
        <v>115</v>
      </c>
    </row>
    <row r="17" spans="1:13" ht="13.5" customHeight="1">
      <c r="A17" s="52" t="s">
        <v>23</v>
      </c>
      <c r="B17" s="25" t="s">
        <v>153</v>
      </c>
      <c r="C17" s="168" t="s">
        <v>260</v>
      </c>
      <c r="D17" s="169"/>
      <c r="E17" s="169"/>
      <c r="F17" s="169"/>
      <c r="G17" s="169"/>
      <c r="H17" s="169"/>
      <c r="I17" s="169"/>
      <c r="J17" s="170"/>
      <c r="K17" s="33" t="s">
        <v>87</v>
      </c>
      <c r="L17" s="33" t="s">
        <v>106</v>
      </c>
      <c r="M17" s="33" t="s">
        <v>116</v>
      </c>
    </row>
    <row r="18" spans="1:13" ht="22.5" customHeight="1">
      <c r="A18" s="52" t="s">
        <v>24</v>
      </c>
      <c r="B18" s="24" t="s">
        <v>154</v>
      </c>
      <c r="C18" s="160" t="s">
        <v>261</v>
      </c>
      <c r="D18" s="161"/>
      <c r="E18" s="161"/>
      <c r="F18" s="161"/>
      <c r="G18" s="161"/>
      <c r="H18" s="161"/>
      <c r="I18" s="161"/>
      <c r="J18" s="162"/>
      <c r="K18" s="34" t="s">
        <v>88</v>
      </c>
      <c r="L18" s="34" t="s">
        <v>106</v>
      </c>
      <c r="M18" s="34" t="s">
        <v>117</v>
      </c>
    </row>
    <row r="19" spans="1:13" ht="13.5" customHeight="1">
      <c r="A19" s="52" t="s">
        <v>25</v>
      </c>
      <c r="B19" s="25" t="s">
        <v>155</v>
      </c>
      <c r="C19" s="168" t="s">
        <v>262</v>
      </c>
      <c r="D19" s="169"/>
      <c r="E19" s="169"/>
      <c r="F19" s="169"/>
      <c r="G19" s="169"/>
      <c r="H19" s="169"/>
      <c r="I19" s="169"/>
      <c r="J19" s="170"/>
      <c r="K19" s="33" t="s">
        <v>89</v>
      </c>
      <c r="L19" s="33" t="s">
        <v>106</v>
      </c>
      <c r="M19" s="33" t="s">
        <v>118</v>
      </c>
    </row>
    <row r="20" spans="1:13" ht="13.5" customHeight="1">
      <c r="A20" s="52" t="s">
        <v>26</v>
      </c>
      <c r="B20" s="24" t="s">
        <v>75</v>
      </c>
      <c r="C20" s="160" t="s">
        <v>351</v>
      </c>
      <c r="D20" s="161"/>
      <c r="E20" s="161"/>
      <c r="F20" s="161"/>
      <c r="G20" s="161"/>
      <c r="H20" s="161"/>
      <c r="I20" s="161"/>
      <c r="J20" s="162"/>
      <c r="K20" s="34" t="s">
        <v>90</v>
      </c>
      <c r="L20" s="34" t="s">
        <v>106</v>
      </c>
      <c r="M20" s="34" t="s">
        <v>119</v>
      </c>
    </row>
    <row r="21" spans="1:13" ht="13.5" customHeight="1">
      <c r="A21" s="52" t="s">
        <v>27</v>
      </c>
      <c r="B21" s="25" t="s">
        <v>76</v>
      </c>
      <c r="C21" s="168" t="s">
        <v>159</v>
      </c>
      <c r="D21" s="169"/>
      <c r="E21" s="169"/>
      <c r="F21" s="169"/>
      <c r="G21" s="169"/>
      <c r="H21" s="169"/>
      <c r="I21" s="169"/>
      <c r="J21" s="170"/>
      <c r="K21" s="33" t="s">
        <v>91</v>
      </c>
      <c r="L21" s="33" t="s">
        <v>106</v>
      </c>
      <c r="M21" s="33" t="s">
        <v>158</v>
      </c>
    </row>
    <row r="22" spans="1:13" ht="27.75" customHeight="1">
      <c r="A22" s="52" t="s">
        <v>28</v>
      </c>
      <c r="B22" s="22" t="s">
        <v>286</v>
      </c>
      <c r="C22" s="157" t="s">
        <v>350</v>
      </c>
      <c r="D22" s="158"/>
      <c r="E22" s="159"/>
      <c r="F22" s="62"/>
      <c r="G22" s="62"/>
      <c r="H22" s="62"/>
      <c r="I22" s="62"/>
      <c r="J22" s="63"/>
      <c r="K22" s="46" t="s">
        <v>92</v>
      </c>
      <c r="L22" s="47" t="s">
        <v>106</v>
      </c>
      <c r="M22" s="64"/>
    </row>
    <row r="23" spans="1:13" ht="25.5" customHeight="1">
      <c r="A23" s="52" t="s">
        <v>29</v>
      </c>
      <c r="B23" s="22" t="s">
        <v>230</v>
      </c>
      <c r="C23" s="157" t="s">
        <v>319</v>
      </c>
      <c r="D23" s="158"/>
      <c r="E23" s="159"/>
      <c r="F23" s="27"/>
      <c r="G23" s="28"/>
      <c r="H23" s="28"/>
      <c r="I23" s="28"/>
      <c r="J23" s="29"/>
      <c r="K23" s="46" t="s">
        <v>93</v>
      </c>
      <c r="L23" s="47" t="s">
        <v>106</v>
      </c>
      <c r="M23" s="30"/>
    </row>
    <row r="24" spans="1:13" ht="38.25" customHeight="1">
      <c r="A24" s="52" t="s">
        <v>30</v>
      </c>
      <c r="B24" s="25" t="s">
        <v>9</v>
      </c>
      <c r="C24" s="178" t="s">
        <v>382</v>
      </c>
      <c r="D24" s="179"/>
      <c r="E24" s="180"/>
      <c r="F24" s="27"/>
      <c r="G24" s="28"/>
      <c r="H24" s="28"/>
      <c r="I24" s="28"/>
      <c r="J24" s="29"/>
      <c r="K24" s="44" t="s">
        <v>94</v>
      </c>
      <c r="L24" s="33" t="s">
        <v>106</v>
      </c>
      <c r="M24" s="30"/>
    </row>
    <row r="25" spans="1:13" ht="13.5" customHeight="1">
      <c r="A25" s="52" t="s">
        <v>31</v>
      </c>
      <c r="B25" s="50" t="s">
        <v>6</v>
      </c>
      <c r="C25" s="160" t="s">
        <v>352</v>
      </c>
      <c r="D25" s="161"/>
      <c r="E25" s="162"/>
      <c r="F25" s="27"/>
      <c r="G25" s="28"/>
      <c r="H25" s="28"/>
      <c r="I25" s="28"/>
      <c r="J25" s="29"/>
      <c r="K25" s="43" t="s">
        <v>95</v>
      </c>
      <c r="L25" s="34" t="s">
        <v>106</v>
      </c>
      <c r="M25" s="30"/>
    </row>
    <row r="26" spans="1:13" ht="13.5" customHeight="1">
      <c r="A26" s="52" t="s">
        <v>32</v>
      </c>
      <c r="B26" s="25" t="s">
        <v>7</v>
      </c>
      <c r="C26" s="168" t="s">
        <v>318</v>
      </c>
      <c r="D26" s="169"/>
      <c r="E26" s="170"/>
      <c r="F26" s="27"/>
      <c r="G26" s="28"/>
      <c r="H26" s="28"/>
      <c r="I26" s="28"/>
      <c r="J26" s="29"/>
      <c r="K26" s="44" t="s">
        <v>96</v>
      </c>
      <c r="L26" s="33" t="s">
        <v>106</v>
      </c>
      <c r="M26" s="30"/>
    </row>
    <row r="27" spans="1:13" ht="13.5" customHeight="1">
      <c r="A27" s="52" t="s">
        <v>33</v>
      </c>
      <c r="B27" s="50" t="s">
        <v>6</v>
      </c>
      <c r="C27" s="160" t="s">
        <v>316</v>
      </c>
      <c r="D27" s="161"/>
      <c r="E27" s="162"/>
      <c r="F27" s="27"/>
      <c r="G27" s="28"/>
      <c r="H27" s="28"/>
      <c r="I27" s="28"/>
      <c r="J27" s="29"/>
      <c r="K27" s="43" t="s">
        <v>97</v>
      </c>
      <c r="L27" s="34" t="s">
        <v>106</v>
      </c>
      <c r="M27" s="30"/>
    </row>
    <row r="28" spans="1:13" ht="33" customHeight="1">
      <c r="A28" s="52" t="s">
        <v>34</v>
      </c>
      <c r="B28" s="25" t="s">
        <v>10</v>
      </c>
      <c r="C28" s="168" t="s">
        <v>263</v>
      </c>
      <c r="D28" s="169"/>
      <c r="E28" s="170"/>
      <c r="F28" s="27"/>
      <c r="G28" s="28"/>
      <c r="H28" s="28"/>
      <c r="I28" s="28"/>
      <c r="J28" s="29"/>
      <c r="K28" s="44" t="s">
        <v>98</v>
      </c>
      <c r="L28" s="33" t="s">
        <v>106</v>
      </c>
      <c r="M28" s="30"/>
    </row>
    <row r="29" spans="1:13" ht="13.5" customHeight="1">
      <c r="A29" s="52" t="s">
        <v>35</v>
      </c>
      <c r="B29" s="50" t="s">
        <v>6</v>
      </c>
      <c r="C29" s="160" t="s">
        <v>264</v>
      </c>
      <c r="D29" s="161"/>
      <c r="E29" s="162"/>
      <c r="F29" s="27"/>
      <c r="G29" s="28"/>
      <c r="H29" s="28"/>
      <c r="I29" s="28"/>
      <c r="J29" s="29"/>
      <c r="K29" s="43" t="s">
        <v>99</v>
      </c>
      <c r="L29" s="34" t="s">
        <v>106</v>
      </c>
      <c r="M29" s="30"/>
    </row>
    <row r="30" spans="1:13" ht="33" customHeight="1">
      <c r="A30" s="52" t="s">
        <v>36</v>
      </c>
      <c r="B30" s="25" t="s">
        <v>11</v>
      </c>
      <c r="C30" s="168" t="s">
        <v>265</v>
      </c>
      <c r="D30" s="169"/>
      <c r="E30" s="170"/>
      <c r="F30" s="27"/>
      <c r="G30" s="28"/>
      <c r="H30" s="28"/>
      <c r="I30" s="28"/>
      <c r="J30" s="29"/>
      <c r="K30" s="43" t="s">
        <v>100</v>
      </c>
      <c r="L30" s="34" t="s">
        <v>106</v>
      </c>
      <c r="M30" s="30"/>
    </row>
    <row r="31" spans="1:13" ht="13.5" customHeight="1">
      <c r="A31" s="52" t="s">
        <v>37</v>
      </c>
      <c r="B31" s="50" t="s">
        <v>6</v>
      </c>
      <c r="C31" s="160" t="s">
        <v>266</v>
      </c>
      <c r="D31" s="161"/>
      <c r="E31" s="162"/>
      <c r="F31" s="27"/>
      <c r="G31" s="28"/>
      <c r="H31" s="28"/>
      <c r="I31" s="28"/>
      <c r="J31" s="29"/>
      <c r="K31" s="43" t="s">
        <v>101</v>
      </c>
      <c r="L31" s="34" t="s">
        <v>106</v>
      </c>
      <c r="M31" s="30"/>
    </row>
    <row r="32" spans="1:13" ht="45">
      <c r="A32" s="52" t="s">
        <v>38</v>
      </c>
      <c r="B32" s="25" t="s">
        <v>317</v>
      </c>
      <c r="C32" s="168" t="s">
        <v>363</v>
      </c>
      <c r="D32" s="169"/>
      <c r="E32" s="170"/>
      <c r="F32" s="27"/>
      <c r="G32" s="28"/>
      <c r="H32" s="28"/>
      <c r="I32" s="28"/>
      <c r="J32" s="29"/>
      <c r="K32" s="43" t="s">
        <v>102</v>
      </c>
      <c r="L32" s="34" t="s">
        <v>106</v>
      </c>
      <c r="M32" s="30"/>
    </row>
    <row r="33" spans="1:13" ht="12.75">
      <c r="A33" s="52" t="s">
        <v>39</v>
      </c>
      <c r="B33" s="50" t="s">
        <v>6</v>
      </c>
      <c r="C33" s="160" t="s">
        <v>311</v>
      </c>
      <c r="D33" s="161"/>
      <c r="E33" s="162"/>
      <c r="F33" s="27"/>
      <c r="G33" s="28"/>
      <c r="H33" s="28"/>
      <c r="I33" s="28"/>
      <c r="J33" s="29"/>
      <c r="K33" s="43" t="s">
        <v>103</v>
      </c>
      <c r="L33" s="33" t="s">
        <v>106</v>
      </c>
      <c r="M33" s="30"/>
    </row>
    <row r="34" spans="1:13" ht="22.5" customHeight="1">
      <c r="A34" s="52" t="s">
        <v>68</v>
      </c>
      <c r="B34" s="25" t="s">
        <v>8</v>
      </c>
      <c r="C34" s="168" t="s">
        <v>267</v>
      </c>
      <c r="D34" s="169"/>
      <c r="E34" s="170"/>
      <c r="F34" s="27"/>
      <c r="G34" s="28"/>
      <c r="H34" s="28"/>
      <c r="I34" s="28"/>
      <c r="J34" s="29"/>
      <c r="K34" s="44" t="s">
        <v>104</v>
      </c>
      <c r="L34" s="34" t="s">
        <v>106</v>
      </c>
      <c r="M34" s="30"/>
    </row>
    <row r="35" spans="1:13" ht="13.5" customHeight="1">
      <c r="A35" s="52" t="s">
        <v>69</v>
      </c>
      <c r="B35" s="50" t="s">
        <v>6</v>
      </c>
      <c r="C35" s="160" t="s">
        <v>268</v>
      </c>
      <c r="D35" s="161"/>
      <c r="E35" s="162"/>
      <c r="F35" s="27"/>
      <c r="G35" s="28"/>
      <c r="H35" s="28"/>
      <c r="I35" s="28"/>
      <c r="J35" s="29"/>
      <c r="K35" s="44" t="s">
        <v>105</v>
      </c>
      <c r="L35" s="34" t="s">
        <v>106</v>
      </c>
      <c r="M35" s="30"/>
    </row>
    <row r="36" spans="1:13" ht="13.5" customHeight="1">
      <c r="A36" s="52" t="s">
        <v>156</v>
      </c>
      <c r="B36" s="22" t="s">
        <v>290</v>
      </c>
      <c r="C36" s="168" t="s">
        <v>280</v>
      </c>
      <c r="D36" s="169"/>
      <c r="E36" s="170"/>
      <c r="F36" s="27"/>
      <c r="G36" s="28"/>
      <c r="H36" s="28"/>
      <c r="I36" s="28"/>
      <c r="J36" s="29"/>
      <c r="K36" s="44" t="s">
        <v>157</v>
      </c>
      <c r="L36" s="34" t="s">
        <v>106</v>
      </c>
      <c r="M36" s="30"/>
    </row>
    <row r="37" spans="1:13" ht="13.5" customHeight="1">
      <c r="A37" s="52" t="s">
        <v>161</v>
      </c>
      <c r="B37" s="50" t="s">
        <v>291</v>
      </c>
      <c r="C37" s="160" t="s">
        <v>279</v>
      </c>
      <c r="D37" s="161"/>
      <c r="E37" s="162"/>
      <c r="F37" s="27"/>
      <c r="G37" s="28"/>
      <c r="H37" s="28"/>
      <c r="I37" s="28"/>
      <c r="J37" s="29"/>
      <c r="K37" s="44" t="s">
        <v>163</v>
      </c>
      <c r="L37" s="34" t="s">
        <v>106</v>
      </c>
      <c r="M37" s="30"/>
    </row>
    <row r="38" spans="1:13" ht="13.5" customHeight="1">
      <c r="A38" s="52" t="s">
        <v>162</v>
      </c>
      <c r="B38" s="22" t="s">
        <v>339</v>
      </c>
      <c r="C38" s="168" t="s">
        <v>341</v>
      </c>
      <c r="D38" s="169"/>
      <c r="E38" s="170"/>
      <c r="F38" s="27"/>
      <c r="G38" s="28"/>
      <c r="H38" s="28"/>
      <c r="I38" s="28"/>
      <c r="J38" s="29"/>
      <c r="K38" s="44" t="s">
        <v>164</v>
      </c>
      <c r="L38" s="34" t="s">
        <v>106</v>
      </c>
      <c r="M38" s="30"/>
    </row>
    <row r="39" spans="1:13" ht="13.5" customHeight="1">
      <c r="A39" s="52" t="s">
        <v>226</v>
      </c>
      <c r="B39" s="50" t="s">
        <v>340</v>
      </c>
      <c r="C39" s="160" t="s">
        <v>342</v>
      </c>
      <c r="D39" s="161"/>
      <c r="E39" s="162"/>
      <c r="F39" s="27"/>
      <c r="G39" s="28"/>
      <c r="H39" s="28"/>
      <c r="I39" s="28"/>
      <c r="J39" s="29"/>
      <c r="K39" s="44" t="s">
        <v>227</v>
      </c>
      <c r="L39" s="34" t="s">
        <v>106</v>
      </c>
      <c r="M39" s="30"/>
    </row>
    <row r="40" spans="1:13" s="6" customFormat="1" ht="25.5" customHeight="1">
      <c r="A40" s="52" t="s">
        <v>281</v>
      </c>
      <c r="B40" s="23" t="s">
        <v>231</v>
      </c>
      <c r="C40" s="163" t="s">
        <v>345</v>
      </c>
      <c r="D40" s="164"/>
      <c r="E40" s="165"/>
      <c r="F40" s="27"/>
      <c r="G40" s="28"/>
      <c r="H40" s="28"/>
      <c r="I40" s="28"/>
      <c r="J40" s="29"/>
      <c r="K40" s="48" t="s">
        <v>283</v>
      </c>
      <c r="L40" s="49" t="s">
        <v>106</v>
      </c>
      <c r="M40" s="31"/>
    </row>
    <row r="41" spans="1:13" ht="24.75" customHeight="1">
      <c r="A41" s="52" t="s">
        <v>282</v>
      </c>
      <c r="B41" s="24" t="s">
        <v>198</v>
      </c>
      <c r="C41" s="147" t="s">
        <v>269</v>
      </c>
      <c r="D41" s="148"/>
      <c r="E41" s="149"/>
      <c r="F41" s="27"/>
      <c r="G41" s="28"/>
      <c r="H41" s="28"/>
      <c r="I41" s="28"/>
      <c r="J41" s="29"/>
      <c r="K41" s="43" t="s">
        <v>284</v>
      </c>
      <c r="L41" s="34" t="s">
        <v>106</v>
      </c>
      <c r="M41" s="30"/>
    </row>
    <row r="42" spans="1:13" ht="24.75" customHeight="1">
      <c r="A42" s="52" t="s">
        <v>287</v>
      </c>
      <c r="B42" s="24" t="s">
        <v>197</v>
      </c>
      <c r="C42" s="147" t="s">
        <v>270</v>
      </c>
      <c r="D42" s="148"/>
      <c r="E42" s="149"/>
      <c r="F42" s="27"/>
      <c r="G42" s="28"/>
      <c r="H42" s="28"/>
      <c r="I42" s="28"/>
      <c r="J42" s="29"/>
      <c r="K42" s="43" t="s">
        <v>288</v>
      </c>
      <c r="L42" s="34" t="s">
        <v>106</v>
      </c>
      <c r="M42" s="30"/>
    </row>
    <row r="43" spans="1:13" ht="24.75" customHeight="1">
      <c r="A43" s="52" t="s">
        <v>312</v>
      </c>
      <c r="B43" s="24" t="s">
        <v>196</v>
      </c>
      <c r="C43" s="147" t="s">
        <v>271</v>
      </c>
      <c r="D43" s="148"/>
      <c r="E43" s="149"/>
      <c r="F43" s="27"/>
      <c r="G43" s="28"/>
      <c r="H43" s="28"/>
      <c r="I43" s="28"/>
      <c r="J43" s="29"/>
      <c r="K43" s="43" t="s">
        <v>314</v>
      </c>
      <c r="L43" s="34" t="s">
        <v>106</v>
      </c>
      <c r="M43" s="30"/>
    </row>
    <row r="44" spans="1:13" ht="24.75" customHeight="1">
      <c r="A44" s="52" t="s">
        <v>313</v>
      </c>
      <c r="B44" s="24" t="s">
        <v>195</v>
      </c>
      <c r="C44" s="147" t="s">
        <v>272</v>
      </c>
      <c r="D44" s="148"/>
      <c r="E44" s="149"/>
      <c r="F44" s="27"/>
      <c r="G44" s="28"/>
      <c r="H44" s="28"/>
      <c r="I44" s="28"/>
      <c r="J44" s="29"/>
      <c r="K44" s="43" t="s">
        <v>315</v>
      </c>
      <c r="L44" s="34" t="s">
        <v>106</v>
      </c>
      <c r="M44" s="30"/>
    </row>
    <row r="45" spans="1:13" ht="24.75" customHeight="1">
      <c r="A45" s="52" t="s">
        <v>343</v>
      </c>
      <c r="B45" s="24" t="s">
        <v>225</v>
      </c>
      <c r="C45" s="147" t="s">
        <v>273</v>
      </c>
      <c r="D45" s="148"/>
      <c r="E45" s="149"/>
      <c r="F45" s="27"/>
      <c r="G45" s="28"/>
      <c r="H45" s="28"/>
      <c r="I45" s="28"/>
      <c r="J45" s="29"/>
      <c r="K45" s="43" t="s">
        <v>346</v>
      </c>
      <c r="L45" s="34" t="s">
        <v>106</v>
      </c>
      <c r="M45" s="30"/>
    </row>
    <row r="46" spans="1:13" ht="24.75" customHeight="1">
      <c r="A46" s="52" t="s">
        <v>344</v>
      </c>
      <c r="B46" s="24" t="s">
        <v>193</v>
      </c>
      <c r="C46" s="147" t="s">
        <v>380</v>
      </c>
      <c r="D46" s="148"/>
      <c r="E46" s="149"/>
      <c r="F46" s="27"/>
      <c r="G46" s="28"/>
      <c r="H46" s="28"/>
      <c r="I46" s="28"/>
      <c r="J46" s="29"/>
      <c r="K46" s="43" t="s">
        <v>347</v>
      </c>
      <c r="L46" s="34" t="s">
        <v>106</v>
      </c>
      <c r="M46" s="30"/>
    </row>
    <row r="47" spans="1:13" s="6" customFormat="1" ht="13.5" customHeight="1">
      <c r="A47" s="54"/>
      <c r="B47" s="26"/>
      <c r="C47" s="8"/>
      <c r="D47" s="9"/>
      <c r="E47" s="9"/>
      <c r="F47" s="18"/>
      <c r="G47" s="18"/>
      <c r="H47" s="18"/>
      <c r="I47" s="18"/>
      <c r="J47" s="18"/>
      <c r="K47" s="10"/>
      <c r="L47" s="10"/>
      <c r="M47" s="4"/>
    </row>
    <row r="48" spans="1:13" s="6" customFormat="1" ht="13.5" customHeight="1">
      <c r="A48" s="53" t="s">
        <v>12</v>
      </c>
      <c r="B48" s="67" t="s">
        <v>5</v>
      </c>
      <c r="C48" s="171" t="s">
        <v>212</v>
      </c>
      <c r="D48" s="172"/>
      <c r="E48" s="172"/>
      <c r="F48" s="172"/>
      <c r="G48" s="172"/>
      <c r="H48" s="172"/>
      <c r="I48" s="172"/>
      <c r="J48" s="173"/>
      <c r="K48" s="47">
        <v>100</v>
      </c>
      <c r="L48" s="47" t="s">
        <v>106</v>
      </c>
      <c r="M48" s="47">
        <v>100</v>
      </c>
    </row>
    <row r="49" spans="1:13" s="6" customFormat="1" ht="41.25" customHeight="1">
      <c r="A49" s="53" t="s">
        <v>300</v>
      </c>
      <c r="B49" s="67" t="s">
        <v>301</v>
      </c>
      <c r="C49" s="174" t="s">
        <v>381</v>
      </c>
      <c r="D49" s="175"/>
      <c r="E49" s="175"/>
      <c r="F49" s="175"/>
      <c r="G49" s="175"/>
      <c r="H49" s="175"/>
      <c r="I49" s="175"/>
      <c r="J49" s="176"/>
      <c r="K49" s="47">
        <v>100</v>
      </c>
      <c r="L49" s="47" t="s">
        <v>106</v>
      </c>
      <c r="M49" s="47" t="s">
        <v>302</v>
      </c>
    </row>
    <row r="50" spans="1:13" s="6" customFormat="1" ht="13.5" customHeight="1">
      <c r="A50" s="53" t="s">
        <v>303</v>
      </c>
      <c r="B50" s="67" t="s">
        <v>304</v>
      </c>
      <c r="C50" s="171" t="s">
        <v>305</v>
      </c>
      <c r="D50" s="172"/>
      <c r="E50" s="172"/>
      <c r="F50" s="172"/>
      <c r="G50" s="172"/>
      <c r="H50" s="172"/>
      <c r="I50" s="172"/>
      <c r="J50" s="173"/>
      <c r="K50" s="47">
        <v>100</v>
      </c>
      <c r="L50" s="47" t="s">
        <v>106</v>
      </c>
      <c r="M50" s="47" t="s">
        <v>306</v>
      </c>
    </row>
    <row r="51" spans="1:13" s="6" customFormat="1" ht="13.5" customHeight="1">
      <c r="A51" s="54"/>
      <c r="B51" s="26"/>
      <c r="C51" s="8"/>
      <c r="D51" s="9"/>
      <c r="E51" s="9"/>
      <c r="F51" s="18"/>
      <c r="G51" s="18"/>
      <c r="H51" s="18"/>
      <c r="I51" s="18"/>
      <c r="J51" s="18"/>
      <c r="K51" s="10"/>
      <c r="L51" s="10"/>
      <c r="M51" s="4"/>
    </row>
    <row r="52" spans="1:13" s="6" customFormat="1" ht="13.5" customHeight="1">
      <c r="A52" s="54"/>
      <c r="B52" s="26"/>
      <c r="C52" s="8"/>
      <c r="D52" s="9"/>
      <c r="E52" s="9"/>
      <c r="F52" s="18"/>
      <c r="G52" s="18"/>
      <c r="H52" s="18"/>
      <c r="I52" s="18"/>
      <c r="J52" s="18"/>
      <c r="K52" s="10"/>
      <c r="L52" s="10"/>
      <c r="M52" s="4"/>
    </row>
    <row r="53" spans="1:13" s="6" customFormat="1" ht="13.5" customHeight="1">
      <c r="A53" s="54"/>
      <c r="B53" s="26"/>
      <c r="C53" s="8"/>
      <c r="D53" s="9"/>
      <c r="E53" s="9"/>
      <c r="F53" s="18"/>
      <c r="G53" s="18"/>
      <c r="H53" s="18"/>
      <c r="I53" s="18"/>
      <c r="J53" s="18"/>
      <c r="K53" s="10"/>
      <c r="L53" s="10"/>
      <c r="M53" s="4"/>
    </row>
    <row r="54" spans="1:13" s="6" customFormat="1" ht="13.5" customHeight="1">
      <c r="A54" s="54"/>
      <c r="B54" s="26"/>
      <c r="C54" s="8"/>
      <c r="D54" s="9"/>
      <c r="E54" s="9"/>
      <c r="F54" s="18"/>
      <c r="G54" s="18"/>
      <c r="H54" s="18"/>
      <c r="I54" s="18"/>
      <c r="J54" s="18"/>
      <c r="K54" s="10"/>
      <c r="L54" s="10"/>
      <c r="M54" s="4"/>
    </row>
    <row r="55" spans="2:13" ht="46.5" customHeight="1">
      <c r="B55" s="131" t="str">
        <f>CONCATENATE("Informacja z wykonania budżetów jednostek samorządu terytorialnego za ",$D$109," ",$C$110," roku")</f>
        <v>Informacja z wykonania budżetów jednostek samorządu terytorialnego za - 2021 roku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</row>
    <row r="56" spans="1:13" s="6" customFormat="1" ht="13.5" customHeight="1">
      <c r="A56" s="53"/>
      <c r="B56" s="7"/>
      <c r="C56" s="8"/>
      <c r="D56" s="9"/>
      <c r="E56" s="9"/>
      <c r="F56" s="5"/>
      <c r="G56" s="5"/>
      <c r="H56" s="5"/>
      <c r="I56" s="5"/>
      <c r="J56" s="5"/>
      <c r="K56" s="10"/>
      <c r="L56" s="10"/>
      <c r="M56" s="4"/>
    </row>
    <row r="57" spans="2:27" ht="29.25" customHeight="1">
      <c r="B57" s="132" t="s">
        <v>0</v>
      </c>
      <c r="C57" s="143" t="s">
        <v>221</v>
      </c>
      <c r="D57" s="143" t="s">
        <v>222</v>
      </c>
      <c r="E57" s="143" t="s">
        <v>223</v>
      </c>
      <c r="F57" s="143" t="s">
        <v>40</v>
      </c>
      <c r="G57" s="143"/>
      <c r="H57" s="143"/>
      <c r="I57" s="143" t="s">
        <v>348</v>
      </c>
      <c r="J57" s="143"/>
      <c r="K57" s="143" t="s">
        <v>2</v>
      </c>
      <c r="L57" s="145" t="s">
        <v>184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18" customHeight="1">
      <c r="B58" s="132"/>
      <c r="C58" s="143"/>
      <c r="D58" s="134"/>
      <c r="E58" s="143"/>
      <c r="F58" s="138" t="s">
        <v>224</v>
      </c>
      <c r="G58" s="144" t="s">
        <v>182</v>
      </c>
      <c r="H58" s="134"/>
      <c r="I58" s="143"/>
      <c r="J58" s="143"/>
      <c r="K58" s="143"/>
      <c r="L58" s="145"/>
      <c r="M58" s="12"/>
      <c r="N58" s="1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6" customHeight="1">
      <c r="B59" s="132"/>
      <c r="C59" s="143"/>
      <c r="D59" s="134"/>
      <c r="E59" s="143"/>
      <c r="F59" s="134"/>
      <c r="G59" s="20" t="s">
        <v>202</v>
      </c>
      <c r="H59" s="20" t="s">
        <v>203</v>
      </c>
      <c r="I59" s="143"/>
      <c r="J59" s="143"/>
      <c r="K59" s="143"/>
      <c r="L59" s="145"/>
      <c r="M59" s="12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2:27" ht="13.5" customHeight="1">
      <c r="B60" s="132"/>
      <c r="C60" s="19" t="s">
        <v>205</v>
      </c>
      <c r="D60" s="19" t="s">
        <v>213</v>
      </c>
      <c r="E60" s="19" t="s">
        <v>214</v>
      </c>
      <c r="F60" s="19" t="s">
        <v>215</v>
      </c>
      <c r="G60" s="19" t="s">
        <v>216</v>
      </c>
      <c r="H60" s="19" t="s">
        <v>217</v>
      </c>
      <c r="I60" s="188" t="s">
        <v>218</v>
      </c>
      <c r="J60" s="190"/>
      <c r="K60" s="133" t="s">
        <v>4</v>
      </c>
      <c r="L60" s="13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2:27" ht="11.25" customHeight="1">
      <c r="B61" s="19">
        <v>1</v>
      </c>
      <c r="C61" s="21">
        <v>2</v>
      </c>
      <c r="D61" s="21">
        <v>3</v>
      </c>
      <c r="E61" s="21">
        <v>4</v>
      </c>
      <c r="F61" s="19">
        <v>5</v>
      </c>
      <c r="G61" s="19">
        <v>6</v>
      </c>
      <c r="H61" s="21">
        <v>7</v>
      </c>
      <c r="I61" s="134">
        <v>8</v>
      </c>
      <c r="J61" s="134"/>
      <c r="K61" s="19">
        <v>9</v>
      </c>
      <c r="L61" s="21">
        <v>10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12" ht="25.5" customHeight="1">
      <c r="A62" s="52" t="s">
        <v>43</v>
      </c>
      <c r="B62" s="22" t="s">
        <v>232</v>
      </c>
      <c r="C62" s="146" t="s">
        <v>204</v>
      </c>
      <c r="D62" s="146"/>
      <c r="E62" s="146"/>
      <c r="F62" s="146"/>
      <c r="G62" s="146"/>
      <c r="H62" s="146"/>
      <c r="I62" s="146"/>
      <c r="J62" s="146"/>
      <c r="K62" s="37">
        <v>100</v>
      </c>
      <c r="L62" s="37" t="s">
        <v>106</v>
      </c>
    </row>
    <row r="63" spans="1:12" ht="40.5" customHeight="1">
      <c r="A63" s="52" t="s">
        <v>44</v>
      </c>
      <c r="B63" s="23" t="s">
        <v>42</v>
      </c>
      <c r="C63" s="152" t="s">
        <v>369</v>
      </c>
      <c r="D63" s="152"/>
      <c r="E63" s="152"/>
      <c r="F63" s="152"/>
      <c r="G63" s="152"/>
      <c r="H63" s="152"/>
      <c r="I63" s="152"/>
      <c r="J63" s="152"/>
      <c r="K63" s="38" t="s">
        <v>120</v>
      </c>
      <c r="L63" s="38" t="s">
        <v>106</v>
      </c>
    </row>
    <row r="64" spans="1:12" ht="27" customHeight="1">
      <c r="A64" s="52" t="s">
        <v>45</v>
      </c>
      <c r="B64" s="24" t="s">
        <v>41</v>
      </c>
      <c r="C64" s="150" t="s">
        <v>370</v>
      </c>
      <c r="D64" s="150"/>
      <c r="E64" s="150"/>
      <c r="F64" s="150"/>
      <c r="G64" s="150"/>
      <c r="H64" s="150"/>
      <c r="I64" s="150"/>
      <c r="J64" s="150"/>
      <c r="K64" s="39" t="s">
        <v>121</v>
      </c>
      <c r="L64" s="39" t="s">
        <v>106</v>
      </c>
    </row>
    <row r="65" spans="1:12" ht="25.5" customHeight="1">
      <c r="A65" s="52" t="s">
        <v>46</v>
      </c>
      <c r="B65" s="23" t="s">
        <v>233</v>
      </c>
      <c r="C65" s="152" t="s">
        <v>131</v>
      </c>
      <c r="D65" s="152"/>
      <c r="E65" s="152"/>
      <c r="F65" s="152"/>
      <c r="G65" s="152"/>
      <c r="H65" s="152"/>
      <c r="I65" s="152"/>
      <c r="J65" s="152"/>
      <c r="K65" s="38" t="s">
        <v>122</v>
      </c>
      <c r="L65" s="38" t="s">
        <v>106</v>
      </c>
    </row>
    <row r="66" spans="1:12" ht="25.5" customHeight="1">
      <c r="A66" s="52" t="s">
        <v>47</v>
      </c>
      <c r="B66" s="24" t="s">
        <v>362</v>
      </c>
      <c r="C66" s="151" t="s">
        <v>371</v>
      </c>
      <c r="D66" s="151"/>
      <c r="E66" s="151"/>
      <c r="F66" s="151"/>
      <c r="G66" s="151"/>
      <c r="H66" s="151"/>
      <c r="I66" s="151"/>
      <c r="J66" s="151"/>
      <c r="K66" s="39" t="s">
        <v>123</v>
      </c>
      <c r="L66" s="39" t="s">
        <v>106</v>
      </c>
    </row>
    <row r="67" spans="1:14" ht="36.75" customHeight="1">
      <c r="A67" s="52" t="s">
        <v>48</v>
      </c>
      <c r="B67" s="25" t="s">
        <v>201</v>
      </c>
      <c r="C67" s="153" t="s">
        <v>372</v>
      </c>
      <c r="D67" s="154"/>
      <c r="E67" s="154"/>
      <c r="F67" s="154"/>
      <c r="G67" s="154"/>
      <c r="H67" s="154"/>
      <c r="I67" s="154"/>
      <c r="J67" s="155"/>
      <c r="K67" s="41" t="s">
        <v>124</v>
      </c>
      <c r="L67" s="41" t="s">
        <v>106</v>
      </c>
      <c r="N67" s="123"/>
    </row>
    <row r="68" spans="1:12" ht="13.5" customHeight="1">
      <c r="A68" s="52" t="s">
        <v>49</v>
      </c>
      <c r="B68" s="24" t="s">
        <v>200</v>
      </c>
      <c r="C68" s="151" t="s">
        <v>367</v>
      </c>
      <c r="D68" s="151"/>
      <c r="E68" s="151"/>
      <c r="F68" s="151"/>
      <c r="G68" s="151"/>
      <c r="H68" s="151"/>
      <c r="I68" s="151"/>
      <c r="J68" s="151"/>
      <c r="K68" s="39" t="s">
        <v>125</v>
      </c>
      <c r="L68" s="39" t="s">
        <v>106</v>
      </c>
    </row>
    <row r="69" spans="1:12" ht="22.5" customHeight="1">
      <c r="A69" s="52" t="s">
        <v>50</v>
      </c>
      <c r="B69" s="25" t="s">
        <v>274</v>
      </c>
      <c r="C69" s="191" t="s">
        <v>364</v>
      </c>
      <c r="D69" s="191"/>
      <c r="E69" s="191"/>
      <c r="F69" s="191"/>
      <c r="G69" s="191"/>
      <c r="H69" s="191"/>
      <c r="I69" s="191"/>
      <c r="J69" s="191"/>
      <c r="K69" s="41" t="s">
        <v>126</v>
      </c>
      <c r="L69" s="41" t="s">
        <v>106</v>
      </c>
    </row>
    <row r="70" spans="1:12" ht="22.5" customHeight="1">
      <c r="A70" s="52" t="s">
        <v>51</v>
      </c>
      <c r="B70" s="25" t="s">
        <v>289</v>
      </c>
      <c r="C70" s="192" t="s">
        <v>365</v>
      </c>
      <c r="D70" s="193"/>
      <c r="E70" s="193"/>
      <c r="F70" s="193"/>
      <c r="G70" s="193"/>
      <c r="H70" s="193"/>
      <c r="I70" s="193"/>
      <c r="J70" s="194"/>
      <c r="K70" s="41" t="s">
        <v>127</v>
      </c>
      <c r="L70" s="41" t="s">
        <v>106</v>
      </c>
    </row>
    <row r="71" spans="1:12" ht="13.5" customHeight="1">
      <c r="A71" s="52" t="s">
        <v>52</v>
      </c>
      <c r="B71" s="24" t="s">
        <v>199</v>
      </c>
      <c r="C71" s="151" t="s">
        <v>366</v>
      </c>
      <c r="D71" s="151"/>
      <c r="E71" s="151"/>
      <c r="F71" s="151"/>
      <c r="G71" s="151"/>
      <c r="H71" s="151"/>
      <c r="I71" s="151"/>
      <c r="J71" s="151"/>
      <c r="K71" s="39" t="s">
        <v>128</v>
      </c>
      <c r="L71" s="39" t="s">
        <v>106</v>
      </c>
    </row>
    <row r="72" spans="1:13" ht="24" customHeight="1">
      <c r="A72" s="52" t="s">
        <v>53</v>
      </c>
      <c r="B72" s="23" t="s">
        <v>54</v>
      </c>
      <c r="C72" s="152" t="s">
        <v>129</v>
      </c>
      <c r="D72" s="152"/>
      <c r="E72" s="152"/>
      <c r="F72" s="152"/>
      <c r="G72" s="152"/>
      <c r="H72" s="152"/>
      <c r="I72" s="152"/>
      <c r="J72" s="152"/>
      <c r="K72" s="42"/>
      <c r="L72" s="42"/>
      <c r="M72" s="14"/>
    </row>
    <row r="73" spans="2:13" ht="12" customHeight="1" thickBot="1">
      <c r="B73" s="15"/>
      <c r="C73" s="16"/>
      <c r="D73" s="16"/>
      <c r="E73" s="16"/>
      <c r="F73" s="2"/>
      <c r="G73" s="2"/>
      <c r="H73" s="2"/>
      <c r="I73" s="2"/>
      <c r="L73" s="11"/>
      <c r="M73" s="11"/>
    </row>
    <row r="74" spans="2:13" ht="12" customHeight="1" thickBot="1">
      <c r="B74" s="66" t="s">
        <v>293</v>
      </c>
      <c r="C74" s="16"/>
      <c r="D74" s="16"/>
      <c r="E74" s="16"/>
      <c r="F74" s="2"/>
      <c r="G74" s="2"/>
      <c r="H74" s="2"/>
      <c r="I74" s="2"/>
      <c r="L74" s="11"/>
      <c r="M74" s="11"/>
    </row>
    <row r="75" spans="1:13" ht="12" customHeight="1">
      <c r="A75" s="52" t="s">
        <v>293</v>
      </c>
      <c r="B75" s="65" t="s">
        <v>232</v>
      </c>
      <c r="C75" s="146" t="s">
        <v>373</v>
      </c>
      <c r="D75" s="146"/>
      <c r="E75" s="146"/>
      <c r="F75" s="146"/>
      <c r="G75" s="146"/>
      <c r="H75" s="146"/>
      <c r="I75" s="146"/>
      <c r="J75" s="146"/>
      <c r="K75" s="36">
        <v>100</v>
      </c>
      <c r="L75" s="36" t="s">
        <v>106</v>
      </c>
      <c r="M75" s="11"/>
    </row>
    <row r="76" spans="1:13" ht="36" customHeight="1">
      <c r="A76" s="52" t="s">
        <v>294</v>
      </c>
      <c r="B76" s="23" t="s">
        <v>42</v>
      </c>
      <c r="C76" s="156" t="s">
        <v>368</v>
      </c>
      <c r="D76" s="156"/>
      <c r="E76" s="156"/>
      <c r="F76" s="156"/>
      <c r="G76" s="156"/>
      <c r="H76" s="156"/>
      <c r="I76" s="156"/>
      <c r="J76" s="156"/>
      <c r="K76" s="38" t="s">
        <v>297</v>
      </c>
      <c r="L76" s="38" t="s">
        <v>106</v>
      </c>
      <c r="M76" s="11"/>
    </row>
    <row r="77" spans="1:12" ht="25.5">
      <c r="A77" s="52" t="s">
        <v>295</v>
      </c>
      <c r="B77" s="23" t="s">
        <v>292</v>
      </c>
      <c r="C77" s="152" t="s">
        <v>296</v>
      </c>
      <c r="D77" s="152"/>
      <c r="E77" s="152"/>
      <c r="F77" s="152"/>
      <c r="G77" s="152"/>
      <c r="H77" s="152"/>
      <c r="I77" s="152"/>
      <c r="J77" s="152"/>
      <c r="K77" s="38" t="s">
        <v>298</v>
      </c>
      <c r="L77" s="38" t="s">
        <v>106</v>
      </c>
    </row>
    <row r="78" spans="2:13" ht="75" customHeight="1">
      <c r="B78" s="131" t="str">
        <f>CONCATENATE("Informacja z wykonania budżetów jednostek samorządu terytorialnego za ",$D$109," ",$C$110," roku")</f>
        <v>Informacja z wykonania budżetów jednostek samorządu terytorialnego za - 2021 roku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</row>
    <row r="79" spans="1:9" ht="12.75">
      <c r="A79"/>
      <c r="B79" s="196" t="s">
        <v>55</v>
      </c>
      <c r="C79" s="196"/>
      <c r="D79" s="134" t="s">
        <v>56</v>
      </c>
      <c r="E79" s="134"/>
      <c r="F79" s="134" t="s">
        <v>1</v>
      </c>
      <c r="G79" s="134"/>
      <c r="H79" s="21" t="s">
        <v>132</v>
      </c>
      <c r="I79" s="21" t="s">
        <v>133</v>
      </c>
    </row>
    <row r="80" spans="1:9" ht="12.75">
      <c r="A80"/>
      <c r="B80" s="196"/>
      <c r="C80" s="196"/>
      <c r="D80" s="143" t="s">
        <v>219</v>
      </c>
      <c r="E80" s="143"/>
      <c r="F80" s="143" t="s">
        <v>220</v>
      </c>
      <c r="G80" s="143"/>
      <c r="H80" s="195" t="s">
        <v>4</v>
      </c>
      <c r="I80" s="195"/>
    </row>
    <row r="81" spans="1:9" ht="12.75">
      <c r="A81"/>
      <c r="B81" s="197">
        <v>1</v>
      </c>
      <c r="C81" s="143"/>
      <c r="D81" s="198">
        <v>2</v>
      </c>
      <c r="E81" s="198"/>
      <c r="F81" s="198">
        <v>3</v>
      </c>
      <c r="G81" s="198"/>
      <c r="H81" s="72">
        <v>4</v>
      </c>
      <c r="I81" s="72">
        <v>5</v>
      </c>
    </row>
    <row r="82" spans="1:9" ht="12.75">
      <c r="A82" s="52" t="s">
        <v>57</v>
      </c>
      <c r="B82" s="204" t="s">
        <v>234</v>
      </c>
      <c r="C82" s="205"/>
      <c r="D82" s="201" t="s">
        <v>239</v>
      </c>
      <c r="E82" s="202"/>
      <c r="F82" s="202"/>
      <c r="G82" s="203"/>
      <c r="H82" s="74">
        <v>100</v>
      </c>
      <c r="I82" s="77" t="s">
        <v>134</v>
      </c>
    </row>
    <row r="83" spans="1:9" ht="26.25" customHeight="1">
      <c r="A83" s="52" t="s">
        <v>58</v>
      </c>
      <c r="B83" s="184" t="s">
        <v>353</v>
      </c>
      <c r="C83" s="184"/>
      <c r="D83" s="185" t="s">
        <v>240</v>
      </c>
      <c r="E83" s="186"/>
      <c r="F83" s="186"/>
      <c r="G83" s="187"/>
      <c r="H83" s="75" t="s">
        <v>135</v>
      </c>
      <c r="I83" s="75" t="s">
        <v>136</v>
      </c>
    </row>
    <row r="84" spans="1:9" ht="12.75">
      <c r="A84" s="52" t="s">
        <v>165</v>
      </c>
      <c r="B84" s="177" t="s">
        <v>354</v>
      </c>
      <c r="C84" s="177"/>
      <c r="D84" s="181" t="s">
        <v>241</v>
      </c>
      <c r="E84" s="182"/>
      <c r="F84" s="182"/>
      <c r="G84" s="183"/>
      <c r="H84" s="76" t="s">
        <v>167</v>
      </c>
      <c r="I84" s="76" t="s">
        <v>168</v>
      </c>
    </row>
    <row r="85" spans="1:9" ht="12.75">
      <c r="A85" s="52" t="s">
        <v>59</v>
      </c>
      <c r="B85" s="177" t="s">
        <v>355</v>
      </c>
      <c r="C85" s="177" t="s">
        <v>169</v>
      </c>
      <c r="D85" s="181" t="s">
        <v>242</v>
      </c>
      <c r="E85" s="182"/>
      <c r="F85" s="182"/>
      <c r="G85" s="183"/>
      <c r="H85" s="76" t="s">
        <v>137</v>
      </c>
      <c r="I85" s="76" t="s">
        <v>138</v>
      </c>
    </row>
    <row r="86" spans="1:9" ht="12.75">
      <c r="A86" s="52" t="s">
        <v>60</v>
      </c>
      <c r="B86" s="177" t="s">
        <v>356</v>
      </c>
      <c r="C86" s="177" t="s">
        <v>170</v>
      </c>
      <c r="D86" s="181" t="s">
        <v>243</v>
      </c>
      <c r="E86" s="182"/>
      <c r="F86" s="182"/>
      <c r="G86" s="183"/>
      <c r="H86" s="76" t="s">
        <v>139</v>
      </c>
      <c r="I86" s="76" t="s">
        <v>140</v>
      </c>
    </row>
    <row r="87" spans="1:9" ht="34.5" customHeight="1">
      <c r="A87" s="52" t="s">
        <v>374</v>
      </c>
      <c r="B87" s="177" t="s">
        <v>379</v>
      </c>
      <c r="C87" s="177" t="s">
        <v>170</v>
      </c>
      <c r="D87" s="181" t="s">
        <v>375</v>
      </c>
      <c r="E87" s="182"/>
      <c r="F87" s="182"/>
      <c r="G87" s="183"/>
      <c r="H87" s="76" t="s">
        <v>376</v>
      </c>
      <c r="I87" s="76" t="s">
        <v>377</v>
      </c>
    </row>
    <row r="88" spans="1:9" ht="12.75">
      <c r="A88" s="52" t="s">
        <v>61</v>
      </c>
      <c r="B88" s="177" t="s">
        <v>357</v>
      </c>
      <c r="C88" s="177" t="s">
        <v>171</v>
      </c>
      <c r="D88" s="181" t="s">
        <v>244</v>
      </c>
      <c r="E88" s="182"/>
      <c r="F88" s="182"/>
      <c r="G88" s="183"/>
      <c r="H88" s="76" t="s">
        <v>141</v>
      </c>
      <c r="I88" s="76" t="s">
        <v>142</v>
      </c>
    </row>
    <row r="89" spans="1:9" ht="24" customHeight="1">
      <c r="A89" s="52" t="s">
        <v>62</v>
      </c>
      <c r="B89" s="177" t="s">
        <v>358</v>
      </c>
      <c r="C89" s="177" t="s">
        <v>172</v>
      </c>
      <c r="D89" s="181" t="s">
        <v>245</v>
      </c>
      <c r="E89" s="182"/>
      <c r="F89" s="182"/>
      <c r="G89" s="183"/>
      <c r="H89" s="76" t="s">
        <v>143</v>
      </c>
      <c r="I89" s="76" t="s">
        <v>144</v>
      </c>
    </row>
    <row r="90" spans="1:9" ht="12.75">
      <c r="A90" s="52" t="s">
        <v>63</v>
      </c>
      <c r="B90" s="177" t="s">
        <v>320</v>
      </c>
      <c r="C90" s="177" t="s">
        <v>173</v>
      </c>
      <c r="D90" s="181" t="s">
        <v>246</v>
      </c>
      <c r="E90" s="182"/>
      <c r="F90" s="182"/>
      <c r="G90" s="183"/>
      <c r="H90" s="76" t="s">
        <v>145</v>
      </c>
      <c r="I90" s="76" t="s">
        <v>146</v>
      </c>
    </row>
    <row r="91" spans="1:9" ht="26.25" customHeight="1">
      <c r="A91" s="52" t="s">
        <v>64</v>
      </c>
      <c r="B91" s="177" t="s">
        <v>235</v>
      </c>
      <c r="C91" s="177" t="s">
        <v>174</v>
      </c>
      <c r="D91" s="181" t="s">
        <v>247</v>
      </c>
      <c r="E91" s="182"/>
      <c r="F91" s="182"/>
      <c r="G91" s="183"/>
      <c r="H91" s="76">
        <v>100</v>
      </c>
      <c r="I91" s="76" t="s">
        <v>160</v>
      </c>
    </row>
    <row r="92" spans="1:9" ht="25.5" customHeight="1">
      <c r="A92" s="52" t="s">
        <v>65</v>
      </c>
      <c r="B92" s="177" t="s">
        <v>359</v>
      </c>
      <c r="C92" s="177" t="s">
        <v>175</v>
      </c>
      <c r="D92" s="181" t="s">
        <v>248</v>
      </c>
      <c r="E92" s="182"/>
      <c r="F92" s="182"/>
      <c r="G92" s="183"/>
      <c r="H92" s="76" t="s">
        <v>147</v>
      </c>
      <c r="I92" s="76" t="s">
        <v>148</v>
      </c>
    </row>
    <row r="93" spans="1:9" ht="46.5" customHeight="1">
      <c r="A93" s="52" t="s">
        <v>176</v>
      </c>
      <c r="B93" s="177" t="s">
        <v>360</v>
      </c>
      <c r="C93" s="177" t="s">
        <v>166</v>
      </c>
      <c r="D93" s="181" t="s">
        <v>249</v>
      </c>
      <c r="E93" s="182"/>
      <c r="F93" s="182"/>
      <c r="G93" s="183"/>
      <c r="H93" s="76" t="s">
        <v>177</v>
      </c>
      <c r="I93" s="76" t="s">
        <v>178</v>
      </c>
    </row>
    <row r="94" spans="1:9" ht="12.75">
      <c r="A94" s="52" t="s">
        <v>66</v>
      </c>
      <c r="B94" s="177" t="s">
        <v>361</v>
      </c>
      <c r="C94" s="177" t="s">
        <v>179</v>
      </c>
      <c r="D94" s="181" t="s">
        <v>250</v>
      </c>
      <c r="E94" s="182"/>
      <c r="F94" s="182"/>
      <c r="G94" s="183"/>
      <c r="H94" s="76" t="s">
        <v>149</v>
      </c>
      <c r="I94" s="76" t="s">
        <v>150</v>
      </c>
    </row>
    <row r="95" spans="1:9" ht="12.75">
      <c r="A95" s="52" t="s">
        <v>275</v>
      </c>
      <c r="B95" s="177" t="s">
        <v>181</v>
      </c>
      <c r="C95" s="177" t="s">
        <v>180</v>
      </c>
      <c r="D95" s="181" t="s">
        <v>276</v>
      </c>
      <c r="E95" s="182"/>
      <c r="F95" s="182"/>
      <c r="G95" s="183"/>
      <c r="H95" s="76" t="s">
        <v>278</v>
      </c>
      <c r="I95" s="76" t="s">
        <v>277</v>
      </c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 s="196" t="s">
        <v>55</v>
      </c>
      <c r="C98" s="196"/>
      <c r="D98" s="134" t="s">
        <v>56</v>
      </c>
      <c r="E98" s="134"/>
      <c r="F98" s="134" t="s">
        <v>1</v>
      </c>
      <c r="G98" s="134"/>
      <c r="H98" s="21" t="s">
        <v>132</v>
      </c>
      <c r="I98" s="21" t="s">
        <v>133</v>
      </c>
    </row>
    <row r="99" spans="1:9" ht="12.75">
      <c r="A99"/>
      <c r="B99" s="196"/>
      <c r="C99" s="196"/>
      <c r="D99" s="143" t="s">
        <v>219</v>
      </c>
      <c r="E99" s="143"/>
      <c r="F99" s="143" t="s">
        <v>220</v>
      </c>
      <c r="G99" s="143"/>
      <c r="H99" s="195" t="s">
        <v>4</v>
      </c>
      <c r="I99" s="195"/>
    </row>
    <row r="100" spans="1:9" ht="12.75">
      <c r="A100"/>
      <c r="B100" s="197">
        <v>1</v>
      </c>
      <c r="C100" s="143"/>
      <c r="D100" s="198">
        <v>2</v>
      </c>
      <c r="E100" s="198"/>
      <c r="F100" s="198">
        <v>3</v>
      </c>
      <c r="G100" s="198"/>
      <c r="H100" s="72">
        <v>4</v>
      </c>
      <c r="I100" s="72">
        <v>5</v>
      </c>
    </row>
    <row r="101" spans="1:9" ht="12.75">
      <c r="A101" s="78" t="s">
        <v>321</v>
      </c>
      <c r="B101" s="208" t="s">
        <v>322</v>
      </c>
      <c r="C101" s="209"/>
      <c r="D101" s="201" t="s">
        <v>323</v>
      </c>
      <c r="E101" s="202"/>
      <c r="F101" s="202"/>
      <c r="G101" s="203"/>
      <c r="H101" s="74"/>
      <c r="I101" s="77"/>
    </row>
    <row r="102" spans="1:9" ht="12.75">
      <c r="A102" s="78" t="s">
        <v>324</v>
      </c>
      <c r="B102" s="206" t="s">
        <v>325</v>
      </c>
      <c r="C102" s="207"/>
      <c r="D102" s="185" t="s">
        <v>326</v>
      </c>
      <c r="E102" s="186"/>
      <c r="F102" s="186"/>
      <c r="G102" s="187"/>
      <c r="H102" s="75"/>
      <c r="I102" s="75"/>
    </row>
    <row r="103" spans="1:9" ht="12.75">
      <c r="A103" s="78" t="s">
        <v>327</v>
      </c>
      <c r="B103" s="199" t="s">
        <v>328</v>
      </c>
      <c r="C103" s="200"/>
      <c r="D103" s="181" t="s">
        <v>329</v>
      </c>
      <c r="E103" s="182"/>
      <c r="F103" s="182"/>
      <c r="G103" s="183"/>
      <c r="H103" s="76"/>
      <c r="I103" s="76"/>
    </row>
    <row r="104" spans="1:9" ht="12.75">
      <c r="A104" s="78" t="s">
        <v>330</v>
      </c>
      <c r="B104" s="199" t="s">
        <v>331</v>
      </c>
      <c r="C104" s="200"/>
      <c r="D104" s="181" t="s">
        <v>332</v>
      </c>
      <c r="E104" s="182"/>
      <c r="F104" s="182"/>
      <c r="G104" s="183"/>
      <c r="H104" s="76"/>
      <c r="I104" s="76"/>
    </row>
    <row r="105" spans="1:9" ht="12.75">
      <c r="A105" s="78" t="s">
        <v>333</v>
      </c>
      <c r="B105" s="206" t="s">
        <v>334</v>
      </c>
      <c r="C105" s="207"/>
      <c r="D105" s="185" t="s">
        <v>335</v>
      </c>
      <c r="E105" s="186"/>
      <c r="F105" s="186"/>
      <c r="G105" s="187"/>
      <c r="H105" s="75"/>
      <c r="I105" s="75"/>
    </row>
    <row r="106" spans="1:9" ht="12.75">
      <c r="A106" s="78" t="s">
        <v>336</v>
      </c>
      <c r="B106" s="199" t="s">
        <v>337</v>
      </c>
      <c r="C106" s="200"/>
      <c r="D106" s="181" t="s">
        <v>338</v>
      </c>
      <c r="E106" s="182"/>
      <c r="F106" s="182"/>
      <c r="G106" s="183"/>
      <c r="H106" s="76"/>
      <c r="I106" s="76"/>
    </row>
    <row r="109" spans="2:4" ht="12.75">
      <c r="B109" s="55" t="s">
        <v>236</v>
      </c>
      <c r="C109" s="55">
        <f>2</f>
        <v>2</v>
      </c>
      <c r="D109" s="55" t="str">
        <f>IF(C109="1","I Kwartał",IF(C109="2","II Kwartały",IF(C109="3","III Kwartały",IF(C109="4","IV Kwartały","-"))))</f>
        <v>-</v>
      </c>
    </row>
    <row r="110" spans="2:3" ht="12.75">
      <c r="B110" s="55" t="s">
        <v>237</v>
      </c>
      <c r="C110" s="55">
        <f>2021</f>
        <v>2021</v>
      </c>
    </row>
    <row r="111" spans="2:3" ht="12.75">
      <c r="B111" s="55" t="s">
        <v>238</v>
      </c>
      <c r="C111" s="56" t="str">
        <f>"Aug 18 2021 12:00AM"</f>
        <v>Aug 18 2021 12:00AM</v>
      </c>
    </row>
  </sheetData>
  <sheetProtection/>
  <mergeCells count="134">
    <mergeCell ref="B87:C87"/>
    <mergeCell ref="D87:G87"/>
    <mergeCell ref="C38:E38"/>
    <mergeCell ref="C39:E39"/>
    <mergeCell ref="H99:I99"/>
    <mergeCell ref="D100:E100"/>
    <mergeCell ref="F100:G100"/>
    <mergeCell ref="D99:E99"/>
    <mergeCell ref="F99:G99"/>
    <mergeCell ref="B100:C100"/>
    <mergeCell ref="B105:C105"/>
    <mergeCell ref="D105:G105"/>
    <mergeCell ref="B106:C106"/>
    <mergeCell ref="D106:G106"/>
    <mergeCell ref="B101:C101"/>
    <mergeCell ref="D101:G101"/>
    <mergeCell ref="B102:C102"/>
    <mergeCell ref="D102:G102"/>
    <mergeCell ref="B103:C103"/>
    <mergeCell ref="D103:G103"/>
    <mergeCell ref="D90:G90"/>
    <mergeCell ref="D98:E98"/>
    <mergeCell ref="F98:G98"/>
    <mergeCell ref="B93:C93"/>
    <mergeCell ref="B92:C92"/>
    <mergeCell ref="D91:G91"/>
    <mergeCell ref="B104:C104"/>
    <mergeCell ref="D104:G104"/>
    <mergeCell ref="F81:G81"/>
    <mergeCell ref="D80:E80"/>
    <mergeCell ref="F80:G80"/>
    <mergeCell ref="D82:G82"/>
    <mergeCell ref="B82:C82"/>
    <mergeCell ref="B95:C95"/>
    <mergeCell ref="D94:G94"/>
    <mergeCell ref="D93:G93"/>
    <mergeCell ref="F79:G79"/>
    <mergeCell ref="B81:C81"/>
    <mergeCell ref="D79:E79"/>
    <mergeCell ref="D81:E81"/>
    <mergeCell ref="B98:C99"/>
    <mergeCell ref="B91:C91"/>
    <mergeCell ref="D92:G92"/>
    <mergeCell ref="B85:C85"/>
    <mergeCell ref="D95:G95"/>
    <mergeCell ref="B94:C94"/>
    <mergeCell ref="B88:C88"/>
    <mergeCell ref="C69:J69"/>
    <mergeCell ref="C70:J70"/>
    <mergeCell ref="K57:K59"/>
    <mergeCell ref="K60:L60"/>
    <mergeCell ref="H80:I80"/>
    <mergeCell ref="L57:L59"/>
    <mergeCell ref="E57:E59"/>
    <mergeCell ref="B79:C80"/>
    <mergeCell ref="F58:F59"/>
    <mergeCell ref="B78:M78"/>
    <mergeCell ref="C25:E25"/>
    <mergeCell ref="C20:J20"/>
    <mergeCell ref="C21:J21"/>
    <mergeCell ref="C27:E27"/>
    <mergeCell ref="C23:E23"/>
    <mergeCell ref="C32:E32"/>
    <mergeCell ref="C63:J63"/>
    <mergeCell ref="I60:J60"/>
    <mergeCell ref="C48:J48"/>
    <mergeCell ref="B1:M1"/>
    <mergeCell ref="B55:M55"/>
    <mergeCell ref="C6:J6"/>
    <mergeCell ref="C7:J7"/>
    <mergeCell ref="C10:J10"/>
    <mergeCell ref="K4:M4"/>
    <mergeCell ref="C8:J8"/>
    <mergeCell ref="C19:J19"/>
    <mergeCell ref="C11:J11"/>
    <mergeCell ref="C16:J16"/>
    <mergeCell ref="B89:C89"/>
    <mergeCell ref="D88:G88"/>
    <mergeCell ref="B90:C90"/>
    <mergeCell ref="D89:G89"/>
    <mergeCell ref="B86:C86"/>
    <mergeCell ref="B83:C83"/>
    <mergeCell ref="D84:G84"/>
    <mergeCell ref="D85:G85"/>
    <mergeCell ref="D83:G83"/>
    <mergeCell ref="D86:G86"/>
    <mergeCell ref="B84:C84"/>
    <mergeCell ref="C12:J12"/>
    <mergeCell ref="C17:J17"/>
    <mergeCell ref="C24:E24"/>
    <mergeCell ref="C43:E43"/>
    <mergeCell ref="C13:J13"/>
    <mergeCell ref="C14:J14"/>
    <mergeCell ref="C34:E34"/>
    <mergeCell ref="C26:E26"/>
    <mergeCell ref="C15:J15"/>
    <mergeCell ref="C46:E46"/>
    <mergeCell ref="C31:E31"/>
    <mergeCell ref="C50:J50"/>
    <mergeCell ref="I57:J59"/>
    <mergeCell ref="C49:J49"/>
    <mergeCell ref="C36:E36"/>
    <mergeCell ref="C33:E33"/>
    <mergeCell ref="C37:E37"/>
    <mergeCell ref="B3:B4"/>
    <mergeCell ref="C57:C59"/>
    <mergeCell ref="B57:B60"/>
    <mergeCell ref="D57:D59"/>
    <mergeCell ref="C28:E28"/>
    <mergeCell ref="C45:E45"/>
    <mergeCell ref="C9:J9"/>
    <mergeCell ref="C30:E30"/>
    <mergeCell ref="C18:J18"/>
    <mergeCell ref="C29:E29"/>
    <mergeCell ref="C76:J76"/>
    <mergeCell ref="C77:J77"/>
    <mergeCell ref="C22:E22"/>
    <mergeCell ref="C72:J72"/>
    <mergeCell ref="C71:J71"/>
    <mergeCell ref="C42:E42"/>
    <mergeCell ref="C35:E35"/>
    <mergeCell ref="C40:E40"/>
    <mergeCell ref="C41:E41"/>
    <mergeCell ref="F57:H57"/>
    <mergeCell ref="C75:J75"/>
    <mergeCell ref="C44:E44"/>
    <mergeCell ref="C64:J64"/>
    <mergeCell ref="I61:J61"/>
    <mergeCell ref="C62:J62"/>
    <mergeCell ref="C66:J66"/>
    <mergeCell ref="C65:J65"/>
    <mergeCell ref="G58:H58"/>
    <mergeCell ref="C68:J68"/>
    <mergeCell ref="C67:J67"/>
  </mergeCells>
  <printOptions/>
  <pageMargins left="0.18" right="0.18" top="0.5511811023622047" bottom="0.3937007874015748" header="0.31496062992125984" footer="0.1968503937007874"/>
  <pageSetup horizontalDpi="600" verticalDpi="600" orientation="landscape" paperSize="9" scale="72" r:id="rId1"/>
  <headerFooter alignWithMargins="0">
    <oddFooter>&amp;L&amp;"Arial CE,Kursywa"&amp;9&amp;D&amp;R&amp;9strona &amp;P z 5</oddFooter>
  </headerFooter>
  <rowBreaks count="3" manualBreakCount="3">
    <brk id="21" max="255" man="1"/>
    <brk id="5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2018-03-19T09:12:59Z</cp:lastPrinted>
  <dcterms:created xsi:type="dcterms:W3CDTF">2001-05-17T08:58:03Z</dcterms:created>
  <dcterms:modified xsi:type="dcterms:W3CDTF">2021-08-18T11:20:30Z</dcterms:modified>
  <cp:category/>
  <cp:version/>
  <cp:contentType/>
  <cp:contentStatus/>
</cp:coreProperties>
</file>