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6\I kwartał\2026.05.18 dane ostateczne\Zbiorówki_2026_k1_2026.05.18\Publikacja\"/>
    </mc:Choice>
  </mc:AlternateContent>
  <xr:revisionPtr revIDLastSave="0" documentId="13_ncr:1_{4CCB0DDC-946B-41C1-985C-241582CABD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6" i="7" l="1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 l="1"/>
  <c r="A30" i="7" l="1"/>
  <c r="A86" i="7"/>
  <c r="A67" i="7"/>
  <c r="A1" i="7"/>
</calcChain>
</file>

<file path=xl/sharedStrings.xml><?xml version="1.0" encoding="utf-8"?>
<sst xmlns="http://schemas.openxmlformats.org/spreadsheetml/2006/main" count="93" uniqueCount="79">
  <si>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</si>
  <si>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</si>
  <si>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</si>
  <si>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</si>
  <si>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</si>
  <si>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</si>
  <si>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</si>
  <si>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</si>
  <si>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</si>
  <si>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</si>
  <si>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</si>
  <si>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</si>
  <si>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</si>
  <si>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</si>
  <si>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</si>
  <si>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</si>
  <si>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</si>
  <si>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</si>
  <si>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</si>
  <si>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</si>
  <si>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</si>
  <si>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</si>
  <si>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</si>
  <si>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</si>
  <si>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</si>
  <si>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</si>
  <si>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</si>
  <si>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</si>
  <si>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</si>
  <si>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</si>
  <si>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</si>
  <si>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</si>
  <si>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</si>
  <si>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</si>
  <si>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</si>
  <si>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</si>
  <si>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</si>
  <si>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</si>
  <si>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</si>
  <si>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</si>
  <si>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</si>
  <si>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</si>
  <si>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</si>
  <si>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</si>
  <si>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</si>
  <si>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</si>
  <si>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</si>
  <si>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</si>
  <si>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</si>
  <si>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</si>
  <si>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</si>
  <si>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</si>
  <si>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</si>
  <si>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</si>
  <si>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</si>
  <si>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</si>
  <si>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</si>
  <si>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</si>
  <si>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</si>
  <si>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</si>
  <si>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</si>
  <si>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</si>
  <si>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</si>
  <si>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</si>
  <si>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</si>
  <si>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</si>
  <si>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</si>
  <si>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</si>
  <si>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</si>
  <si>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</si>
  <si>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</si>
  <si>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</si>
  <si>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</si>
  <si>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</si>
  <si>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</si>
  <si>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E1 papiery wartościowe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</si>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</sst>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1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2" fillId="0" borderId="10" xfId="37" applyFont="1" applyBorder="1" applyAlignment="1">
      <alignment horizontal="left" vertical="center" wrapText="1"/>
    </xf>
    <xf numFmtId="0" fontId="2" fillId="0" borderId="10" xfId="37" applyFont="1" applyBorder="1" applyAlignment="1">
      <alignment horizontal="left" vertical="top" wrapText="1"/>
    </xf>
    <xf numFmtId="0" fontId="29" fillId="0" borderId="17" xfId="0" applyFont="1" applyFill="1" applyBorder="1" applyAlignment="1">
      <alignment vertical="top" wrapText="1"/>
    </xf>
    <xf numFmtId="0" fontId="8" fillId="20" borderId="10" xfId="37" applyFont="1" applyFill="1" applyBorder="1" applyAlignment="1">
      <alignment horizontal="left" vertical="top" wrapText="1"/>
    </xf>
    <xf numFmtId="0" fontId="2" fillId="20" borderId="10" xfId="37" applyFont="1" applyFill="1" applyBorder="1" applyAlignment="1">
      <alignment horizontal="left" vertical="top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8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28" fillId="21" borderId="17" xfId="0" applyFont="1" applyFill="1" applyBorder="1" applyAlignment="1">
      <alignment vertical="top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30" fillId="0" borderId="0" xfId="37" applyFont="1" applyAlignment="1">
      <alignment horizontal="center" vertical="center" wrapText="1"/>
    </xf>
    <xf numFmtId="0" fontId="2" fillId="19" borderId="19" xfId="37" applyFont="1" applyFill="1" applyBorder="1" applyAlignment="1">
      <alignment horizontal="center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2" fillId="19" borderId="21" xfId="37" applyFont="1" applyFill="1" applyBorder="1" applyAlignment="1">
      <alignment horizontal="center" vertical="center" wrapText="1"/>
    </xf>
    <xf numFmtId="0" fontId="2" fillId="19" borderId="23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8" fillId="19" borderId="15" xfId="37" applyFont="1" applyFill="1" applyBorder="1" applyAlignment="1">
      <alignment horizontal="center" vertical="center" wrapText="1"/>
    </xf>
    <xf numFmtId="0" fontId="8" fillId="19" borderId="14" xfId="37" applyFont="1" applyFill="1" applyBorder="1" applyAlignment="1">
      <alignment horizontal="center" vertical="center" wrapText="1"/>
    </xf>
    <xf numFmtId="0" fontId="8" fillId="19" borderId="11" xfId="37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16.42578125" style="2" customWidth="1"/>
    <col min="2" max="2" width="14.7109375" style="2" customWidth="1"/>
    <col min="3" max="3" width="15.140625" style="2" customWidth="1"/>
    <col min="4" max="4" width="12.5703125" style="2" customWidth="1"/>
    <col min="5" max="5" width="11.42578125" style="2" customWidth="1"/>
    <col min="6" max="7" width="12.5703125" style="2" customWidth="1"/>
    <col min="8" max="8" width="12" style="2" customWidth="1"/>
    <col min="9" max="9" width="11.7109375" style="2" customWidth="1"/>
    <col min="10" max="10" width="13" style="2" customWidth="1"/>
    <col min="11" max="11" width="12.140625" style="2" customWidth="1"/>
    <col min="12" max="12" width="13.28515625" style="2" customWidth="1"/>
    <col min="13" max="13" width="12.85546875" style="2" customWidth="1"/>
    <col min="14" max="14" width="12" style="2" customWidth="1"/>
    <col min="15" max="17" width="11.7109375" style="2" customWidth="1"/>
    <col min="18" max="16384" width="9.140625" style="2"/>
  </cols>
  <sheetData>
    <row r="1" spans="1:17" ht="75" customHeight="1" x14ac:dyDescent="0.2">
      <c r="A1" s="33" t="str">
        <f>CONCATENATE("Informacja z wykonania budżetów jednostek samorządu terytorialnego za ",$C$94," ",$B$95," roku")</f>
        <v>Informacja z wykonania budżetów jednostek samorządu terytorialnego za I Kwartał 2026 roku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3" t="s">
        <v>60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5" spans="1:17" ht="13.5" customHeight="1" x14ac:dyDescent="0.2">
      <c r="B5" s="11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10"/>
      <c r="O5" s="10"/>
      <c r="P5" s="10"/>
      <c r="Q5" s="10"/>
    </row>
    <row r="6" spans="1:17" ht="13.5" customHeight="1" x14ac:dyDescent="0.2">
      <c r="A6" s="69" t="s">
        <v>0</v>
      </c>
      <c r="B6" s="34" t="s">
        <v>61</v>
      </c>
      <c r="C6" s="29" t="s">
        <v>65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29" t="s">
        <v>64</v>
      </c>
      <c r="P6" s="30"/>
      <c r="Q6" s="31"/>
    </row>
    <row r="7" spans="1:17" ht="13.5" customHeight="1" x14ac:dyDescent="0.2">
      <c r="A7" s="70"/>
      <c r="B7" s="35"/>
      <c r="C7" s="36" t="s">
        <v>62</v>
      </c>
      <c r="D7" s="36" t="s">
        <v>73</v>
      </c>
      <c r="E7" s="36" t="s">
        <v>66</v>
      </c>
      <c r="F7" s="36" t="s">
        <v>67</v>
      </c>
      <c r="G7" s="36" t="s">
        <v>27</v>
      </c>
      <c r="H7" s="36" t="s">
        <v>28</v>
      </c>
      <c r="I7" s="66" t="s">
        <v>63</v>
      </c>
      <c r="J7" s="36" t="s">
        <v>16</v>
      </c>
      <c r="K7" s="36" t="s">
        <v>17</v>
      </c>
      <c r="L7" s="36" t="s">
        <v>18</v>
      </c>
      <c r="M7" s="36" t="s">
        <v>19</v>
      </c>
      <c r="N7" s="35" t="s">
        <v>20</v>
      </c>
      <c r="O7" s="32" t="s">
        <v>21</v>
      </c>
      <c r="P7" s="32" t="s">
        <v>22</v>
      </c>
      <c r="Q7" s="32" t="s">
        <v>23</v>
      </c>
    </row>
    <row r="8" spans="1:17" ht="13.5" customHeight="1" x14ac:dyDescent="0.2">
      <c r="A8" s="70"/>
      <c r="B8" s="35"/>
      <c r="C8" s="32"/>
      <c r="D8" s="32"/>
      <c r="E8" s="32"/>
      <c r="F8" s="32"/>
      <c r="G8" s="32"/>
      <c r="H8" s="32"/>
      <c r="I8" s="66"/>
      <c r="J8" s="32"/>
      <c r="K8" s="32"/>
      <c r="L8" s="32"/>
      <c r="M8" s="32"/>
      <c r="N8" s="35"/>
      <c r="O8" s="32"/>
      <c r="P8" s="32"/>
      <c r="Q8" s="32"/>
    </row>
    <row r="9" spans="1:17" ht="13.5" customHeight="1" x14ac:dyDescent="0.2">
      <c r="A9" s="70"/>
      <c r="B9" s="35"/>
      <c r="C9" s="32"/>
      <c r="D9" s="32"/>
      <c r="E9" s="32"/>
      <c r="F9" s="32"/>
      <c r="G9" s="32"/>
      <c r="H9" s="32"/>
      <c r="I9" s="66"/>
      <c r="J9" s="32"/>
      <c r="K9" s="32"/>
      <c r="L9" s="32"/>
      <c r="M9" s="32"/>
      <c r="N9" s="35"/>
      <c r="O9" s="32"/>
      <c r="P9" s="32"/>
      <c r="Q9" s="32"/>
    </row>
    <row r="10" spans="1:17" ht="11.25" customHeight="1" x14ac:dyDescent="0.2">
      <c r="A10" s="70"/>
      <c r="B10" s="35"/>
      <c r="C10" s="32"/>
      <c r="D10" s="32"/>
      <c r="E10" s="32"/>
      <c r="F10" s="32"/>
      <c r="G10" s="32"/>
      <c r="H10" s="32"/>
      <c r="I10" s="66"/>
      <c r="J10" s="32"/>
      <c r="K10" s="32"/>
      <c r="L10" s="32"/>
      <c r="M10" s="32"/>
      <c r="N10" s="35"/>
      <c r="O10" s="32"/>
      <c r="P10" s="32"/>
      <c r="Q10" s="32"/>
    </row>
    <row r="11" spans="1:17" ht="27.75" customHeight="1" x14ac:dyDescent="0.2">
      <c r="A11" s="71"/>
      <c r="B11" s="36"/>
      <c r="C11" s="32"/>
      <c r="D11" s="32"/>
      <c r="E11" s="32"/>
      <c r="F11" s="32"/>
      <c r="G11" s="32"/>
      <c r="H11" s="32"/>
      <c r="I11" s="67"/>
      <c r="J11" s="32"/>
      <c r="K11" s="32"/>
      <c r="L11" s="32"/>
      <c r="M11" s="32"/>
      <c r="N11" s="36"/>
      <c r="O11" s="32"/>
      <c r="P11" s="32"/>
      <c r="Q11" s="32"/>
    </row>
    <row r="12" spans="1:17" ht="13.5" customHeight="1" x14ac:dyDescent="0.2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>
        <v>6</v>
      </c>
      <c r="G12" s="12">
        <v>7</v>
      </c>
      <c r="H12" s="12">
        <v>8</v>
      </c>
      <c r="I12" s="12">
        <v>9</v>
      </c>
      <c r="J12" s="12">
        <v>10</v>
      </c>
      <c r="K12" s="12">
        <v>11</v>
      </c>
      <c r="L12" s="12">
        <v>12</v>
      </c>
      <c r="M12" s="12">
        <v>13</v>
      </c>
      <c r="N12" s="12">
        <v>14</v>
      </c>
      <c r="O12" s="12">
        <v>15</v>
      </c>
      <c r="P12" s="12">
        <v>16</v>
      </c>
      <c r="Q12" s="12">
        <v>17</v>
      </c>
    </row>
    <row r="13" spans="1:17" ht="52.5" customHeight="1" x14ac:dyDescent="0.2">
      <c r="A13" s="19" t="s">
        <v>45</v>
      </c>
      <c r="B13" s="21">
        <f>113190444291.67</f>
        <v>113190444291.67</v>
      </c>
      <c r="C13" s="21">
        <f>90670618550.04</f>
        <v>90670618550.039993</v>
      </c>
      <c r="D13" s="21">
        <f>3386212744.58</f>
        <v>3386212744.5799999</v>
      </c>
      <c r="E13" s="21">
        <f>1137525068.7</f>
        <v>1137525068.7</v>
      </c>
      <c r="F13" s="21">
        <f>581366327.8</f>
        <v>581366327.79999995</v>
      </c>
      <c r="G13" s="21">
        <f>1667312540.88</f>
        <v>1667312540.8800001</v>
      </c>
      <c r="H13" s="21">
        <f>8807.2</f>
        <v>8807.2000000000007</v>
      </c>
      <c r="I13" s="21">
        <f>0</f>
        <v>0</v>
      </c>
      <c r="J13" s="21">
        <f>83027198537.9</f>
        <v>83027198537.899994</v>
      </c>
      <c r="K13" s="21">
        <f>3292390012.19</f>
        <v>3292390012.1900001</v>
      </c>
      <c r="L13" s="21">
        <f>922253357.18</f>
        <v>922253357.17999995</v>
      </c>
      <c r="M13" s="21">
        <f>21362131.6</f>
        <v>21362131.600000001</v>
      </c>
      <c r="N13" s="21">
        <f>21201766.59</f>
        <v>21201766.59</v>
      </c>
      <c r="O13" s="21">
        <f>22519825741.63</f>
        <v>22519825741.630001</v>
      </c>
      <c r="P13" s="21">
        <f>22519821657.17</f>
        <v>22519821657.169998</v>
      </c>
      <c r="Q13" s="21">
        <f>4084.46</f>
        <v>4084.46</v>
      </c>
    </row>
    <row r="14" spans="1:17" ht="41.25" customHeight="1" x14ac:dyDescent="0.2">
      <c r="A14" s="19" t="s">
        <v>75</v>
      </c>
      <c r="B14" s="21">
        <f>11638696923.02</f>
        <v>11638696923.02</v>
      </c>
      <c r="C14" s="21">
        <f>11638696923.02</f>
        <v>11638696923.02</v>
      </c>
      <c r="D14" s="21">
        <f>1261225</f>
        <v>1261225</v>
      </c>
      <c r="E14" s="21">
        <f>0</f>
        <v>0</v>
      </c>
      <c r="F14" s="21">
        <f>0</f>
        <v>0</v>
      </c>
      <c r="G14" s="21">
        <f>1261225</f>
        <v>1261225</v>
      </c>
      <c r="H14" s="21">
        <f>0</f>
        <v>0</v>
      </c>
      <c r="I14" s="21">
        <f>0</f>
        <v>0</v>
      </c>
      <c r="J14" s="21">
        <f>11444478568.02</f>
        <v>11444478568.02</v>
      </c>
      <c r="K14" s="21">
        <f>192957130</f>
        <v>192957130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2.5" x14ac:dyDescent="0.2">
      <c r="A15" s="16" t="s">
        <v>46</v>
      </c>
      <c r="B15" s="22">
        <f>104650000</f>
        <v>104650000</v>
      </c>
      <c r="C15" s="22">
        <f>104650000</f>
        <v>104650000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104000000</f>
        <v>104000000</v>
      </c>
      <c r="K15" s="22">
        <f>650000</f>
        <v>650000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3.25" customHeight="1" x14ac:dyDescent="0.2">
      <c r="A16" s="16" t="s">
        <v>47</v>
      </c>
      <c r="B16" s="22">
        <f>11534046923.02</f>
        <v>11534046923.02</v>
      </c>
      <c r="C16" s="22">
        <f>11534046923.02</f>
        <v>11534046923.02</v>
      </c>
      <c r="D16" s="22">
        <f>1261225</f>
        <v>1261225</v>
      </c>
      <c r="E16" s="22">
        <f>0</f>
        <v>0</v>
      </c>
      <c r="F16" s="22">
        <f>0</f>
        <v>0</v>
      </c>
      <c r="G16" s="22">
        <f>1261225</f>
        <v>1261225</v>
      </c>
      <c r="H16" s="22">
        <f>0</f>
        <v>0</v>
      </c>
      <c r="I16" s="22">
        <f>0</f>
        <v>0</v>
      </c>
      <c r="J16" s="22">
        <f>11340478568.02</f>
        <v>11340478568.02</v>
      </c>
      <c r="K16" s="22">
        <f>192307130</f>
        <v>192307130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3" customHeight="1" x14ac:dyDescent="0.2">
      <c r="A17" s="19" t="s">
        <v>76</v>
      </c>
      <c r="B17" s="21">
        <f>101490491355.41</f>
        <v>101490491355.41</v>
      </c>
      <c r="C17" s="21">
        <f>78970669698.24</f>
        <v>78970669698.240005</v>
      </c>
      <c r="D17" s="21">
        <f>3365669229.77</f>
        <v>3365669229.77</v>
      </c>
      <c r="E17" s="21">
        <f>1135559163.89</f>
        <v>1135559163.8900001</v>
      </c>
      <c r="F17" s="21">
        <f>581335223.63</f>
        <v>581335223.63</v>
      </c>
      <c r="G17" s="21">
        <f>1648774842.25</f>
        <v>1648774842.25</v>
      </c>
      <c r="H17" s="21">
        <f>0</f>
        <v>0</v>
      </c>
      <c r="I17" s="21">
        <f>0</f>
        <v>0</v>
      </c>
      <c r="J17" s="21">
        <f>71582719969.88</f>
        <v>71582719969.880005</v>
      </c>
      <c r="K17" s="21">
        <f>3099077447.56</f>
        <v>3099077447.5599999</v>
      </c>
      <c r="L17" s="21">
        <f>903524733.97</f>
        <v>903524733.97000003</v>
      </c>
      <c r="M17" s="21">
        <f>8588489.3</f>
        <v>8588489.3000000007</v>
      </c>
      <c r="N17" s="21">
        <f>11089827.76</f>
        <v>11089827.76</v>
      </c>
      <c r="O17" s="21">
        <f>22519821657.17</f>
        <v>22519821657.169998</v>
      </c>
      <c r="P17" s="21">
        <f>22519821657.17</f>
        <v>22519821657.169998</v>
      </c>
      <c r="Q17" s="21">
        <f>0</f>
        <v>0</v>
      </c>
    </row>
    <row r="18" spans="1:17" ht="22.5" x14ac:dyDescent="0.2">
      <c r="A18" s="16" t="s">
        <v>48</v>
      </c>
      <c r="B18" s="22">
        <f>217609417.56</f>
        <v>217609417.56</v>
      </c>
      <c r="C18" s="22">
        <f>217609417.56</f>
        <v>217609417.56</v>
      </c>
      <c r="D18" s="22">
        <f>5164538.49</f>
        <v>5164538.49</v>
      </c>
      <c r="E18" s="22">
        <f>0</f>
        <v>0</v>
      </c>
      <c r="F18" s="22">
        <f>957772.72</f>
        <v>957772.72</v>
      </c>
      <c r="G18" s="22">
        <f>4206765.77</f>
        <v>4206765.7699999996</v>
      </c>
      <c r="H18" s="22">
        <f>0</f>
        <v>0</v>
      </c>
      <c r="I18" s="22">
        <f>0</f>
        <v>0</v>
      </c>
      <c r="J18" s="22">
        <f>210844141.07</f>
        <v>210844141.06999999</v>
      </c>
      <c r="K18" s="22">
        <f>0</f>
        <v>0</v>
      </c>
      <c r="L18" s="22">
        <f>1600738</f>
        <v>1600738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24" customHeight="1" x14ac:dyDescent="0.2">
      <c r="A19" s="16" t="s">
        <v>49</v>
      </c>
      <c r="B19" s="22">
        <f>101272881937.85</f>
        <v>101272881937.85001</v>
      </c>
      <c r="C19" s="22">
        <f>78753060280.68</f>
        <v>78753060280.679993</v>
      </c>
      <c r="D19" s="22">
        <f>3360504691.28</f>
        <v>3360504691.2800002</v>
      </c>
      <c r="E19" s="22">
        <f>1135559163.89</f>
        <v>1135559163.8900001</v>
      </c>
      <c r="F19" s="22">
        <f>580377450.91</f>
        <v>580377450.90999997</v>
      </c>
      <c r="G19" s="22">
        <f>1644568076.48</f>
        <v>1644568076.48</v>
      </c>
      <c r="H19" s="22">
        <f>0</f>
        <v>0</v>
      </c>
      <c r="I19" s="22">
        <f>0</f>
        <v>0</v>
      </c>
      <c r="J19" s="22">
        <f>71371875828.81</f>
        <v>71371875828.809998</v>
      </c>
      <c r="K19" s="22">
        <f>3099077447.56</f>
        <v>3099077447.5599999</v>
      </c>
      <c r="L19" s="22">
        <f>901923995.97</f>
        <v>901923995.97000003</v>
      </c>
      <c r="M19" s="22">
        <f>8588489.3</f>
        <v>8588489.3000000007</v>
      </c>
      <c r="N19" s="22">
        <f>11089827.76</f>
        <v>11089827.76</v>
      </c>
      <c r="O19" s="22">
        <f>22519821657.17</f>
        <v>22519821657.169998</v>
      </c>
      <c r="P19" s="22">
        <f>22519821657.17</f>
        <v>22519821657.169998</v>
      </c>
      <c r="Q19" s="22">
        <f>0</f>
        <v>0</v>
      </c>
    </row>
    <row r="20" spans="1:17" ht="24.75" customHeight="1" x14ac:dyDescent="0.2">
      <c r="A20" s="26" t="s">
        <v>50</v>
      </c>
      <c r="B20" s="27">
        <f>10000000</f>
        <v>10000000</v>
      </c>
      <c r="C20" s="27">
        <f>10000000</f>
        <v>10000000</v>
      </c>
      <c r="D20" s="27">
        <f>10000000</f>
        <v>10000000</v>
      </c>
      <c r="E20" s="27">
        <f>0</f>
        <v>0</v>
      </c>
      <c r="F20" s="27">
        <f>0</f>
        <v>0</v>
      </c>
      <c r="G20" s="27">
        <f>10000000</f>
        <v>10000000</v>
      </c>
      <c r="H20" s="27">
        <f>0</f>
        <v>0</v>
      </c>
      <c r="I20" s="27">
        <f>0</f>
        <v>0</v>
      </c>
      <c r="J20" s="27">
        <f>0</f>
        <v>0</v>
      </c>
      <c r="K20" s="27">
        <f>0</f>
        <v>0</v>
      </c>
      <c r="L20" s="27">
        <f>0</f>
        <v>0</v>
      </c>
      <c r="M20" s="27">
        <f>0</f>
        <v>0</v>
      </c>
      <c r="N20" s="27">
        <f>0</f>
        <v>0</v>
      </c>
      <c r="O20" s="27">
        <f>0</f>
        <v>0</v>
      </c>
      <c r="P20" s="27">
        <f>0</f>
        <v>0</v>
      </c>
      <c r="Q20" s="27">
        <f>0</f>
        <v>0</v>
      </c>
    </row>
    <row r="21" spans="1:17" ht="38.25" customHeight="1" x14ac:dyDescent="0.2">
      <c r="A21" s="20" t="s">
        <v>77</v>
      </c>
      <c r="B21" s="21">
        <f>51256013.24</f>
        <v>51256013.240000002</v>
      </c>
      <c r="C21" s="21">
        <f>51251928.78</f>
        <v>51251928.780000001</v>
      </c>
      <c r="D21" s="21">
        <f>9282289.81</f>
        <v>9282289.8100000005</v>
      </c>
      <c r="E21" s="21">
        <f>1965904.81</f>
        <v>1965904.81</v>
      </c>
      <c r="F21" s="21">
        <f>31104.17</f>
        <v>31104.17</v>
      </c>
      <c r="G21" s="21">
        <f>7276473.63</f>
        <v>7276473.6299999999</v>
      </c>
      <c r="H21" s="21">
        <f>8807.2</f>
        <v>8807.2000000000007</v>
      </c>
      <c r="I21" s="21">
        <f>0</f>
        <v>0</v>
      </c>
      <c r="J21" s="21">
        <f>0</f>
        <v>0</v>
      </c>
      <c r="K21" s="21">
        <f>355434.63</f>
        <v>355434.63</v>
      </c>
      <c r="L21" s="21">
        <f>18728623.21</f>
        <v>18728623.210000001</v>
      </c>
      <c r="M21" s="21">
        <f>12773642.3</f>
        <v>12773642.300000001</v>
      </c>
      <c r="N21" s="21">
        <f>10111938.83</f>
        <v>10111938.83</v>
      </c>
      <c r="O21" s="21">
        <f>4084.46</f>
        <v>4084.46</v>
      </c>
      <c r="P21" s="21">
        <f>0</f>
        <v>0</v>
      </c>
      <c r="Q21" s="21">
        <f>4084.46</f>
        <v>4084.46</v>
      </c>
    </row>
    <row r="22" spans="1:17" ht="33" customHeight="1" x14ac:dyDescent="0.2">
      <c r="A22" s="17" t="s">
        <v>51</v>
      </c>
      <c r="B22" s="22">
        <f>34024758.65</f>
        <v>34024758.649999999</v>
      </c>
      <c r="C22" s="22">
        <f>34024758.65</f>
        <v>34024758.649999999</v>
      </c>
      <c r="D22" s="22">
        <f>671502.01</f>
        <v>671502.01</v>
      </c>
      <c r="E22" s="22">
        <f>241.8</f>
        <v>241.8</v>
      </c>
      <c r="F22" s="22">
        <f>0</f>
        <v>0</v>
      </c>
      <c r="G22" s="22">
        <f>671260.21</f>
        <v>671260.21</v>
      </c>
      <c r="H22" s="22">
        <f>0</f>
        <v>0</v>
      </c>
      <c r="I22" s="22">
        <f>0</f>
        <v>0</v>
      </c>
      <c r="J22" s="22">
        <f>0</f>
        <v>0</v>
      </c>
      <c r="K22" s="22">
        <f>300941.01</f>
        <v>300941.01</v>
      </c>
      <c r="L22" s="22">
        <f>14461359.44</f>
        <v>14461359.439999999</v>
      </c>
      <c r="M22" s="22">
        <f>8512691.27</f>
        <v>8512691.2699999996</v>
      </c>
      <c r="N22" s="22">
        <f>10078264.92</f>
        <v>10078264.92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17231254.59</f>
        <v>17231254.59</v>
      </c>
      <c r="C23" s="22">
        <f>17227170.13</f>
        <v>17227170.129999999</v>
      </c>
      <c r="D23" s="22">
        <f>8610787.8</f>
        <v>8610787.8000000007</v>
      </c>
      <c r="E23" s="22">
        <f>1965663.01</f>
        <v>1965663.01</v>
      </c>
      <c r="F23" s="22">
        <f>31104.17</f>
        <v>31104.17</v>
      </c>
      <c r="G23" s="22">
        <f>6605213.42</f>
        <v>6605213.4199999999</v>
      </c>
      <c r="H23" s="22">
        <f>8807.2</f>
        <v>8807.2000000000007</v>
      </c>
      <c r="I23" s="22">
        <f>0</f>
        <v>0</v>
      </c>
      <c r="J23" s="22">
        <f>0</f>
        <v>0</v>
      </c>
      <c r="K23" s="22">
        <f>54493.62</f>
        <v>54493.62</v>
      </c>
      <c r="L23" s="22">
        <f>4267263.77</f>
        <v>4267263.7699999996</v>
      </c>
      <c r="M23" s="22">
        <f>4260951.03</f>
        <v>4260951.03</v>
      </c>
      <c r="N23" s="22">
        <f>33673.91</f>
        <v>33673.910000000003</v>
      </c>
      <c r="O23" s="22">
        <f>4084.46</f>
        <v>4084.46</v>
      </c>
      <c r="P23" s="22">
        <f>0</f>
        <v>0</v>
      </c>
      <c r="Q23" s="22">
        <f>4084.46</f>
        <v>4084.46</v>
      </c>
    </row>
    <row r="24" spans="1:17" ht="19.5" customHeight="1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ht="19.5" customHeight="1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ht="19.5" customHeight="1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9.5" customHeight="1" x14ac:dyDescent="0.2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9.5" customHeight="1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9.5" customHeigh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ht="45.75" customHeight="1" x14ac:dyDescent="0.2">
      <c r="A30" s="33" t="str">
        <f>CONCATENATE("Informacja z wykonania budżetów jednostek samorządu terytorialnego za ",$C$94," ",$B$95," roku")</f>
        <v>Informacja z wykonania budżetów jednostek samorządu terytorialnego za I Kwartał 2026 roku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2" spans="1:17" ht="13.5" customHeight="1" x14ac:dyDescent="0.2">
      <c r="A32" s="43" t="s">
        <v>11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  <row r="34" spans="1:17" ht="13.5" customHeight="1" x14ac:dyDescent="0.2">
      <c r="A34" s="69" t="s">
        <v>0</v>
      </c>
      <c r="B34" s="34" t="s">
        <v>12</v>
      </c>
      <c r="C34" s="72" t="s">
        <v>14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4"/>
      <c r="O34" s="72" t="s">
        <v>24</v>
      </c>
      <c r="P34" s="73"/>
      <c r="Q34" s="74"/>
    </row>
    <row r="35" spans="1:17" ht="13.5" customHeight="1" x14ac:dyDescent="0.2">
      <c r="A35" s="70"/>
      <c r="B35" s="35"/>
      <c r="C35" s="35" t="s">
        <v>13</v>
      </c>
      <c r="D35" s="32" t="s">
        <v>15</v>
      </c>
      <c r="E35" s="32" t="s">
        <v>25</v>
      </c>
      <c r="F35" s="32" t="s">
        <v>26</v>
      </c>
      <c r="G35" s="32" t="s">
        <v>70</v>
      </c>
      <c r="H35" s="32" t="s">
        <v>28</v>
      </c>
      <c r="I35" s="32" t="s">
        <v>1</v>
      </c>
      <c r="J35" s="32" t="s">
        <v>16</v>
      </c>
      <c r="K35" s="32" t="s">
        <v>17</v>
      </c>
      <c r="L35" s="32" t="s">
        <v>18</v>
      </c>
      <c r="M35" s="32" t="s">
        <v>19</v>
      </c>
      <c r="N35" s="37" t="s">
        <v>20</v>
      </c>
      <c r="O35" s="32" t="s">
        <v>21</v>
      </c>
      <c r="P35" s="32" t="s">
        <v>22</v>
      </c>
      <c r="Q35" s="34" t="s">
        <v>23</v>
      </c>
    </row>
    <row r="36" spans="1:17" ht="13.5" customHeight="1" x14ac:dyDescent="0.2">
      <c r="A36" s="70"/>
      <c r="B36" s="35"/>
      <c r="C36" s="35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7"/>
      <c r="O36" s="32"/>
      <c r="P36" s="32"/>
      <c r="Q36" s="35"/>
    </row>
    <row r="37" spans="1:17" ht="11.25" customHeight="1" x14ac:dyDescent="0.2">
      <c r="A37" s="70"/>
      <c r="B37" s="35"/>
      <c r="C37" s="35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7"/>
      <c r="O37" s="32"/>
      <c r="P37" s="32"/>
      <c r="Q37" s="35"/>
    </row>
    <row r="38" spans="1:17" ht="32.25" customHeight="1" x14ac:dyDescent="0.2">
      <c r="A38" s="71"/>
      <c r="B38" s="36"/>
      <c r="C38" s="36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7"/>
      <c r="O38" s="32"/>
      <c r="P38" s="32"/>
      <c r="Q38" s="36"/>
    </row>
    <row r="39" spans="1:17" ht="13.5" customHeight="1" x14ac:dyDescent="0.2">
      <c r="A39" s="12">
        <v>1</v>
      </c>
      <c r="B39" s="12">
        <v>2</v>
      </c>
      <c r="C39" s="12">
        <v>3</v>
      </c>
      <c r="D39" s="12">
        <v>4</v>
      </c>
      <c r="E39" s="12">
        <v>5</v>
      </c>
      <c r="F39" s="12">
        <v>6</v>
      </c>
      <c r="G39" s="12">
        <v>7</v>
      </c>
      <c r="H39" s="12">
        <v>8</v>
      </c>
      <c r="I39" s="12">
        <v>9</v>
      </c>
      <c r="J39" s="12">
        <v>10</v>
      </c>
      <c r="K39" s="12">
        <v>11</v>
      </c>
      <c r="L39" s="12">
        <v>12</v>
      </c>
      <c r="M39" s="12">
        <v>13</v>
      </c>
      <c r="N39" s="12">
        <v>14</v>
      </c>
      <c r="O39" s="12">
        <v>15</v>
      </c>
      <c r="P39" s="12">
        <v>16</v>
      </c>
      <c r="Q39" s="12">
        <v>17</v>
      </c>
    </row>
    <row r="40" spans="1:17" ht="35.25" customHeight="1" x14ac:dyDescent="0.2">
      <c r="A40" s="28" t="s">
        <v>40</v>
      </c>
      <c r="B40" s="23">
        <f>110035257.7</f>
        <v>110035257.7</v>
      </c>
      <c r="C40" s="23">
        <f>110035257.7</f>
        <v>110035257.7</v>
      </c>
      <c r="D40" s="23">
        <f>69543563.3</f>
        <v>69543563.299999997</v>
      </c>
      <c r="E40" s="23">
        <f>69543563.3</f>
        <v>69543563.299999997</v>
      </c>
      <c r="F40" s="23">
        <f>0</f>
        <v>0</v>
      </c>
      <c r="G40" s="23">
        <f>0</f>
        <v>0</v>
      </c>
      <c r="H40" s="23">
        <f>0</f>
        <v>0</v>
      </c>
      <c r="I40" s="23">
        <f>0</f>
        <v>0</v>
      </c>
      <c r="J40" s="23">
        <f>334642.6</f>
        <v>334642.59999999998</v>
      </c>
      <c r="K40" s="23">
        <f>39999285.57</f>
        <v>39999285.57</v>
      </c>
      <c r="L40" s="23">
        <f>157766.23</f>
        <v>157766.23000000001</v>
      </c>
      <c r="M40" s="23">
        <f>0</f>
        <v>0</v>
      </c>
      <c r="N40" s="23">
        <f>0</f>
        <v>0</v>
      </c>
      <c r="O40" s="23">
        <f>0</f>
        <v>0</v>
      </c>
      <c r="P40" s="23">
        <f>0</f>
        <v>0</v>
      </c>
      <c r="Q40" s="23">
        <f>0</f>
        <v>0</v>
      </c>
    </row>
    <row r="41" spans="1:17" ht="28.5" customHeight="1" x14ac:dyDescent="0.2">
      <c r="A41" s="18" t="s">
        <v>29</v>
      </c>
      <c r="B41" s="24">
        <f>39999285.57</f>
        <v>39999285.57</v>
      </c>
      <c r="C41" s="24">
        <f>39999285.57</f>
        <v>39999285.57</v>
      </c>
      <c r="D41" s="24">
        <f>0</f>
        <v>0</v>
      </c>
      <c r="E41" s="24">
        <f>0</f>
        <v>0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0</f>
        <v>0</v>
      </c>
      <c r="K41" s="24">
        <f>39999285.57</f>
        <v>39999285.57</v>
      </c>
      <c r="L41" s="24">
        <f>0</f>
        <v>0</v>
      </c>
      <c r="M41" s="24">
        <f>0</f>
        <v>0</v>
      </c>
      <c r="N41" s="24">
        <f>0</f>
        <v>0</v>
      </c>
      <c r="O41" s="24">
        <f>0</f>
        <v>0</v>
      </c>
      <c r="P41" s="24">
        <f>0</f>
        <v>0</v>
      </c>
      <c r="Q41" s="24">
        <f>0</f>
        <v>0</v>
      </c>
    </row>
    <row r="42" spans="1:17" ht="28.5" customHeight="1" x14ac:dyDescent="0.2">
      <c r="A42" s="18" t="s">
        <v>30</v>
      </c>
      <c r="B42" s="24">
        <f>70035972.13</f>
        <v>70035972.129999995</v>
      </c>
      <c r="C42" s="24">
        <f>70035972.13</f>
        <v>70035972.129999995</v>
      </c>
      <c r="D42" s="24">
        <f>69543563.3</f>
        <v>69543563.299999997</v>
      </c>
      <c r="E42" s="24">
        <f>69543563.3</f>
        <v>69543563.299999997</v>
      </c>
      <c r="F42" s="24">
        <f>0</f>
        <v>0</v>
      </c>
      <c r="G42" s="24">
        <f>0</f>
        <v>0</v>
      </c>
      <c r="H42" s="24">
        <f>0</f>
        <v>0</v>
      </c>
      <c r="I42" s="24">
        <f>0</f>
        <v>0</v>
      </c>
      <c r="J42" s="24">
        <f>334642.6</f>
        <v>334642.59999999998</v>
      </c>
      <c r="K42" s="24">
        <f>0</f>
        <v>0</v>
      </c>
      <c r="L42" s="24">
        <f>157766.23</f>
        <v>157766.23000000001</v>
      </c>
      <c r="M42" s="24">
        <f>0</f>
        <v>0</v>
      </c>
      <c r="N42" s="24">
        <f>0</f>
        <v>0</v>
      </c>
      <c r="O42" s="24">
        <f>0</f>
        <v>0</v>
      </c>
      <c r="P42" s="24">
        <f>0</f>
        <v>0</v>
      </c>
      <c r="Q42" s="24">
        <f>0</f>
        <v>0</v>
      </c>
    </row>
    <row r="43" spans="1:17" ht="28.5" customHeight="1" x14ac:dyDescent="0.2">
      <c r="A43" s="28" t="s">
        <v>41</v>
      </c>
      <c r="B43" s="23">
        <f>2040917649.19</f>
        <v>2040917649.1900001</v>
      </c>
      <c r="C43" s="23">
        <f>2040896212.94</f>
        <v>2040896212.9400001</v>
      </c>
      <c r="D43" s="23">
        <f>1284109231.67</f>
        <v>1284109231.6700001</v>
      </c>
      <c r="E43" s="23">
        <f>240077.34</f>
        <v>240077.34</v>
      </c>
      <c r="F43" s="23">
        <f>6788043.76</f>
        <v>6788043.7599999998</v>
      </c>
      <c r="G43" s="23">
        <f>1272081110.57</f>
        <v>1272081110.5699999</v>
      </c>
      <c r="H43" s="23">
        <f>5000000</f>
        <v>5000000</v>
      </c>
      <c r="I43" s="23">
        <f>0</f>
        <v>0</v>
      </c>
      <c r="J43" s="23">
        <f>1072074.3</f>
        <v>1072074.3</v>
      </c>
      <c r="K43" s="23">
        <f>455947.19</f>
        <v>455947.19</v>
      </c>
      <c r="L43" s="23">
        <f>463595866.06</f>
        <v>463595866.06</v>
      </c>
      <c r="M43" s="23">
        <f>256846486.03</f>
        <v>256846486.03</v>
      </c>
      <c r="N43" s="23">
        <f>34816607.69</f>
        <v>34816607.689999998</v>
      </c>
      <c r="O43" s="23">
        <f>21436.25</f>
        <v>21436.25</v>
      </c>
      <c r="P43" s="23">
        <f>21436.25</f>
        <v>21436.25</v>
      </c>
      <c r="Q43" s="23">
        <f>0</f>
        <v>0</v>
      </c>
    </row>
    <row r="44" spans="1:17" ht="32.25" customHeight="1" x14ac:dyDescent="0.2">
      <c r="A44" s="18" t="s">
        <v>31</v>
      </c>
      <c r="B44" s="24">
        <f>168355301.49</f>
        <v>168355301.49000001</v>
      </c>
      <c r="C44" s="24">
        <f>168350850.86</f>
        <v>168350850.86000001</v>
      </c>
      <c r="D44" s="24">
        <f>73765547.75</f>
        <v>73765547.75</v>
      </c>
      <c r="E44" s="24">
        <f>91822</f>
        <v>91822</v>
      </c>
      <c r="F44" s="24">
        <f>4300000</f>
        <v>4300000</v>
      </c>
      <c r="G44" s="24">
        <f>64373725.75</f>
        <v>64373725.75</v>
      </c>
      <c r="H44" s="24">
        <f>5000000</f>
        <v>5000000</v>
      </c>
      <c r="I44" s="24">
        <f>0</f>
        <v>0</v>
      </c>
      <c r="J44" s="24">
        <f>0</f>
        <v>0</v>
      </c>
      <c r="K44" s="24">
        <f>0</f>
        <v>0</v>
      </c>
      <c r="L44" s="24">
        <f>63762461.38</f>
        <v>63762461.380000003</v>
      </c>
      <c r="M44" s="24">
        <f>23965101.25</f>
        <v>23965101.25</v>
      </c>
      <c r="N44" s="24">
        <f>6857740.48</f>
        <v>6857740.4800000004</v>
      </c>
      <c r="O44" s="24">
        <f>4450.63</f>
        <v>4450.63</v>
      </c>
      <c r="P44" s="24">
        <f>4450.63</f>
        <v>4450.63</v>
      </c>
      <c r="Q44" s="24">
        <f>0</f>
        <v>0</v>
      </c>
    </row>
    <row r="45" spans="1:17" ht="32.25" customHeight="1" x14ac:dyDescent="0.2">
      <c r="A45" s="18" t="s">
        <v>32</v>
      </c>
      <c r="B45" s="24">
        <f>1872562347.7</f>
        <v>1872562347.7</v>
      </c>
      <c r="C45" s="24">
        <f>1872545362.08</f>
        <v>1872545362.0799999</v>
      </c>
      <c r="D45" s="24">
        <f>1210343683.92</f>
        <v>1210343683.9200001</v>
      </c>
      <c r="E45" s="24">
        <f>148255.34</f>
        <v>148255.34</v>
      </c>
      <c r="F45" s="24">
        <f>2488043.76</f>
        <v>2488043.7599999998</v>
      </c>
      <c r="G45" s="24">
        <f>1207707384.82</f>
        <v>1207707384.8199999</v>
      </c>
      <c r="H45" s="24">
        <f>0</f>
        <v>0</v>
      </c>
      <c r="I45" s="24">
        <f>0</f>
        <v>0</v>
      </c>
      <c r="J45" s="24">
        <f>1072074.3</f>
        <v>1072074.3</v>
      </c>
      <c r="K45" s="24">
        <f>455947.19</f>
        <v>455947.19</v>
      </c>
      <c r="L45" s="24">
        <f>399833404.68</f>
        <v>399833404.68000001</v>
      </c>
      <c r="M45" s="24">
        <f>232881384.78</f>
        <v>232881384.78</v>
      </c>
      <c r="N45" s="24">
        <f>27958867.21</f>
        <v>27958867.210000001</v>
      </c>
      <c r="O45" s="24">
        <f>16985.62</f>
        <v>16985.62</v>
      </c>
      <c r="P45" s="24">
        <f>16985.62</f>
        <v>16985.62</v>
      </c>
      <c r="Q45" s="24">
        <f>0</f>
        <v>0</v>
      </c>
    </row>
    <row r="46" spans="1:17" ht="35.25" customHeight="1" x14ac:dyDescent="0.2">
      <c r="A46" s="28" t="s">
        <v>42</v>
      </c>
      <c r="B46" s="23">
        <f>93198227505.68</f>
        <v>93198227505.679993</v>
      </c>
      <c r="C46" s="23">
        <f>93197915206.57</f>
        <v>93197915206.570007</v>
      </c>
      <c r="D46" s="23">
        <f>31574057.59</f>
        <v>31574057.59</v>
      </c>
      <c r="E46" s="23">
        <f>8607110.23</f>
        <v>8607110.2300000004</v>
      </c>
      <c r="F46" s="23">
        <f>47486.58</f>
        <v>47486.58</v>
      </c>
      <c r="G46" s="23">
        <f>22919460.78</f>
        <v>22919460.780000001</v>
      </c>
      <c r="H46" s="23">
        <f>0</f>
        <v>0</v>
      </c>
      <c r="I46" s="23">
        <f>10981672.1</f>
        <v>10981672.1</v>
      </c>
      <c r="J46" s="23">
        <f>93060192865.35</f>
        <v>93060192865.350006</v>
      </c>
      <c r="K46" s="23">
        <f>26270475.93</f>
        <v>26270475.93</v>
      </c>
      <c r="L46" s="23">
        <f>21121410.17</f>
        <v>21121410.170000002</v>
      </c>
      <c r="M46" s="23">
        <f>47679101.68</f>
        <v>47679101.68</v>
      </c>
      <c r="N46" s="23">
        <f>95623.75</f>
        <v>95623.75</v>
      </c>
      <c r="O46" s="23">
        <f>312299.11</f>
        <v>312299.11</v>
      </c>
      <c r="P46" s="23">
        <f>301527.36</f>
        <v>301527.36</v>
      </c>
      <c r="Q46" s="23">
        <f>10771.75</f>
        <v>10771.75</v>
      </c>
    </row>
    <row r="47" spans="1:17" ht="28.5" customHeight="1" x14ac:dyDescent="0.2">
      <c r="A47" s="18" t="s">
        <v>33</v>
      </c>
      <c r="B47" s="24">
        <f>19744932.44</f>
        <v>19744932.440000001</v>
      </c>
      <c r="C47" s="24">
        <f>19744932.44</f>
        <v>19744932.440000001</v>
      </c>
      <c r="D47" s="24">
        <f>19740315.44</f>
        <v>19740315.440000001</v>
      </c>
      <c r="E47" s="24">
        <f>0</f>
        <v>0</v>
      </c>
      <c r="F47" s="24">
        <f>21</f>
        <v>21</v>
      </c>
      <c r="G47" s="24">
        <f>19740294.44</f>
        <v>19740294.440000001</v>
      </c>
      <c r="H47" s="24">
        <f>0</f>
        <v>0</v>
      </c>
      <c r="I47" s="24">
        <f>0</f>
        <v>0</v>
      </c>
      <c r="J47" s="24">
        <f>4561</f>
        <v>4561</v>
      </c>
      <c r="K47" s="24">
        <f>0</f>
        <v>0</v>
      </c>
      <c r="L47" s="24">
        <f>0</f>
        <v>0</v>
      </c>
      <c r="M47" s="24">
        <f>56</f>
        <v>56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8.5" customHeight="1" x14ac:dyDescent="0.2">
      <c r="A48" s="18" t="s">
        <v>34</v>
      </c>
      <c r="B48" s="24">
        <f>61125403009.07</f>
        <v>61125403009.07</v>
      </c>
      <c r="C48" s="24">
        <f>61125403009.07</f>
        <v>61125403009.07</v>
      </c>
      <c r="D48" s="24">
        <f>11127316.86</f>
        <v>11127316.859999999</v>
      </c>
      <c r="E48" s="24">
        <f>8177694.93</f>
        <v>8177694.9299999997</v>
      </c>
      <c r="F48" s="24">
        <f>500</f>
        <v>500</v>
      </c>
      <c r="G48" s="24">
        <f>2949121.93</f>
        <v>2949121.93</v>
      </c>
      <c r="H48" s="24">
        <f>0</f>
        <v>0</v>
      </c>
      <c r="I48" s="24">
        <f>10897887.57</f>
        <v>10897887.57</v>
      </c>
      <c r="J48" s="24">
        <f>61058312368.14</f>
        <v>61058312368.139999</v>
      </c>
      <c r="K48" s="24">
        <f>267547.93</f>
        <v>267547.93</v>
      </c>
      <c r="L48" s="24">
        <f>19197603.9</f>
        <v>19197603.899999999</v>
      </c>
      <c r="M48" s="24">
        <f>25505309.83</f>
        <v>25505309.829999998</v>
      </c>
      <c r="N48" s="24">
        <f>94974.84</f>
        <v>94974.84</v>
      </c>
      <c r="O48" s="24">
        <f>0</f>
        <v>0</v>
      </c>
      <c r="P48" s="24">
        <f>0</f>
        <v>0</v>
      </c>
      <c r="Q48" s="24">
        <f>0</f>
        <v>0</v>
      </c>
    </row>
    <row r="49" spans="1:17" ht="28.5" customHeight="1" x14ac:dyDescent="0.2">
      <c r="A49" s="18" t="s">
        <v>35</v>
      </c>
      <c r="B49" s="24">
        <f>32053079564.17</f>
        <v>32053079564.169998</v>
      </c>
      <c r="C49" s="24">
        <f>32052767265.06</f>
        <v>32052767265.060001</v>
      </c>
      <c r="D49" s="24">
        <f>706425.29</f>
        <v>706425.29</v>
      </c>
      <c r="E49" s="24">
        <f>429415.3</f>
        <v>429415.3</v>
      </c>
      <c r="F49" s="24">
        <f>46965.58</f>
        <v>46965.58</v>
      </c>
      <c r="G49" s="24">
        <f>230044.41</f>
        <v>230044.41</v>
      </c>
      <c r="H49" s="24">
        <f>0</f>
        <v>0</v>
      </c>
      <c r="I49" s="24">
        <f>83784.53</f>
        <v>83784.53</v>
      </c>
      <c r="J49" s="24">
        <f>32001875936.21</f>
        <v>32001875936.209999</v>
      </c>
      <c r="K49" s="24">
        <f>26002928</f>
        <v>26002928</v>
      </c>
      <c r="L49" s="24">
        <f>1923806.27</f>
        <v>1923806.27</v>
      </c>
      <c r="M49" s="24">
        <f>22173735.85</f>
        <v>22173735.850000001</v>
      </c>
      <c r="N49" s="24">
        <f>648.91</f>
        <v>648.91</v>
      </c>
      <c r="O49" s="24">
        <f>312299.11</f>
        <v>312299.11</v>
      </c>
      <c r="P49" s="24">
        <f>301527.36</f>
        <v>301527.36</v>
      </c>
      <c r="Q49" s="24">
        <f>10771.75</f>
        <v>10771.75</v>
      </c>
    </row>
    <row r="50" spans="1:17" ht="35.25" customHeight="1" x14ac:dyDescent="0.2">
      <c r="A50" s="28" t="s">
        <v>43</v>
      </c>
      <c r="B50" s="23">
        <f>28694246334.99</f>
        <v>28694246334.990002</v>
      </c>
      <c r="C50" s="23">
        <f>28599711631.76</f>
        <v>28599711631.759998</v>
      </c>
      <c r="D50" s="23">
        <f>482808641.62</f>
        <v>482808641.62</v>
      </c>
      <c r="E50" s="23">
        <f>131897308.99</f>
        <v>131897308.98999999</v>
      </c>
      <c r="F50" s="23">
        <f>15967134.31</f>
        <v>15967134.310000001</v>
      </c>
      <c r="G50" s="23">
        <f>333250149.28</f>
        <v>333250149.27999997</v>
      </c>
      <c r="H50" s="23">
        <f>1694049.04</f>
        <v>1694049.04</v>
      </c>
      <c r="I50" s="23">
        <f>918</f>
        <v>918</v>
      </c>
      <c r="J50" s="23">
        <f>8918855.6</f>
        <v>8918855.5999999996</v>
      </c>
      <c r="K50" s="23">
        <f>67884379.53</f>
        <v>67884379.530000001</v>
      </c>
      <c r="L50" s="23">
        <f>7721949701.98</f>
        <v>7721949701.9799995</v>
      </c>
      <c r="M50" s="23">
        <f>20098806324.87</f>
        <v>20098806324.869999</v>
      </c>
      <c r="N50" s="23">
        <f>219342810.16</f>
        <v>219342810.16</v>
      </c>
      <c r="O50" s="23">
        <f>94534703.23</f>
        <v>94534703.230000004</v>
      </c>
      <c r="P50" s="23">
        <f>36209847.26</f>
        <v>36209847.259999998</v>
      </c>
      <c r="Q50" s="23">
        <f>58324855.97</f>
        <v>58324855.969999999</v>
      </c>
    </row>
    <row r="51" spans="1:17" ht="28.5" customHeight="1" x14ac:dyDescent="0.2">
      <c r="A51" s="18" t="s">
        <v>36</v>
      </c>
      <c r="B51" s="24">
        <f>7118915122.32</f>
        <v>7118915122.3199997</v>
      </c>
      <c r="C51" s="24">
        <f>7083043179.15</f>
        <v>7083043179.1499996</v>
      </c>
      <c r="D51" s="24">
        <f>87453145.38</f>
        <v>87453145.379999995</v>
      </c>
      <c r="E51" s="24">
        <f>2923558.14</f>
        <v>2923558.14</v>
      </c>
      <c r="F51" s="24">
        <f>5413363.86</f>
        <v>5413363.8600000003</v>
      </c>
      <c r="G51" s="24">
        <f>78716932.82</f>
        <v>78716932.819999993</v>
      </c>
      <c r="H51" s="24">
        <f>399290.56</f>
        <v>399290.56</v>
      </c>
      <c r="I51" s="24">
        <f>0</f>
        <v>0</v>
      </c>
      <c r="J51" s="24">
        <f>1210159.17</f>
        <v>1210159.17</v>
      </c>
      <c r="K51" s="24">
        <f>1392090.49</f>
        <v>1392090.49</v>
      </c>
      <c r="L51" s="24">
        <f>1162243544.17</f>
        <v>1162243544.1700001</v>
      </c>
      <c r="M51" s="24">
        <f>5750348380.92</f>
        <v>5750348380.9200001</v>
      </c>
      <c r="N51" s="24">
        <f>80395859.02</f>
        <v>80395859.019999996</v>
      </c>
      <c r="O51" s="24">
        <f>35871943.17</f>
        <v>35871943.170000002</v>
      </c>
      <c r="P51" s="24">
        <f>3078482.38</f>
        <v>3078482.38</v>
      </c>
      <c r="Q51" s="24">
        <f>32793460.79</f>
        <v>32793460.789999999</v>
      </c>
    </row>
    <row r="52" spans="1:17" ht="28.5" customHeight="1" x14ac:dyDescent="0.2">
      <c r="A52" s="18" t="s">
        <v>37</v>
      </c>
      <c r="B52" s="24">
        <f>21575331212.67</f>
        <v>21575331212.669998</v>
      </c>
      <c r="C52" s="24">
        <f>21516668452.61</f>
        <v>21516668452.610001</v>
      </c>
      <c r="D52" s="24">
        <f>395355496.24</f>
        <v>395355496.24000001</v>
      </c>
      <c r="E52" s="24">
        <f>128973750.85</f>
        <v>128973750.84999999</v>
      </c>
      <c r="F52" s="24">
        <f>10553770.45</f>
        <v>10553770.449999999</v>
      </c>
      <c r="G52" s="24">
        <f>254533216.46</f>
        <v>254533216.46000001</v>
      </c>
      <c r="H52" s="24">
        <f>1294758.48</f>
        <v>1294758.48</v>
      </c>
      <c r="I52" s="24">
        <f>918</f>
        <v>918</v>
      </c>
      <c r="J52" s="24">
        <f>7708696.43</f>
        <v>7708696.4299999997</v>
      </c>
      <c r="K52" s="24">
        <f>66492289.04</f>
        <v>66492289.039999999</v>
      </c>
      <c r="L52" s="24">
        <f>6559706157.81</f>
        <v>6559706157.8100004</v>
      </c>
      <c r="M52" s="24">
        <f>14348457943.95</f>
        <v>14348457943.950001</v>
      </c>
      <c r="N52" s="24">
        <f>138946951.14</f>
        <v>138946951.13999999</v>
      </c>
      <c r="O52" s="24">
        <f>58662760.06</f>
        <v>58662760.060000002</v>
      </c>
      <c r="P52" s="24">
        <f>33131364.88</f>
        <v>33131364.879999999</v>
      </c>
      <c r="Q52" s="24">
        <f>25531395.18</f>
        <v>25531395.18</v>
      </c>
    </row>
    <row r="53" spans="1:17" ht="35.25" customHeight="1" x14ac:dyDescent="0.2">
      <c r="A53" s="28" t="s">
        <v>44</v>
      </c>
      <c r="B53" s="23">
        <f>55321400590.12</f>
        <v>55321400590.120003</v>
      </c>
      <c r="C53" s="23">
        <f>55221904762.44</f>
        <v>55221904762.440002</v>
      </c>
      <c r="D53" s="23">
        <f>2634149275.26</f>
        <v>2634149275.2600002</v>
      </c>
      <c r="E53" s="23">
        <f>919987219.89</f>
        <v>919987219.88999999</v>
      </c>
      <c r="F53" s="23">
        <f>211579933.35</f>
        <v>211579933.34999999</v>
      </c>
      <c r="G53" s="23">
        <f>1450892062.53</f>
        <v>1450892062.53</v>
      </c>
      <c r="H53" s="23">
        <f>51690059.49</f>
        <v>51690059.490000002</v>
      </c>
      <c r="I53" s="23">
        <f>3976155.55</f>
        <v>3976155.55</v>
      </c>
      <c r="J53" s="23">
        <f>140820137.47</f>
        <v>140820137.47</v>
      </c>
      <c r="K53" s="23">
        <f>206303925.01</f>
        <v>206303925.00999999</v>
      </c>
      <c r="L53" s="23">
        <f>28069075666.47</f>
        <v>28069075666.470001</v>
      </c>
      <c r="M53" s="23">
        <f>23393520177.6</f>
        <v>23393520177.599998</v>
      </c>
      <c r="N53" s="23">
        <f>774059425.08</f>
        <v>774059425.08000004</v>
      </c>
      <c r="O53" s="23">
        <f>99495827.68</f>
        <v>99495827.680000007</v>
      </c>
      <c r="P53" s="23">
        <f>34187797.72</f>
        <v>34187797.719999999</v>
      </c>
      <c r="Q53" s="23">
        <f>65308029.96</f>
        <v>65308029.960000001</v>
      </c>
    </row>
    <row r="54" spans="1:17" ht="28.5" customHeight="1" x14ac:dyDescent="0.2">
      <c r="A54" s="18" t="s">
        <v>38</v>
      </c>
      <c r="B54" s="24">
        <f>2869152826.5</f>
        <v>2869152826.5</v>
      </c>
      <c r="C54" s="24">
        <f>2810263479.24</f>
        <v>2810263479.2399998</v>
      </c>
      <c r="D54" s="24">
        <f>211551928.68</f>
        <v>211551928.68000001</v>
      </c>
      <c r="E54" s="24">
        <f>5560688.25</f>
        <v>5560688.25</v>
      </c>
      <c r="F54" s="24">
        <f>16668072.43</f>
        <v>16668072.43</v>
      </c>
      <c r="G54" s="24">
        <f>169285111.48</f>
        <v>169285111.47999999</v>
      </c>
      <c r="H54" s="24">
        <f>20038056.52</f>
        <v>20038056.52</v>
      </c>
      <c r="I54" s="24">
        <f>3099.6</f>
        <v>3099.6</v>
      </c>
      <c r="J54" s="24">
        <f>2192580.15</f>
        <v>2192580.15</v>
      </c>
      <c r="K54" s="24">
        <f>1561853.29</f>
        <v>1561853.29</v>
      </c>
      <c r="L54" s="24">
        <f>1142317828.84</f>
        <v>1142317828.8399999</v>
      </c>
      <c r="M54" s="24">
        <f>1407793181.26</f>
        <v>1407793181.26</v>
      </c>
      <c r="N54" s="24">
        <f>44843007.42</f>
        <v>44843007.420000002</v>
      </c>
      <c r="O54" s="24">
        <f>58889347.26</f>
        <v>58889347.259999998</v>
      </c>
      <c r="P54" s="24">
        <f>1542324.18</f>
        <v>1542324.18</v>
      </c>
      <c r="Q54" s="24">
        <f>57347023.08</f>
        <v>57347023.079999998</v>
      </c>
    </row>
    <row r="55" spans="1:17" ht="47.25" customHeight="1" x14ac:dyDescent="0.2">
      <c r="A55" s="18" t="s">
        <v>78</v>
      </c>
      <c r="B55" s="24">
        <f>35969518665.91</f>
        <v>35969518665.910004</v>
      </c>
      <c r="C55" s="24">
        <f>35935251394.9</f>
        <v>35935251394.900002</v>
      </c>
      <c r="D55" s="24">
        <f>971939523.64</f>
        <v>971939523.63999999</v>
      </c>
      <c r="E55" s="24">
        <f>300301093.17</f>
        <v>300301093.17000002</v>
      </c>
      <c r="F55" s="24">
        <f>145293738.71</f>
        <v>145293738.71000001</v>
      </c>
      <c r="G55" s="24">
        <f>517997683.43</f>
        <v>517997683.43000001</v>
      </c>
      <c r="H55" s="24">
        <f>8347008.33</f>
        <v>8347008.3300000001</v>
      </c>
      <c r="I55" s="24">
        <f>3820011.26</f>
        <v>3820011.26</v>
      </c>
      <c r="J55" s="24">
        <f>35560239.09</f>
        <v>35560239.090000004</v>
      </c>
      <c r="K55" s="24">
        <f>138374016.77</f>
        <v>138374016.77000001</v>
      </c>
      <c r="L55" s="24">
        <f>19271103106</f>
        <v>19271103106</v>
      </c>
      <c r="M55" s="24">
        <f>15352173748.14</f>
        <v>15352173748.139999</v>
      </c>
      <c r="N55" s="24">
        <f>162280750</f>
        <v>162280750</v>
      </c>
      <c r="O55" s="24">
        <f>34267271.01</f>
        <v>34267271.009999998</v>
      </c>
      <c r="P55" s="24">
        <f>28062442.98</f>
        <v>28062442.98</v>
      </c>
      <c r="Q55" s="24">
        <f>6204828.03</f>
        <v>6204828.0300000003</v>
      </c>
    </row>
    <row r="56" spans="1:17" ht="35.25" customHeight="1" x14ac:dyDescent="0.2">
      <c r="A56" s="18" t="s">
        <v>39</v>
      </c>
      <c r="B56" s="24">
        <f>16482729097.71</f>
        <v>16482729097.709999</v>
      </c>
      <c r="C56" s="24">
        <f>16476389888.3</f>
        <v>16476389888.299999</v>
      </c>
      <c r="D56" s="24">
        <f>1450657822.94</f>
        <v>1450657822.9400001</v>
      </c>
      <c r="E56" s="24">
        <f>614125438.47</f>
        <v>614125438.47000003</v>
      </c>
      <c r="F56" s="24">
        <f>49618122.21</f>
        <v>49618122.210000001</v>
      </c>
      <c r="G56" s="24">
        <f>763609267.62</f>
        <v>763609267.62</v>
      </c>
      <c r="H56" s="24">
        <f>23304994.64</f>
        <v>23304994.640000001</v>
      </c>
      <c r="I56" s="24">
        <f>153044.69</f>
        <v>153044.69</v>
      </c>
      <c r="J56" s="24">
        <f>103067318.23</f>
        <v>103067318.23</v>
      </c>
      <c r="K56" s="24">
        <f>66368054.95</f>
        <v>66368054.950000003</v>
      </c>
      <c r="L56" s="24">
        <f>7655654731.63</f>
        <v>7655654731.6300001</v>
      </c>
      <c r="M56" s="24">
        <f>6633553248.2</f>
        <v>6633553248.1999998</v>
      </c>
      <c r="N56" s="24">
        <f>566935667.66</f>
        <v>566935667.65999997</v>
      </c>
      <c r="O56" s="24">
        <f>6339209.41</f>
        <v>6339209.4100000001</v>
      </c>
      <c r="P56" s="24">
        <f>4583030.56</f>
        <v>4583030.5599999996</v>
      </c>
      <c r="Q56" s="24">
        <f>1756178.85</f>
        <v>1756178.85</v>
      </c>
    </row>
    <row r="67" spans="1:13" ht="75" customHeight="1" x14ac:dyDescent="0.2">
      <c r="A67" s="33" t="str">
        <f>CONCATENATE("Informacja z wykonania budżetów jednostek samorządu terytorialnego za ",$C$94," ",$B$95," roku")</f>
        <v>Informacja z wykonania budżetów jednostek samorządu terytorialnego za I Kwartał 2026 roku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</row>
    <row r="68" spans="1:13" ht="13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3.5" customHeight="1" x14ac:dyDescent="0.2">
      <c r="B69" s="43" t="s">
        <v>2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1" spans="1:13" ht="13.5" customHeight="1" x14ac:dyDescent="0.2">
      <c r="B71" s="46" t="s">
        <v>0</v>
      </c>
      <c r="C71" s="47"/>
      <c r="D71" s="47"/>
      <c r="E71" s="48"/>
      <c r="F71" s="65" t="s">
        <v>68</v>
      </c>
      <c r="G71" s="29" t="s">
        <v>74</v>
      </c>
      <c r="H71" s="30"/>
      <c r="I71" s="30"/>
      <c r="J71" s="30"/>
      <c r="K71" s="30"/>
      <c r="L71" s="31"/>
    </row>
    <row r="72" spans="1:13" ht="13.5" customHeight="1" x14ac:dyDescent="0.2">
      <c r="B72" s="49"/>
      <c r="C72" s="50"/>
      <c r="D72" s="50"/>
      <c r="E72" s="51"/>
      <c r="F72" s="66"/>
      <c r="G72" s="32" t="s">
        <v>69</v>
      </c>
      <c r="H72" s="32" t="s">
        <v>66</v>
      </c>
      <c r="I72" s="32" t="s">
        <v>67</v>
      </c>
      <c r="J72" s="32" t="s">
        <v>70</v>
      </c>
      <c r="K72" s="32" t="s">
        <v>71</v>
      </c>
      <c r="L72" s="37" t="s">
        <v>72</v>
      </c>
    </row>
    <row r="73" spans="1:13" ht="13.5" customHeight="1" x14ac:dyDescent="0.2">
      <c r="B73" s="49"/>
      <c r="C73" s="50"/>
      <c r="D73" s="50"/>
      <c r="E73" s="51"/>
      <c r="F73" s="66"/>
      <c r="G73" s="32"/>
      <c r="H73" s="32"/>
      <c r="I73" s="32"/>
      <c r="J73" s="32"/>
      <c r="K73" s="32"/>
      <c r="L73" s="37"/>
    </row>
    <row r="74" spans="1:13" ht="11.25" customHeight="1" x14ac:dyDescent="0.2">
      <c r="B74" s="49"/>
      <c r="C74" s="50"/>
      <c r="D74" s="50"/>
      <c r="E74" s="51"/>
      <c r="F74" s="66"/>
      <c r="G74" s="32"/>
      <c r="H74" s="32"/>
      <c r="I74" s="32"/>
      <c r="J74" s="32"/>
      <c r="K74" s="32"/>
      <c r="L74" s="37"/>
    </row>
    <row r="75" spans="1:13" ht="20.25" customHeight="1" x14ac:dyDescent="0.2">
      <c r="B75" s="52"/>
      <c r="C75" s="53"/>
      <c r="D75" s="53"/>
      <c r="E75" s="54"/>
      <c r="F75" s="67"/>
      <c r="G75" s="32"/>
      <c r="H75" s="32"/>
      <c r="I75" s="32"/>
      <c r="J75" s="32"/>
      <c r="K75" s="32"/>
      <c r="L75" s="37"/>
    </row>
    <row r="76" spans="1:13" ht="13.5" customHeight="1" x14ac:dyDescent="0.2">
      <c r="B76" s="32">
        <v>1</v>
      </c>
      <c r="C76" s="32"/>
      <c r="D76" s="32"/>
      <c r="E76" s="32"/>
      <c r="F76" s="15">
        <v>2</v>
      </c>
      <c r="G76" s="15">
        <v>3</v>
      </c>
      <c r="H76" s="15">
        <v>4</v>
      </c>
      <c r="I76" s="15">
        <v>5</v>
      </c>
      <c r="J76" s="15">
        <v>6</v>
      </c>
      <c r="K76" s="15">
        <v>7</v>
      </c>
      <c r="L76" s="15">
        <v>8</v>
      </c>
    </row>
    <row r="77" spans="1:13" ht="33.75" customHeight="1" x14ac:dyDescent="0.2">
      <c r="B77" s="55" t="s">
        <v>53</v>
      </c>
      <c r="C77" s="56"/>
      <c r="D77" s="56"/>
      <c r="E77" s="57"/>
      <c r="F77" s="22">
        <f>4107639927.46</f>
        <v>4107639927.46</v>
      </c>
      <c r="G77" s="22">
        <f>997683518.17</f>
        <v>997683518.16999996</v>
      </c>
      <c r="H77" s="22">
        <f>81646079.03</f>
        <v>81646079.030000001</v>
      </c>
      <c r="I77" s="22">
        <f>160024043.15</f>
        <v>160024043.15000001</v>
      </c>
      <c r="J77" s="22">
        <f>740788998.44</f>
        <v>740788998.44000006</v>
      </c>
      <c r="K77" s="22">
        <f>15224397.55</f>
        <v>15224397.550000001</v>
      </c>
      <c r="L77" s="22">
        <f>3109956409.29</f>
        <v>3109956409.29</v>
      </c>
    </row>
    <row r="78" spans="1:13" ht="33.75" customHeight="1" x14ac:dyDescent="0.2">
      <c r="B78" s="38" t="s">
        <v>54</v>
      </c>
      <c r="C78" s="39"/>
      <c r="D78" s="39"/>
      <c r="E78" s="40"/>
      <c r="F78" s="25">
        <f>12035110.03</f>
        <v>12035110.029999999</v>
      </c>
      <c r="G78" s="25">
        <f>577328.19</f>
        <v>577328.18999999994</v>
      </c>
      <c r="H78" s="25">
        <f>335766</f>
        <v>335766</v>
      </c>
      <c r="I78" s="25">
        <f>0</f>
        <v>0</v>
      </c>
      <c r="J78" s="25">
        <f>41562.19</f>
        <v>41562.19</v>
      </c>
      <c r="K78" s="25">
        <f>200000</f>
        <v>200000</v>
      </c>
      <c r="L78" s="25">
        <f>11457781.84</f>
        <v>11457781.84</v>
      </c>
    </row>
    <row r="79" spans="1:13" ht="33.75" customHeight="1" x14ac:dyDescent="0.2">
      <c r="B79" s="38" t="s">
        <v>55</v>
      </c>
      <c r="C79" s="39"/>
      <c r="D79" s="39"/>
      <c r="E79" s="40"/>
      <c r="F79" s="25">
        <f>76479953.41</f>
        <v>76479953.409999996</v>
      </c>
      <c r="G79" s="25">
        <f>25820131.38</f>
        <v>25820131.379999999</v>
      </c>
      <c r="H79" s="25">
        <f>0</f>
        <v>0</v>
      </c>
      <c r="I79" s="25">
        <f>61487</f>
        <v>61487</v>
      </c>
      <c r="J79" s="25">
        <f>25527558.34</f>
        <v>25527558.34</v>
      </c>
      <c r="K79" s="25">
        <f>231086.04</f>
        <v>231086.04</v>
      </c>
      <c r="L79" s="25">
        <f>50659822.03</f>
        <v>50659822.030000001</v>
      </c>
    </row>
    <row r="80" spans="1:13" ht="22.5" customHeight="1" x14ac:dyDescent="0.2">
      <c r="B80" s="38" t="s">
        <v>56</v>
      </c>
      <c r="C80" s="39"/>
      <c r="D80" s="39"/>
      <c r="E80" s="40"/>
      <c r="F80" s="25">
        <f>102478807.07</f>
        <v>102478807.06999999</v>
      </c>
      <c r="G80" s="25">
        <f>66749471.65</f>
        <v>66749471.649999999</v>
      </c>
      <c r="H80" s="25">
        <f>0</f>
        <v>0</v>
      </c>
      <c r="I80" s="25">
        <f>30000</f>
        <v>30000</v>
      </c>
      <c r="J80" s="25">
        <f>66719471.65</f>
        <v>66719471.649999999</v>
      </c>
      <c r="K80" s="25">
        <f>0</f>
        <v>0</v>
      </c>
      <c r="L80" s="25">
        <f>35729335.42</f>
        <v>35729335.420000002</v>
      </c>
    </row>
    <row r="81" spans="1:13" ht="33.75" customHeight="1" x14ac:dyDescent="0.2">
      <c r="B81" s="38" t="s">
        <v>57</v>
      </c>
      <c r="C81" s="39"/>
      <c r="D81" s="39"/>
      <c r="E81" s="40"/>
      <c r="F81" s="25">
        <f>22715525.69</f>
        <v>22715525.690000001</v>
      </c>
      <c r="G81" s="25">
        <f>22508442.04</f>
        <v>22508442.039999999</v>
      </c>
      <c r="H81" s="25">
        <f>0</f>
        <v>0</v>
      </c>
      <c r="I81" s="25">
        <f>0</f>
        <v>0</v>
      </c>
      <c r="J81" s="25">
        <f>22508442.04</f>
        <v>22508442.039999999</v>
      </c>
      <c r="K81" s="25">
        <f>0</f>
        <v>0</v>
      </c>
      <c r="L81" s="25">
        <f>207083.65</f>
        <v>207083.65</v>
      </c>
    </row>
    <row r="82" spans="1:13" ht="33.75" customHeight="1" x14ac:dyDescent="0.2">
      <c r="B82" s="38" t="s">
        <v>58</v>
      </c>
      <c r="C82" s="39"/>
      <c r="D82" s="39"/>
      <c r="E82" s="40"/>
      <c r="F82" s="25">
        <f>9538672.02</f>
        <v>9538672.0199999996</v>
      </c>
      <c r="G82" s="25">
        <f>6799347.81</f>
        <v>6799347.8099999996</v>
      </c>
      <c r="H82" s="25">
        <f>0</f>
        <v>0</v>
      </c>
      <c r="I82" s="25">
        <f>0</f>
        <v>0</v>
      </c>
      <c r="J82" s="25">
        <f>6799347.81</f>
        <v>6799347.8099999996</v>
      </c>
      <c r="K82" s="25">
        <f>0</f>
        <v>0</v>
      </c>
      <c r="L82" s="25">
        <f>2739324.21</f>
        <v>2739324.21</v>
      </c>
    </row>
    <row r="83" spans="1:13" ht="33" customHeight="1" x14ac:dyDescent="0.2">
      <c r="B83" s="55" t="s">
        <v>59</v>
      </c>
      <c r="C83" s="56"/>
      <c r="D83" s="56"/>
      <c r="E83" s="57"/>
      <c r="F83" s="22">
        <f>20000</f>
        <v>20000</v>
      </c>
      <c r="G83" s="22">
        <f>0</f>
        <v>0</v>
      </c>
      <c r="H83" s="22">
        <f>0</f>
        <v>0</v>
      </c>
      <c r="I83" s="22">
        <f>0</f>
        <v>0</v>
      </c>
      <c r="J83" s="22">
        <f>0</f>
        <v>0</v>
      </c>
      <c r="K83" s="22">
        <f>0</f>
        <v>0</v>
      </c>
      <c r="L83" s="22">
        <f>20000</f>
        <v>20000</v>
      </c>
    </row>
    <row r="86" spans="1:13" ht="75" customHeight="1" x14ac:dyDescent="0.2">
      <c r="A86" s="33" t="str">
        <f>CONCATENATE("Informacja z wykonania budżetów jednostek samorządu terytorialnego za ",$C$94," ",$B$95," roku")</f>
        <v>Informacja z wykonania budżetów jednostek samorządu terytorialnego za I Kwartał 2026 roku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</row>
    <row r="87" spans="1:13" ht="13.5" customHeight="1" x14ac:dyDescent="0.2">
      <c r="B87" s="3"/>
    </row>
    <row r="88" spans="1:13" ht="13.5" customHeight="1" x14ac:dyDescent="0.2">
      <c r="B88" s="4"/>
      <c r="C88" s="44"/>
      <c r="D88" s="60"/>
      <c r="E88" s="60"/>
      <c r="F88" s="45"/>
      <c r="G88" s="44" t="s">
        <v>3</v>
      </c>
      <c r="H88" s="45"/>
      <c r="I88" s="44" t="s">
        <v>4</v>
      </c>
      <c r="J88" s="45"/>
      <c r="K88" s="4"/>
    </row>
    <row r="89" spans="1:13" ht="13.5" customHeight="1" x14ac:dyDescent="0.2">
      <c r="B89" s="5"/>
      <c r="C89" s="55" t="s">
        <v>5</v>
      </c>
      <c r="D89" s="56"/>
      <c r="E89" s="56"/>
      <c r="F89" s="57"/>
      <c r="G89" s="58">
        <f>2789</f>
        <v>2789</v>
      </c>
      <c r="H89" s="59"/>
      <c r="I89" s="41">
        <f>44798745976.79</f>
        <v>44798745976.790001</v>
      </c>
      <c r="J89" s="42"/>
      <c r="K89" s="6"/>
    </row>
    <row r="90" spans="1:13" ht="13.5" customHeight="1" x14ac:dyDescent="0.2">
      <c r="B90" s="5"/>
      <c r="C90" s="38" t="s">
        <v>6</v>
      </c>
      <c r="D90" s="39"/>
      <c r="E90" s="39"/>
      <c r="F90" s="40"/>
      <c r="G90" s="61">
        <f>20</f>
        <v>20</v>
      </c>
      <c r="H90" s="62"/>
      <c r="I90" s="63">
        <f>-96965193.4</f>
        <v>-96965193.400000006</v>
      </c>
      <c r="J90" s="64"/>
      <c r="K90" s="6"/>
    </row>
    <row r="91" spans="1:13" ht="13.5" customHeight="1" x14ac:dyDescent="0.2">
      <c r="B91" s="5"/>
      <c r="C91" s="55" t="s">
        <v>7</v>
      </c>
      <c r="D91" s="56"/>
      <c r="E91" s="56"/>
      <c r="F91" s="57"/>
      <c r="G91" s="58">
        <f>0</f>
        <v>0</v>
      </c>
      <c r="H91" s="59"/>
      <c r="I91" s="41">
        <f>0</f>
        <v>0</v>
      </c>
      <c r="J91" s="42"/>
      <c r="K91" s="6"/>
    </row>
    <row r="94" spans="1:13" ht="13.5" customHeight="1" x14ac:dyDescent="0.2">
      <c r="A94" s="7" t="s">
        <v>8</v>
      </c>
      <c r="B94" s="7">
        <f>1</f>
        <v>1</v>
      </c>
      <c r="C94" s="7" t="str">
        <f>IF(B94=1,"I Kwartał",IF(B94=2,"II Kwartały",IF(B94=3,"III Kwartały",IF(B94=4,"IV Kwartały","-"))))</f>
        <v>I Kwartał</v>
      </c>
    </row>
    <row r="95" spans="1:13" ht="13.5" customHeight="1" x14ac:dyDescent="0.2">
      <c r="A95" s="7" t="s">
        <v>9</v>
      </c>
      <c r="B95" s="7">
        <f>2026</f>
        <v>2026</v>
      </c>
      <c r="C95" s="8"/>
    </row>
    <row r="96" spans="1:13" ht="13.5" customHeight="1" x14ac:dyDescent="0.2">
      <c r="A96" s="7" t="s">
        <v>10</v>
      </c>
      <c r="B96" s="9" t="str">
        <f>"May 18 2026 12:00AM"</f>
        <v>May 18 2026 12:00AM</v>
      </c>
      <c r="C96" s="8"/>
    </row>
  </sheetData>
  <mergeCells count="75">
    <mergeCell ref="K72:K75"/>
    <mergeCell ref="G35:G38"/>
    <mergeCell ref="Q7:Q11"/>
    <mergeCell ref="C34:N34"/>
    <mergeCell ref="L7:L11"/>
    <mergeCell ref="M7:M11"/>
    <mergeCell ref="N7:N11"/>
    <mergeCell ref="P7:P11"/>
    <mergeCell ref="G7:G11"/>
    <mergeCell ref="F7:F11"/>
    <mergeCell ref="I7:I11"/>
    <mergeCell ref="J7:J11"/>
    <mergeCell ref="H35:H38"/>
    <mergeCell ref="K35:K38"/>
    <mergeCell ref="I35:I38"/>
    <mergeCell ref="J35:J38"/>
    <mergeCell ref="E35:E38"/>
    <mergeCell ref="H72:H75"/>
    <mergeCell ref="I72:I75"/>
    <mergeCell ref="J72:J75"/>
    <mergeCell ref="A1:M1"/>
    <mergeCell ref="C5:M5"/>
    <mergeCell ref="A3:M3"/>
    <mergeCell ref="K7:K11"/>
    <mergeCell ref="C7:C11"/>
    <mergeCell ref="B6:B11"/>
    <mergeCell ref="A6:A11"/>
    <mergeCell ref="C6:N6"/>
    <mergeCell ref="D7:D11"/>
    <mergeCell ref="E7:E11"/>
    <mergeCell ref="L72:L75"/>
    <mergeCell ref="F35:F38"/>
    <mergeCell ref="A30:M30"/>
    <mergeCell ref="G91:H91"/>
    <mergeCell ref="I91:J91"/>
    <mergeCell ref="C88:F88"/>
    <mergeCell ref="C89:F89"/>
    <mergeCell ref="C90:F90"/>
    <mergeCell ref="C91:F91"/>
    <mergeCell ref="G89:H89"/>
    <mergeCell ref="G88:H88"/>
    <mergeCell ref="G90:H90"/>
    <mergeCell ref="I90:J90"/>
    <mergeCell ref="B82:E82"/>
    <mergeCell ref="I89:J89"/>
    <mergeCell ref="B69:M69"/>
    <mergeCell ref="I88:J88"/>
    <mergeCell ref="B76:E76"/>
    <mergeCell ref="B71:E75"/>
    <mergeCell ref="B83:E83"/>
    <mergeCell ref="A86:M86"/>
    <mergeCell ref="B79:E79"/>
    <mergeCell ref="B80:E80"/>
    <mergeCell ref="B81:E81"/>
    <mergeCell ref="B78:E78"/>
    <mergeCell ref="B77:E77"/>
    <mergeCell ref="F71:F75"/>
    <mergeCell ref="G72:G75"/>
    <mergeCell ref="G71:L71"/>
    <mergeCell ref="O6:Q6"/>
    <mergeCell ref="O7:O11"/>
    <mergeCell ref="A67:M67"/>
    <mergeCell ref="L35:L38"/>
    <mergeCell ref="P35:P38"/>
    <mergeCell ref="Q35:Q38"/>
    <mergeCell ref="N35:N38"/>
    <mergeCell ref="O35:O38"/>
    <mergeCell ref="D35:D38"/>
    <mergeCell ref="H7:H11"/>
    <mergeCell ref="M35:M38"/>
    <mergeCell ref="O34:Q34"/>
    <mergeCell ref="A32:M32"/>
    <mergeCell ref="B34:B38"/>
    <mergeCell ref="A34:A38"/>
    <mergeCell ref="C35:C38"/>
  </mergeCells>
  <phoneticPr fontId="4" type="noConversion"/>
  <pageMargins left="0" right="0" top="0.19685039370078741" bottom="0.19685039370078741" header="0" footer="0"/>
  <pageSetup paperSize="9" scale="67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2016-08-26T11:29:32Z</cp:lastPrinted>
  <dcterms:created xsi:type="dcterms:W3CDTF">2001-05-17T08:58:03Z</dcterms:created>
  <dcterms:modified xsi:type="dcterms:W3CDTF">2026-05-29T11:57:36Z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2026-05-29T13:57:30.2006139+02:00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GRN-bb7b09ac-9a89-4974-a959-152c5579e5a5</vt:lpwstr>
  </property>
  <property fmtid="{D5CDD505-2E9C-101B-9397-08002B2CF9AE}" pid="7" name="MFHash">
    <vt:lpwstr>Yj1xkKs0Y4MZY7U+vhKAQ/YWfpQ0LeR3m0x6l/oRSlY=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