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'doch_wyd'!$A$1:$M$138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7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7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8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<sst xmlns="http://schemas.openxmlformats.org/spreadsheetml/2006/main" count="346" uniqueCount="122">
  <si>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</si>
  <si>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</si>
  <si>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</si>
  <si>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</si>
  <si>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</si>
  <si>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</si>
  <si>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</si>
  <si>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</si>
  <si>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</si>
  <si>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</si>
  <si>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</si>
  <si>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</si>
  <si>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</si>
  <si>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</si>
  <si>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</si>
  <si>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</si>
  <si>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</si>
  <si>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</si>
  <si>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</si>
  <si>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</si>
  <si>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</si>
  <si>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</si>
  <si>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</si>
  <si>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</si>
  <si>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</si>
  <si>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</si>
  <si>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</si>
  <si>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</si>
  <si>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</si>
  <si>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>inne cele</t>
  </si>
  <si>
    <t>kredyty i pożyczki w tym:</t>
  </si>
  <si>
    <t>nadwyżka z lat ubiegłych w tym:</t>
  </si>
  <si>
    <t>papiery wartościowe w tym:</t>
  </si>
  <si>
    <t>spłata pożyczek udzielonych</t>
  </si>
  <si>
    <t>prywatyzacja majątku jst</t>
  </si>
  <si>
    <t>spłaty kredytów i pożyczek w tym:</t>
  </si>
  <si>
    <t>pożyczki (udzielone)</t>
  </si>
  <si>
    <t>wykup papierów wartościowych w tym:</t>
  </si>
  <si>
    <t>w tym wymagalne: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</si>
  <si>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</si>
  <si>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</si>
  <si>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</si>
  <si>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</si>
  <si>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</si>
  <si>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</si>
  <si>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</si>
  <si>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</si>
  <si>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</si>
  <si>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</si>
  <si>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</si>
  <si>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</si>
  <si>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</si>
  <si>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</si>
  <si>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</si>
  <si>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</si>
  <si>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</si>
  <si>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</si>
  <si>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</si>
  <si>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</si>
  <si>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</si>
  <si>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</si>
  <si>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</si>
  <si>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</si>
  <si>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</si>
  <si>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</si>
  <si>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</si>
  <si>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opłata skarbowa</t>
  </si>
  <si>
    <t>opłata eksploatacyjna</t>
  </si>
  <si>
    <t>opłata targowa</t>
  </si>
  <si>
    <t>- część gminna</t>
  </si>
  <si>
    <t>- część powiatowa</t>
  </si>
  <si>
    <t>- pozostałe</t>
  </si>
  <si>
    <t>Subwencja ogólna dla gmin z tego:</t>
  </si>
  <si>
    <t>Subwencja ogólna dla powiatów z tego:</t>
  </si>
  <si>
    <t>#</t>
  </si>
  <si>
    <t>Razem dochody własne 
z tego:</t>
  </si>
  <si>
    <t>podatek dochodowy od osób prawnych - 
część gminna</t>
  </si>
  <si>
    <t>podatek dochodowy od osób prawnych - 
część powiatowa</t>
  </si>
  <si>
    <t>podatek dochodowy od osób fizycznych - 
część gminna</t>
  </si>
  <si>
    <t>podatek dochodowy od osób fizycznych - 
część powiatowa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</si>
  <si>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</si>
  <si>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</si>
  <si>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</si>
  <si>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</si>
  <si>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</si>
  <si>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</si>
  <si>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</si>
  <si>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z tego:</t>
  </si>
  <si>
    <t>świadczenia na rzecz osób fizycznych</t>
  </si>
  <si>
    <t>na realizację programów i projektów realizowanych z udziałem środków, o których mowa w art. 5 ust 1 pkt 2 ustawy o finansach publicznych</t>
  </si>
  <si>
    <t>majątkowe</t>
  </si>
  <si>
    <t>bieżące</t>
  </si>
  <si>
    <t>UE</t>
  </si>
  <si>
    <t>wydatki majątkowe</t>
  </si>
  <si>
    <t>wydatki bieżące</t>
  </si>
  <si>
    <t>Dochody bieżące minus Wydatki bieżące</t>
  </si>
  <si>
    <t>w złotych</t>
  </si>
  <si>
    <t>z tytułu pomocy finansowej udzielanej między jst na dofinansowanie własnych zadań</t>
  </si>
  <si>
    <t>na pokrycie deficytu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</si>
  <si>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</si>
  <si>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</si>
  <si>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</si>
  <si>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</si>
  <si>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</si>
  <si>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</si>
  <si>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</si>
  <si>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</si>
  <si>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</si>
  <si>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</si>
  <si>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</si>
  <si>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</si>
  <si>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</si>
  <si>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</si>
  <si>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</si>
  <si>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Kwota wydatków bieżących ponoszonych na spłatę przejętych zobowiązań samodzielnego publicznego zakładu opieki zdrowotnej przekształconego na zasadach określonych w ustawie o działalności leczniczej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</si>
  <si>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</si>
  <si>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</si>
  <si>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w tym: inwestycyjne § 620</t>
  </si>
  <si>
    <t>Dotacje §§ 205 i 625</t>
  </si>
  <si>
    <t>w tym: inwestycyjne § 625</t>
  </si>
  <si>
    <t>WYDATKI OGÓŁEM UE                    z tego:</t>
  </si>
  <si>
    <t xml:space="preserve">Informacja z wykonania budżetów miast na prawach powiatu za I Kwartał 2018 rok 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</si>
</sst>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dd/mm/yy\ h:mm;@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0" fontId="13" fillId="40" borderId="19" xfId="0" applyFont="1" applyFill="1" applyBorder="1" applyAlignment="1" quotePrefix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4" fontId="34" fillId="4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4" fontId="35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19" xfId="0" applyNumberFormat="1" applyFont="1" applyBorder="1" applyAlignment="1">
      <alignment horizontal="right" vertical="center"/>
    </xf>
    <xf numFmtId="164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71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0" fontId="35" fillId="2" borderId="21" xfId="0" applyFont="1" applyFill="1" applyBorder="1" applyAlignment="1">
      <alignment horizontal="center"/>
    </xf>
    <xf numFmtId="0" fontId="35" fillId="2" borderId="19" xfId="0" applyFont="1" applyFill="1" applyBorder="1" applyAlignment="1">
      <alignment horizontal="center"/>
    </xf>
    <xf numFmtId="0" fontId="55" fillId="0" borderId="19" xfId="89" applyFont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5" fillId="51" borderId="19" xfId="89" applyFont="1" applyFill="1" applyBorder="1" applyAlignment="1">
      <alignment horizontal="left" vertical="top" wrapText="1"/>
      <protection/>
    </xf>
    <xf numFmtId="0" fontId="13" fillId="51" borderId="19" xfId="0" applyFont="1" applyFill="1" applyBorder="1" applyAlignment="1">
      <alignment horizontal="left" vertical="center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4" fontId="34" fillId="5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 quotePrefix="1">
      <alignment horizontal="left" vertical="center" wrapText="1" indent="1"/>
    </xf>
    <xf numFmtId="0" fontId="5" fillId="50" borderId="19" xfId="0" applyFont="1" applyFill="1" applyBorder="1" applyAlignment="1">
      <alignment horizontal="left" vertical="center" wrapText="1" indent="2"/>
    </xf>
    <xf numFmtId="164" fontId="34" fillId="50" borderId="1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4" fontId="34" fillId="0" borderId="0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center" wrapText="1" indent="1"/>
    </xf>
    <xf numFmtId="164" fontId="36" fillId="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51" borderId="19" xfId="0" applyNumberFormat="1" applyFont="1" applyFill="1" applyBorder="1" applyAlignment="1">
      <alignment horizontal="right" vertical="center" wrapText="1"/>
    </xf>
    <xf numFmtId="3" fontId="33" fillId="0" borderId="21" xfId="0" applyNumberFormat="1" applyFont="1" applyBorder="1" applyAlignment="1">
      <alignment horizontal="right" vertical="center"/>
    </xf>
    <xf numFmtId="4" fontId="34" fillId="51" borderId="21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" fontId="34" fillId="0" borderId="21" xfId="0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/>
    </xf>
    <xf numFmtId="0" fontId="12" fillId="51" borderId="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4" fontId="36" fillId="0" borderId="21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5" fillId="0" borderId="19" xfId="89" applyFont="1" applyFill="1" applyBorder="1" applyAlignment="1">
      <alignment horizontal="left" vertical="top" wrapText="1"/>
      <protection/>
    </xf>
    <xf numFmtId="0" fontId="35" fillId="2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5" fillId="2" borderId="20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e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e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36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9" width="12.25390625" style="1" customWidth="1"/>
    <col min="10" max="10" width="13.00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27.75" customHeight="1">
      <c r="B1" s="135" t="s">
        <v>121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ht="63" customHeight="1">
      <c r="B2" s="131" t="s">
        <v>0</v>
      </c>
      <c r="C2" s="14" t="s">
        <v>40</v>
      </c>
      <c r="D2" s="14" t="s">
        <v>41</v>
      </c>
      <c r="E2" s="14" t="s">
        <v>42</v>
      </c>
      <c r="F2" s="14" t="s">
        <v>43</v>
      </c>
      <c r="G2" s="14" t="s">
        <v>44</v>
      </c>
      <c r="H2" s="14" t="s">
        <v>45</v>
      </c>
      <c r="I2" s="14" t="s">
        <v>46</v>
      </c>
      <c r="J2" s="14" t="s">
        <v>47</v>
      </c>
      <c r="K2" s="15" t="s">
        <v>2</v>
      </c>
      <c r="L2" s="14" t="s">
        <v>18</v>
      </c>
      <c r="M2" s="14" t="s">
        <v>3</v>
      </c>
    </row>
    <row r="3" spans="2:13" ht="12.75">
      <c r="B3" s="131"/>
      <c r="C3" s="134" t="s">
        <v>96</v>
      </c>
      <c r="D3" s="134"/>
      <c r="E3" s="134"/>
      <c r="F3" s="134"/>
      <c r="G3" s="134"/>
      <c r="H3" s="134"/>
      <c r="I3" s="134"/>
      <c r="J3" s="134"/>
      <c r="K3" s="134" t="s">
        <v>4</v>
      </c>
      <c r="L3" s="134"/>
      <c r="M3" s="134"/>
    </row>
    <row r="4" spans="2:13" ht="12.75">
      <c r="B4" s="15">
        <v>1</v>
      </c>
      <c r="C4" s="17">
        <v>2</v>
      </c>
      <c r="D4" s="17">
        <v>3</v>
      </c>
      <c r="E4" s="17">
        <v>4</v>
      </c>
      <c r="F4" s="15">
        <v>5</v>
      </c>
      <c r="G4" s="17">
        <v>6</v>
      </c>
      <c r="H4" s="15">
        <v>7</v>
      </c>
      <c r="I4" s="17">
        <v>8</v>
      </c>
      <c r="J4" s="15">
        <v>9</v>
      </c>
      <c r="K4" s="17">
        <v>10</v>
      </c>
      <c r="L4" s="15">
        <v>11</v>
      </c>
      <c r="M4" s="17">
        <v>12</v>
      </c>
    </row>
    <row r="5" spans="2:13" ht="12.75">
      <c r="B5" s="76" t="s">
        <v>5</v>
      </c>
      <c r="C5" s="77">
        <f>84239259103.19</f>
        <v>84239259103.19</v>
      </c>
      <c r="D5" s="77">
        <f>22580992252.73</f>
        <v>22580992252.73</v>
      </c>
      <c r="E5" s="77">
        <f>20445796956.49</f>
        <v>20445796956.49</v>
      </c>
      <c r="F5" s="77">
        <f>167345149.51</f>
        <v>167345149.51</v>
      </c>
      <c r="G5" s="77">
        <f>37548622.63</f>
        <v>37548622.63</v>
      </c>
      <c r="H5" s="77">
        <f>7564525.36</f>
        <v>7564525.36</v>
      </c>
      <c r="I5" s="77">
        <f>48660854.68</f>
        <v>48660854.68</v>
      </c>
      <c r="J5" s="77">
        <f>61358.59</f>
        <v>61358.59</v>
      </c>
      <c r="K5" s="78">
        <f aca="true" t="shared" si="0" ref="K5:K63">IF($D$5=0,"",100*$D5/$D$5)</f>
        <v>100</v>
      </c>
      <c r="L5" s="78">
        <f aca="true" t="shared" si="1" ref="L5:L63">IF(C5=0,"",100*D5/C5)</f>
        <v>26.80578211765741</v>
      </c>
      <c r="M5" s="78"/>
    </row>
    <row r="6" spans="2:13" ht="25.5" customHeight="1">
      <c r="B6" s="28" t="s">
        <v>75</v>
      </c>
      <c r="C6" s="32">
        <f>C5-C23-C50</f>
        <v>49795679134.57</v>
      </c>
      <c r="D6" s="32">
        <f>D5-D23-D50</f>
        <v>13309848842.809998</v>
      </c>
      <c r="E6" s="32">
        <f>E5-E23-E50</f>
        <v>12320285161.430002</v>
      </c>
      <c r="F6" s="32">
        <f>F5</f>
        <v>167345149.51</v>
      </c>
      <c r="G6" s="32">
        <f>G5</f>
        <v>37548622.63</v>
      </c>
      <c r="H6" s="32">
        <f>H5</f>
        <v>7564525.36</v>
      </c>
      <c r="I6" s="32">
        <f>I5</f>
        <v>48660854.68</v>
      </c>
      <c r="J6" s="32">
        <f>J5</f>
        <v>61358.59</v>
      </c>
      <c r="K6" s="33">
        <f t="shared" si="0"/>
        <v>58.9427102841367</v>
      </c>
      <c r="L6" s="33">
        <f t="shared" si="1"/>
        <v>26.728923220106882</v>
      </c>
      <c r="M6" s="33">
        <f aca="true" t="shared" si="2" ref="M6:M22">IF($D$6=0,"",100*$D6/$D$6)</f>
        <v>100</v>
      </c>
    </row>
    <row r="7" spans="2:13" ht="33.75">
      <c r="B7" s="18" t="s">
        <v>76</v>
      </c>
      <c r="C7" s="34">
        <f>1600295826.68</f>
        <v>1600295826.68</v>
      </c>
      <c r="D7" s="34">
        <f>507937103.5</f>
        <v>507937103.5</v>
      </c>
      <c r="E7" s="34">
        <f>433975885.94</f>
        <v>433975885.94</v>
      </c>
      <c r="F7" s="34">
        <f>0</f>
        <v>0</v>
      </c>
      <c r="G7" s="34">
        <f>0</f>
        <v>0</v>
      </c>
      <c r="H7" s="34">
        <f>0</f>
        <v>0</v>
      </c>
      <c r="I7" s="34">
        <f>0</f>
        <v>0</v>
      </c>
      <c r="J7" s="34">
        <f>0</f>
        <v>0</v>
      </c>
      <c r="K7" s="35">
        <f t="shared" si="0"/>
        <v>2.2494011680934496</v>
      </c>
      <c r="L7" s="35">
        <f t="shared" si="1"/>
        <v>31.74020046992028</v>
      </c>
      <c r="M7" s="35">
        <f t="shared" si="2"/>
        <v>3.816249977732756</v>
      </c>
    </row>
    <row r="8" spans="2:13" ht="33.75">
      <c r="B8" s="19" t="s">
        <v>77</v>
      </c>
      <c r="C8" s="38">
        <f>341493025.32</f>
        <v>341493025.32</v>
      </c>
      <c r="D8" s="38">
        <f>105966847.74</f>
        <v>105966847.74</v>
      </c>
      <c r="E8" s="38">
        <f>90636409.22</f>
        <v>90636409.22</v>
      </c>
      <c r="F8" s="38">
        <f>0</f>
        <v>0</v>
      </c>
      <c r="G8" s="38">
        <f>0</f>
        <v>0</v>
      </c>
      <c r="H8" s="38">
        <f>0</f>
        <v>0</v>
      </c>
      <c r="I8" s="38">
        <f>0</f>
        <v>0</v>
      </c>
      <c r="J8" s="38">
        <f>0</f>
        <v>0</v>
      </c>
      <c r="K8" s="35">
        <f t="shared" si="0"/>
        <v>0.46927454096791876</v>
      </c>
      <c r="L8" s="35">
        <f t="shared" si="1"/>
        <v>31.030457398274105</v>
      </c>
      <c r="M8" s="35">
        <f t="shared" si="2"/>
        <v>0.7961536527685171</v>
      </c>
    </row>
    <row r="9" spans="2:13" ht="33.75">
      <c r="B9" s="19" t="s">
        <v>78</v>
      </c>
      <c r="C9" s="38">
        <f>16831466270</f>
        <v>16831466270</v>
      </c>
      <c r="D9" s="38">
        <f>3998789287</f>
        <v>3998789287</v>
      </c>
      <c r="E9" s="38">
        <f>3315628059</f>
        <v>3315628059</v>
      </c>
      <c r="F9" s="38">
        <f>0</f>
        <v>0</v>
      </c>
      <c r="G9" s="38">
        <f>0</f>
        <v>0</v>
      </c>
      <c r="H9" s="38">
        <f>0</f>
        <v>0</v>
      </c>
      <c r="I9" s="38">
        <f>0</f>
        <v>0</v>
      </c>
      <c r="J9" s="38">
        <f>0</f>
        <v>0</v>
      </c>
      <c r="K9" s="35">
        <f t="shared" si="0"/>
        <v>17.70865178219329</v>
      </c>
      <c r="L9" s="35">
        <f t="shared" si="1"/>
        <v>23.757818973426847</v>
      </c>
      <c r="M9" s="35">
        <f t="shared" si="2"/>
        <v>30.043836967841695</v>
      </c>
    </row>
    <row r="10" spans="2:13" ht="33.75">
      <c r="B10" s="19" t="s">
        <v>79</v>
      </c>
      <c r="C10" s="38">
        <f>4543448564</f>
        <v>4543448564</v>
      </c>
      <c r="D10" s="38">
        <f>1077666312</f>
        <v>1077666312</v>
      </c>
      <c r="E10" s="38">
        <f>894851902</f>
        <v>894851902</v>
      </c>
      <c r="F10" s="38">
        <f>0</f>
        <v>0</v>
      </c>
      <c r="G10" s="38">
        <f>0</f>
        <v>0</v>
      </c>
      <c r="H10" s="38">
        <f>0</f>
        <v>0</v>
      </c>
      <c r="I10" s="38">
        <f>0</f>
        <v>0</v>
      </c>
      <c r="J10" s="38">
        <f>0</f>
        <v>0</v>
      </c>
      <c r="K10" s="35">
        <f t="shared" si="0"/>
        <v>4.772448880627521</v>
      </c>
      <c r="L10" s="35">
        <f t="shared" si="1"/>
        <v>23.71912649212947</v>
      </c>
      <c r="M10" s="35">
        <f t="shared" si="2"/>
        <v>8.096758458546711</v>
      </c>
    </row>
    <row r="11" spans="2:13" ht="12.75">
      <c r="B11" s="19" t="s">
        <v>19</v>
      </c>
      <c r="C11" s="38">
        <f>21928428</f>
        <v>21928428</v>
      </c>
      <c r="D11" s="38">
        <f>10449104.27</f>
        <v>10449104.27</v>
      </c>
      <c r="E11" s="38">
        <f>10412681.65</f>
        <v>10412681.65</v>
      </c>
      <c r="F11" s="38">
        <f>526699.69</f>
        <v>526699.69</v>
      </c>
      <c r="G11" s="38">
        <f>1544.42</f>
        <v>1544.42</v>
      </c>
      <c r="H11" s="38">
        <f>5229.8</f>
        <v>5229.8</v>
      </c>
      <c r="I11" s="38">
        <f>68237.45</f>
        <v>68237.45</v>
      </c>
      <c r="J11" s="38">
        <f>0</f>
        <v>0</v>
      </c>
      <c r="K11" s="35">
        <f t="shared" si="0"/>
        <v>0.0462738933393714</v>
      </c>
      <c r="L11" s="35">
        <f t="shared" si="1"/>
        <v>47.65095003618134</v>
      </c>
      <c r="M11" s="35">
        <f t="shared" si="2"/>
        <v>0.07850655851470938</v>
      </c>
    </row>
    <row r="12" spans="2:13" ht="12.75">
      <c r="B12" s="19" t="s">
        <v>20</v>
      </c>
      <c r="C12" s="38">
        <f>8643555972</f>
        <v>8643555972</v>
      </c>
      <c r="D12" s="79">
        <f>2478534617.87</f>
        <v>2478534617.87</v>
      </c>
      <c r="E12" s="38">
        <f>2477963522.12</f>
        <v>2477963522.12</v>
      </c>
      <c r="F12" s="38">
        <f>99299583.22</f>
        <v>99299583.22</v>
      </c>
      <c r="G12" s="38">
        <f>37282862.26</f>
        <v>37282862.26</v>
      </c>
      <c r="H12" s="38">
        <f>6368215.98</f>
        <v>6368215.98</v>
      </c>
      <c r="I12" s="38">
        <f>41804151.69</f>
        <v>41804151.69</v>
      </c>
      <c r="J12" s="38">
        <f>39523.09</f>
        <v>39523.09</v>
      </c>
      <c r="K12" s="35">
        <f t="shared" si="0"/>
        <v>10.976198876160323</v>
      </c>
      <c r="L12" s="35">
        <f t="shared" si="1"/>
        <v>28.674941492818274</v>
      </c>
      <c r="M12" s="35">
        <f t="shared" si="2"/>
        <v>18.621808911142583</v>
      </c>
    </row>
    <row r="13" spans="2:13" ht="12.75">
      <c r="B13" s="19" t="s">
        <v>21</v>
      </c>
      <c r="C13" s="38">
        <f>4354482</f>
        <v>4354482</v>
      </c>
      <c r="D13" s="79">
        <f>1574345.95</f>
        <v>1574345.95</v>
      </c>
      <c r="E13" s="38">
        <f>1573539.18</f>
        <v>1573539.18</v>
      </c>
      <c r="F13" s="38">
        <f>0</f>
        <v>0</v>
      </c>
      <c r="G13" s="38">
        <f>4157.68</f>
        <v>4157.68</v>
      </c>
      <c r="H13" s="38">
        <f>67.5</f>
        <v>67.5</v>
      </c>
      <c r="I13" s="38">
        <f>790.13</f>
        <v>790.13</v>
      </c>
      <c r="J13" s="38">
        <f>0</f>
        <v>0</v>
      </c>
      <c r="K13" s="35">
        <f t="shared" si="0"/>
        <v>0.006971996324960718</v>
      </c>
      <c r="L13" s="35">
        <f t="shared" si="1"/>
        <v>36.15460920495251</v>
      </c>
      <c r="M13" s="35">
        <f t="shared" si="2"/>
        <v>0.011828428471225384</v>
      </c>
    </row>
    <row r="14" spans="2:13" ht="22.5">
      <c r="B14" s="19" t="s">
        <v>22</v>
      </c>
      <c r="C14" s="38">
        <f>350142530</f>
        <v>350142530</v>
      </c>
      <c r="D14" s="79">
        <f>161717047.48</f>
        <v>161717047.48</v>
      </c>
      <c r="E14" s="38">
        <f>161704605.08</f>
        <v>161704605.08</v>
      </c>
      <c r="F14" s="38">
        <f>66956637.96</f>
        <v>66956637.96</v>
      </c>
      <c r="G14" s="38">
        <f>21422.26</f>
        <v>21422.26</v>
      </c>
      <c r="H14" s="38">
        <f>151429.8</f>
        <v>151429.8</v>
      </c>
      <c r="I14" s="38">
        <f>1141324.27</f>
        <v>1141324.27</v>
      </c>
      <c r="J14" s="38">
        <f>0</f>
        <v>0</v>
      </c>
      <c r="K14" s="35">
        <f t="shared" si="0"/>
        <v>0.716164487680778</v>
      </c>
      <c r="L14" s="35">
        <f t="shared" si="1"/>
        <v>46.186062424350446</v>
      </c>
      <c r="M14" s="35">
        <f t="shared" si="2"/>
        <v>1.215017911847735</v>
      </c>
    </row>
    <row r="15" spans="2:13" ht="33.75">
      <c r="B15" s="19" t="s">
        <v>49</v>
      </c>
      <c r="C15" s="38">
        <f>32046064</f>
        <v>32046064</v>
      </c>
      <c r="D15" s="79">
        <f>4504434.39</f>
        <v>4504434.39</v>
      </c>
      <c r="E15" s="38">
        <f>4449267.09</f>
        <v>4449267.09</v>
      </c>
      <c r="F15" s="38">
        <f>0</f>
        <v>0</v>
      </c>
      <c r="G15" s="38">
        <f>0</f>
        <v>0</v>
      </c>
      <c r="H15" s="38">
        <f>6186.78</f>
        <v>6186.78</v>
      </c>
      <c r="I15" s="38">
        <f>170711.33</f>
        <v>170711.33</v>
      </c>
      <c r="J15" s="38">
        <f>0</f>
        <v>0</v>
      </c>
      <c r="K15" s="35">
        <f t="shared" si="0"/>
        <v>0.019947902818377796</v>
      </c>
      <c r="L15" s="35">
        <f t="shared" si="1"/>
        <v>14.056123678714489</v>
      </c>
      <c r="M15" s="35">
        <f t="shared" si="2"/>
        <v>0.03384286661101566</v>
      </c>
    </row>
    <row r="16" spans="2:13" ht="22.5" customHeight="1">
      <c r="B16" s="19" t="s">
        <v>27</v>
      </c>
      <c r="C16" s="38">
        <f>155339420</f>
        <v>155339420</v>
      </c>
      <c r="D16" s="79">
        <f>44531851.61</f>
        <v>44531851.61</v>
      </c>
      <c r="E16" s="38">
        <f>44857808.84</f>
        <v>44857808.84</v>
      </c>
      <c r="F16" s="38">
        <f>0</f>
        <v>0</v>
      </c>
      <c r="G16" s="38">
        <f>0</f>
        <v>0</v>
      </c>
      <c r="H16" s="38">
        <f>367481.15</f>
        <v>367481.15</v>
      </c>
      <c r="I16" s="38">
        <f>2342440.02</f>
        <v>2342440.02</v>
      </c>
      <c r="J16" s="38">
        <f>0</f>
        <v>0</v>
      </c>
      <c r="K16" s="35">
        <f t="shared" si="0"/>
        <v>0.19720945435697665</v>
      </c>
      <c r="L16" s="35">
        <f t="shared" si="1"/>
        <v>28.66745067671812</v>
      </c>
      <c r="M16" s="35">
        <f t="shared" si="2"/>
        <v>0.3345781919533683</v>
      </c>
    </row>
    <row r="17" spans="2:13" ht="22.5" customHeight="1">
      <c r="B17" s="19" t="s">
        <v>28</v>
      </c>
      <c r="C17" s="38">
        <f>1182491725</f>
        <v>1182491725</v>
      </c>
      <c r="D17" s="79">
        <f>421503273.93</f>
        <v>421503273.93</v>
      </c>
      <c r="E17" s="38">
        <f>419867068.91</f>
        <v>419867068.91</v>
      </c>
      <c r="F17" s="38">
        <f>0</f>
        <v>0</v>
      </c>
      <c r="G17" s="38">
        <f>0</f>
        <v>0</v>
      </c>
      <c r="H17" s="38">
        <f>13733</f>
        <v>13733</v>
      </c>
      <c r="I17" s="38">
        <f>20853.67</f>
        <v>20853.67</v>
      </c>
      <c r="J17" s="38">
        <f>0</f>
        <v>0</v>
      </c>
      <c r="K17" s="35">
        <f t="shared" si="0"/>
        <v>1.8666286636675191</v>
      </c>
      <c r="L17" s="35">
        <f t="shared" si="1"/>
        <v>35.64534660316545</v>
      </c>
      <c r="M17" s="35">
        <f t="shared" si="2"/>
        <v>3.1668524481981386</v>
      </c>
    </row>
    <row r="18" spans="2:13" ht="12.75">
      <c r="B18" s="19" t="s">
        <v>66</v>
      </c>
      <c r="C18" s="38">
        <f>278860000</f>
        <v>278860000</v>
      </c>
      <c r="D18" s="79">
        <f>76417021.86</f>
        <v>76417021.86</v>
      </c>
      <c r="E18" s="38">
        <f>76213624.86</f>
        <v>76213624.86</v>
      </c>
      <c r="F18" s="38">
        <f>0</f>
        <v>0</v>
      </c>
      <c r="G18" s="38">
        <f>0</f>
        <v>0</v>
      </c>
      <c r="H18" s="38">
        <f>32849</f>
        <v>32849</v>
      </c>
      <c r="I18" s="38">
        <f>3200</f>
        <v>3200</v>
      </c>
      <c r="J18" s="38">
        <f>0</f>
        <v>0</v>
      </c>
      <c r="K18" s="35">
        <f t="shared" si="0"/>
        <v>0.33841303785382293</v>
      </c>
      <c r="L18" s="35">
        <f t="shared" si="1"/>
        <v>27.403364362045473</v>
      </c>
      <c r="M18" s="35">
        <f t="shared" si="2"/>
        <v>0.5741389159447938</v>
      </c>
    </row>
    <row r="19" spans="2:13" ht="12.75">
      <c r="B19" s="19" t="s">
        <v>67</v>
      </c>
      <c r="C19" s="38">
        <f>10277217</f>
        <v>10277217</v>
      </c>
      <c r="D19" s="79">
        <f>5038156.99</f>
        <v>5038156.99</v>
      </c>
      <c r="E19" s="38">
        <f>5038156.99</f>
        <v>5038156.99</v>
      </c>
      <c r="F19" s="38">
        <f>0</f>
        <v>0</v>
      </c>
      <c r="G19" s="38">
        <f>0</f>
        <v>0</v>
      </c>
      <c r="H19" s="38">
        <f>0</f>
        <v>0</v>
      </c>
      <c r="I19" s="38">
        <f>0</f>
        <v>0</v>
      </c>
      <c r="J19" s="38">
        <f>0</f>
        <v>0</v>
      </c>
      <c r="K19" s="35">
        <f t="shared" si="0"/>
        <v>0.02231149514428843</v>
      </c>
      <c r="L19" s="35">
        <f t="shared" si="1"/>
        <v>49.02258062664241</v>
      </c>
      <c r="M19" s="35">
        <f t="shared" si="2"/>
        <v>0.03785284904059313</v>
      </c>
    </row>
    <row r="20" spans="2:13" ht="12.75">
      <c r="B20" s="19" t="s">
        <v>68</v>
      </c>
      <c r="C20" s="38">
        <f>23548800</f>
        <v>23548800</v>
      </c>
      <c r="D20" s="79">
        <f>3393468.72</f>
        <v>3393468.72</v>
      </c>
      <c r="E20" s="38">
        <f>3382251.72</f>
        <v>3382251.72</v>
      </c>
      <c r="F20" s="38">
        <f>0</f>
        <v>0</v>
      </c>
      <c r="G20" s="38">
        <f>0</f>
        <v>0</v>
      </c>
      <c r="H20" s="38">
        <f>11078.05</f>
        <v>11078.05</v>
      </c>
      <c r="I20" s="38">
        <f>10230</f>
        <v>10230</v>
      </c>
      <c r="J20" s="38">
        <f>0</f>
        <v>0</v>
      </c>
      <c r="K20" s="35">
        <f t="shared" si="0"/>
        <v>0.015027987619054854</v>
      </c>
      <c r="L20" s="35">
        <f t="shared" si="1"/>
        <v>14.410367916836528</v>
      </c>
      <c r="M20" s="35">
        <f t="shared" si="2"/>
        <v>0.025495922305933304</v>
      </c>
    </row>
    <row r="21" spans="2:13" ht="12.75">
      <c r="B21" s="19" t="s">
        <v>23</v>
      </c>
      <c r="C21" s="38">
        <f>4174139556.22</f>
        <v>4174139556.22</v>
      </c>
      <c r="D21" s="79">
        <f>899974975.6</f>
        <v>899974975.6</v>
      </c>
      <c r="E21" s="38">
        <f>899494969.33</f>
        <v>899494969.33</v>
      </c>
      <c r="F21" s="38">
        <f>0</f>
        <v>0</v>
      </c>
      <c r="G21" s="38">
        <f>0</f>
        <v>0</v>
      </c>
      <c r="H21" s="38">
        <f>0</f>
        <v>0</v>
      </c>
      <c r="I21" s="38">
        <f>0</f>
        <v>0</v>
      </c>
      <c r="J21" s="38">
        <f>0</f>
        <v>0</v>
      </c>
      <c r="K21" s="35">
        <f t="shared" si="0"/>
        <v>3.985542200835726</v>
      </c>
      <c r="L21" s="35">
        <f t="shared" si="1"/>
        <v>21.56073038475493</v>
      </c>
      <c r="M21" s="35">
        <f t="shared" si="2"/>
        <v>6.761721986693845</v>
      </c>
    </row>
    <row r="22" spans="2:13" ht="13.5" customHeight="1">
      <c r="B22" s="19" t="s">
        <v>24</v>
      </c>
      <c r="C22" s="38">
        <f>C6-SUM(C7:C21)</f>
        <v>11602291254.349998</v>
      </c>
      <c r="D22" s="38">
        <f aca="true" t="shared" si="3" ref="D22:J22">D6-SUM(D7:D21)</f>
        <v>3511850993.8999977</v>
      </c>
      <c r="E22" s="38">
        <f t="shared" si="3"/>
        <v>3480235409.500002</v>
      </c>
      <c r="F22" s="38">
        <f t="shared" si="3"/>
        <v>562228.6399999857</v>
      </c>
      <c r="G22" s="38">
        <f t="shared" si="3"/>
        <v>238636.01000000536</v>
      </c>
      <c r="H22" s="38">
        <f t="shared" si="3"/>
        <v>608254.2999999998</v>
      </c>
      <c r="I22" s="38">
        <f t="shared" si="3"/>
        <v>3098916.11999999</v>
      </c>
      <c r="J22" s="38">
        <f t="shared" si="3"/>
        <v>21835.5</v>
      </c>
      <c r="K22" s="35">
        <f t="shared" si="0"/>
        <v>15.552243916453323</v>
      </c>
      <c r="L22" s="35">
        <f t="shared" si="1"/>
        <v>30.268598821662177</v>
      </c>
      <c r="M22" s="35">
        <f t="shared" si="2"/>
        <v>26.38535595238638</v>
      </c>
    </row>
    <row r="23" spans="2:13" ht="26.25" customHeight="1">
      <c r="B23" s="76" t="s">
        <v>87</v>
      </c>
      <c r="C23" s="77">
        <f>C24+C46+C48</f>
        <v>19267278798.620003</v>
      </c>
      <c r="D23" s="77">
        <f>D24+D46+D48</f>
        <v>3572190906.92</v>
      </c>
      <c r="E23" s="77">
        <f>E24+E46+E48</f>
        <v>3509660547.06</v>
      </c>
      <c r="F23" s="81" t="s">
        <v>74</v>
      </c>
      <c r="G23" s="81" t="s">
        <v>74</v>
      </c>
      <c r="H23" s="81" t="s">
        <v>74</v>
      </c>
      <c r="I23" s="81" t="s">
        <v>74</v>
      </c>
      <c r="J23" s="81" t="s">
        <v>74</v>
      </c>
      <c r="K23" s="78">
        <f t="shared" si="0"/>
        <v>15.819459423835234</v>
      </c>
      <c r="L23" s="78">
        <f t="shared" si="1"/>
        <v>18.540194203116293</v>
      </c>
      <c r="M23" s="82"/>
    </row>
    <row r="24" spans="2:13" ht="25.5" customHeight="1">
      <c r="B24" s="76" t="s">
        <v>80</v>
      </c>
      <c r="C24" s="77">
        <f>C25+C32+C39</f>
        <v>12006746532.03</v>
      </c>
      <c r="D24" s="77">
        <f>D25+D32+D39</f>
        <v>3143114041.84</v>
      </c>
      <c r="E24" s="77">
        <f>E25+E32+E39</f>
        <v>3084286738.34</v>
      </c>
      <c r="F24" s="81" t="s">
        <v>74</v>
      </c>
      <c r="G24" s="81" t="s">
        <v>74</v>
      </c>
      <c r="H24" s="81" t="s">
        <v>74</v>
      </c>
      <c r="I24" s="81" t="s">
        <v>74</v>
      </c>
      <c r="J24" s="81" t="s">
        <v>74</v>
      </c>
      <c r="K24" s="78">
        <f t="shared" si="0"/>
        <v>13.91929108633392</v>
      </c>
      <c r="L24" s="78">
        <f t="shared" si="1"/>
        <v>26.17789951220523</v>
      </c>
      <c r="M24" s="40"/>
    </row>
    <row r="25" spans="2:13" ht="13.5" customHeight="1">
      <c r="B25" s="29" t="s">
        <v>69</v>
      </c>
      <c r="C25" s="32">
        <f>C26+C28+C30</f>
        <v>9810953743.11</v>
      </c>
      <c r="D25" s="32">
        <f>D26+D28+D30</f>
        <v>2530456255.8900003</v>
      </c>
      <c r="E25" s="32">
        <f>E26+E28+E30</f>
        <v>2518394864.34</v>
      </c>
      <c r="F25" s="36" t="s">
        <v>74</v>
      </c>
      <c r="G25" s="36" t="s">
        <v>74</v>
      </c>
      <c r="H25" s="36" t="s">
        <v>74</v>
      </c>
      <c r="I25" s="36" t="s">
        <v>74</v>
      </c>
      <c r="J25" s="36" t="s">
        <v>74</v>
      </c>
      <c r="K25" s="33">
        <f t="shared" si="0"/>
        <v>11.206134024442937</v>
      </c>
      <c r="L25" s="33">
        <f t="shared" si="1"/>
        <v>25.792153567812708</v>
      </c>
      <c r="M25" s="40"/>
    </row>
    <row r="26" spans="2:13" ht="22.5" customHeight="1">
      <c r="B26" s="19" t="s">
        <v>9</v>
      </c>
      <c r="C26" s="34">
        <f>8737460088.89</f>
        <v>8737460088.89</v>
      </c>
      <c r="D26" s="39">
        <f>2333810902.51</f>
        <v>2333810902.51</v>
      </c>
      <c r="E26" s="34">
        <f>2324102464.86</f>
        <v>2324102464.86</v>
      </c>
      <c r="F26" s="34" t="s">
        <v>74</v>
      </c>
      <c r="G26" s="34" t="s">
        <v>74</v>
      </c>
      <c r="H26" s="34" t="s">
        <v>74</v>
      </c>
      <c r="I26" s="34" t="s">
        <v>74</v>
      </c>
      <c r="J26" s="34" t="s">
        <v>74</v>
      </c>
      <c r="K26" s="35">
        <f t="shared" si="0"/>
        <v>10.33528941682289</v>
      </c>
      <c r="L26" s="35">
        <f t="shared" si="1"/>
        <v>26.71040415369137</v>
      </c>
      <c r="M26" s="40"/>
    </row>
    <row r="27" spans="2:13" ht="12.75">
      <c r="B27" s="20" t="s">
        <v>6</v>
      </c>
      <c r="C27" s="38">
        <f>0</f>
        <v>0</v>
      </c>
      <c r="D27" s="38">
        <f>0</f>
        <v>0</v>
      </c>
      <c r="E27" s="38">
        <f>-5000</f>
        <v>-5000</v>
      </c>
      <c r="F27" s="38" t="s">
        <v>74</v>
      </c>
      <c r="G27" s="38" t="s">
        <v>74</v>
      </c>
      <c r="H27" s="38" t="s">
        <v>74</v>
      </c>
      <c r="I27" s="38" t="s">
        <v>74</v>
      </c>
      <c r="J27" s="38" t="s">
        <v>74</v>
      </c>
      <c r="K27" s="35">
        <f t="shared" si="0"/>
        <v>0</v>
      </c>
      <c r="L27" s="35">
        <f t="shared" si="1"/>
      </c>
      <c r="M27" s="40"/>
    </row>
    <row r="28" spans="2:13" ht="13.5" customHeight="1">
      <c r="B28" s="19" t="s">
        <v>7</v>
      </c>
      <c r="C28" s="38">
        <f>1068881961.7</f>
        <v>1068881961.7</v>
      </c>
      <c r="D28" s="79">
        <f>196377909.38</f>
        <v>196377909.38</v>
      </c>
      <c r="E28" s="38">
        <f>194050760.47</f>
        <v>194050760.47</v>
      </c>
      <c r="F28" s="38" t="s">
        <v>74</v>
      </c>
      <c r="G28" s="38" t="s">
        <v>74</v>
      </c>
      <c r="H28" s="38" t="s">
        <v>74</v>
      </c>
      <c r="I28" s="38" t="s">
        <v>74</v>
      </c>
      <c r="J28" s="38" t="s">
        <v>74</v>
      </c>
      <c r="K28" s="35">
        <f t="shared" si="0"/>
        <v>0.8696602309681865</v>
      </c>
      <c r="L28" s="35">
        <f t="shared" si="1"/>
        <v>18.37227275008658</v>
      </c>
      <c r="M28" s="40"/>
    </row>
    <row r="29" spans="2:13" ht="12.75">
      <c r="B29" s="20" t="s">
        <v>6</v>
      </c>
      <c r="C29" s="38">
        <f>32858415.7</f>
        <v>32858415.7</v>
      </c>
      <c r="D29" s="38">
        <f>91779</f>
        <v>91779</v>
      </c>
      <c r="E29" s="38">
        <f>91779</f>
        <v>91779</v>
      </c>
      <c r="F29" s="38" t="s">
        <v>74</v>
      </c>
      <c r="G29" s="38" t="s">
        <v>74</v>
      </c>
      <c r="H29" s="38" t="s">
        <v>74</v>
      </c>
      <c r="I29" s="38" t="s">
        <v>74</v>
      </c>
      <c r="J29" s="38" t="s">
        <v>74</v>
      </c>
      <c r="K29" s="35">
        <f t="shared" si="0"/>
        <v>0.00040644360961996295</v>
      </c>
      <c r="L29" s="35">
        <f t="shared" si="1"/>
        <v>0.2793165709447154</v>
      </c>
      <c r="M29" s="40"/>
    </row>
    <row r="30" spans="2:13" ht="33.75">
      <c r="B30" s="19" t="s">
        <v>10</v>
      </c>
      <c r="C30" s="38">
        <f>4611692.52</f>
        <v>4611692.52</v>
      </c>
      <c r="D30" s="79">
        <f>267444</f>
        <v>267444</v>
      </c>
      <c r="E30" s="38">
        <f>241639.01</f>
        <v>241639.01</v>
      </c>
      <c r="F30" s="38" t="s">
        <v>74</v>
      </c>
      <c r="G30" s="38" t="s">
        <v>74</v>
      </c>
      <c r="H30" s="38" t="s">
        <v>74</v>
      </c>
      <c r="I30" s="38" t="s">
        <v>74</v>
      </c>
      <c r="J30" s="38" t="s">
        <v>74</v>
      </c>
      <c r="K30" s="35">
        <f t="shared" si="0"/>
        <v>0.001184376651861552</v>
      </c>
      <c r="L30" s="35">
        <f t="shared" si="1"/>
        <v>5.799259140546518</v>
      </c>
      <c r="M30" s="40"/>
    </row>
    <row r="31" spans="2:13" ht="12.75">
      <c r="B31" s="20" t="s">
        <v>6</v>
      </c>
      <c r="C31" s="38">
        <f>655000</f>
        <v>655000</v>
      </c>
      <c r="D31" s="38">
        <f>56100</f>
        <v>56100</v>
      </c>
      <c r="E31" s="38">
        <f>56100</f>
        <v>56100</v>
      </c>
      <c r="F31" s="38" t="s">
        <v>74</v>
      </c>
      <c r="G31" s="38" t="s">
        <v>74</v>
      </c>
      <c r="H31" s="38" t="s">
        <v>74</v>
      </c>
      <c r="I31" s="38" t="s">
        <v>74</v>
      </c>
      <c r="J31" s="38" t="s">
        <v>74</v>
      </c>
      <c r="K31" s="35">
        <f t="shared" si="0"/>
        <v>0.00024843903833861693</v>
      </c>
      <c r="L31" s="35">
        <f t="shared" si="1"/>
        <v>8.564885496183207</v>
      </c>
      <c r="M31" s="40"/>
    </row>
    <row r="32" spans="2:13" ht="13.5" customHeight="1">
      <c r="B32" s="83" t="s">
        <v>70</v>
      </c>
      <c r="C32" s="77">
        <f>C33+C35+C37</f>
        <v>1646352362.7199998</v>
      </c>
      <c r="D32" s="77">
        <f>D33+D35+D37</f>
        <v>514081303.78</v>
      </c>
      <c r="E32" s="77">
        <f>E33+E35+E37</f>
        <v>467576634.35</v>
      </c>
      <c r="F32" s="81" t="s">
        <v>74</v>
      </c>
      <c r="G32" s="81" t="s">
        <v>74</v>
      </c>
      <c r="H32" s="81" t="s">
        <v>74</v>
      </c>
      <c r="I32" s="81" t="s">
        <v>74</v>
      </c>
      <c r="J32" s="81" t="s">
        <v>74</v>
      </c>
      <c r="K32" s="78">
        <f t="shared" si="0"/>
        <v>2.2766107796607056</v>
      </c>
      <c r="L32" s="78">
        <f t="shared" si="1"/>
        <v>31.225472469980073</v>
      </c>
      <c r="M32" s="40"/>
    </row>
    <row r="33" spans="2:13" ht="22.5">
      <c r="B33" s="19" t="s">
        <v>9</v>
      </c>
      <c r="C33" s="38">
        <f>1414872870.36</f>
        <v>1414872870.36</v>
      </c>
      <c r="D33" s="38">
        <f>456304476.74</f>
        <v>456304476.74</v>
      </c>
      <c r="E33" s="38">
        <f>410098353.22</f>
        <v>410098353.22</v>
      </c>
      <c r="F33" s="38" t="s">
        <v>74</v>
      </c>
      <c r="G33" s="38" t="s">
        <v>74</v>
      </c>
      <c r="H33" s="38" t="s">
        <v>74</v>
      </c>
      <c r="I33" s="38" t="s">
        <v>74</v>
      </c>
      <c r="J33" s="38" t="s">
        <v>74</v>
      </c>
      <c r="K33" s="35">
        <f t="shared" si="0"/>
        <v>2.020745907146014</v>
      </c>
      <c r="L33" s="35">
        <f t="shared" si="1"/>
        <v>32.25056372901531</v>
      </c>
      <c r="M33" s="40"/>
    </row>
    <row r="34" spans="2:13" ht="12.75">
      <c r="B34" s="20" t="s">
        <v>6</v>
      </c>
      <c r="C34" s="38">
        <f>14547724.26</f>
        <v>14547724.26</v>
      </c>
      <c r="D34" s="79">
        <f>377363.58</f>
        <v>377363.58</v>
      </c>
      <c r="E34" s="38">
        <f>377281.13</f>
        <v>377281.13</v>
      </c>
      <c r="F34" s="38" t="s">
        <v>74</v>
      </c>
      <c r="G34" s="38" t="s">
        <v>74</v>
      </c>
      <c r="H34" s="38" t="s">
        <v>74</v>
      </c>
      <c r="I34" s="38" t="s">
        <v>74</v>
      </c>
      <c r="J34" s="38" t="s">
        <v>74</v>
      </c>
      <c r="K34" s="35">
        <f t="shared" si="0"/>
        <v>0.001671155880912972</v>
      </c>
      <c r="L34" s="35">
        <f t="shared" si="1"/>
        <v>2.593969841988193</v>
      </c>
      <c r="M34" s="40"/>
    </row>
    <row r="35" spans="2:13" ht="13.5" customHeight="1">
      <c r="B35" s="19" t="s">
        <v>7</v>
      </c>
      <c r="C35" s="38">
        <f>209817901</f>
        <v>209817901</v>
      </c>
      <c r="D35" s="38">
        <f>39954558.4</f>
        <v>39954558.4</v>
      </c>
      <c r="E35" s="38">
        <f>39890009.99</f>
        <v>39890009.99</v>
      </c>
      <c r="F35" s="38" t="s">
        <v>74</v>
      </c>
      <c r="G35" s="38" t="s">
        <v>74</v>
      </c>
      <c r="H35" s="38" t="s">
        <v>74</v>
      </c>
      <c r="I35" s="38" t="s">
        <v>74</v>
      </c>
      <c r="J35" s="38" t="s">
        <v>74</v>
      </c>
      <c r="K35" s="35">
        <f t="shared" si="0"/>
        <v>0.17693889600962762</v>
      </c>
      <c r="L35" s="35">
        <f t="shared" si="1"/>
        <v>19.04249266129109</v>
      </c>
      <c r="M35" s="40"/>
    </row>
    <row r="36" spans="2:13" ht="12.75">
      <c r="B36" s="20" t="s">
        <v>6</v>
      </c>
      <c r="C36" s="38">
        <f>54416861</f>
        <v>54416861</v>
      </c>
      <c r="D36" s="79">
        <f>0</f>
        <v>0</v>
      </c>
      <c r="E36" s="38">
        <f>0</f>
        <v>0</v>
      </c>
      <c r="F36" s="38" t="s">
        <v>74</v>
      </c>
      <c r="G36" s="38" t="s">
        <v>74</v>
      </c>
      <c r="H36" s="38" t="s">
        <v>74</v>
      </c>
      <c r="I36" s="38" t="s">
        <v>74</v>
      </c>
      <c r="J36" s="38" t="s">
        <v>74</v>
      </c>
      <c r="K36" s="35">
        <f t="shared" si="0"/>
        <v>0</v>
      </c>
      <c r="L36" s="35">
        <f t="shared" si="1"/>
        <v>0</v>
      </c>
      <c r="M36" s="40"/>
    </row>
    <row r="37" spans="2:13" ht="33.75">
      <c r="B37" s="19" t="s">
        <v>10</v>
      </c>
      <c r="C37" s="38">
        <f>21661591.36</f>
        <v>21661591.36</v>
      </c>
      <c r="D37" s="38">
        <f>17822268.64</f>
        <v>17822268.64</v>
      </c>
      <c r="E37" s="38">
        <f>17588271.14</f>
        <v>17588271.14</v>
      </c>
      <c r="F37" s="38" t="s">
        <v>74</v>
      </c>
      <c r="G37" s="38" t="s">
        <v>74</v>
      </c>
      <c r="H37" s="38" t="s">
        <v>74</v>
      </c>
      <c r="I37" s="38" t="s">
        <v>74</v>
      </c>
      <c r="J37" s="38" t="s">
        <v>74</v>
      </c>
      <c r="K37" s="35">
        <f t="shared" si="0"/>
        <v>0.078925976505064</v>
      </c>
      <c r="L37" s="35">
        <f t="shared" si="1"/>
        <v>82.27589720351922</v>
      </c>
      <c r="M37" s="40"/>
    </row>
    <row r="38" spans="2:13" ht="12.75">
      <c r="B38" s="20" t="s">
        <v>6</v>
      </c>
      <c r="C38" s="38">
        <f>0</f>
        <v>0</v>
      </c>
      <c r="D38" s="79">
        <f>0</f>
        <v>0</v>
      </c>
      <c r="E38" s="38">
        <f>0</f>
        <v>0</v>
      </c>
      <c r="F38" s="38" t="s">
        <v>74</v>
      </c>
      <c r="G38" s="38" t="s">
        <v>74</v>
      </c>
      <c r="H38" s="38" t="s">
        <v>74</v>
      </c>
      <c r="I38" s="38" t="s">
        <v>74</v>
      </c>
      <c r="J38" s="38" t="s">
        <v>74</v>
      </c>
      <c r="K38" s="35">
        <f t="shared" si="0"/>
        <v>0</v>
      </c>
      <c r="L38" s="35">
        <f t="shared" si="1"/>
      </c>
      <c r="M38" s="40"/>
    </row>
    <row r="39" spans="2:13" ht="13.5" customHeight="1">
      <c r="B39" s="29" t="s">
        <v>71</v>
      </c>
      <c r="C39" s="32">
        <f>C40+C42+C44</f>
        <v>549440426.2</v>
      </c>
      <c r="D39" s="32">
        <f>D40+D42+D44</f>
        <v>98576482.17</v>
      </c>
      <c r="E39" s="32">
        <f>E40+E42+E44</f>
        <v>98315239.65</v>
      </c>
      <c r="F39" s="36" t="s">
        <v>74</v>
      </c>
      <c r="G39" s="36" t="s">
        <v>74</v>
      </c>
      <c r="H39" s="36" t="s">
        <v>74</v>
      </c>
      <c r="I39" s="36" t="s">
        <v>74</v>
      </c>
      <c r="J39" s="36" t="s">
        <v>74</v>
      </c>
      <c r="K39" s="33">
        <f t="shared" si="0"/>
        <v>0.43654628223027836</v>
      </c>
      <c r="L39" s="33">
        <f t="shared" si="1"/>
        <v>17.94125031020515</v>
      </c>
      <c r="M39" s="40"/>
    </row>
    <row r="40" spans="2:13" ht="33.75">
      <c r="B40" s="19" t="s">
        <v>11</v>
      </c>
      <c r="C40" s="34">
        <f>376857545.37</f>
        <v>376857545.37</v>
      </c>
      <c r="D40" s="39">
        <f>79424623.09</f>
        <v>79424623.09</v>
      </c>
      <c r="E40" s="34">
        <f>79249371.63</f>
        <v>79249371.63</v>
      </c>
      <c r="F40" s="34" t="s">
        <v>74</v>
      </c>
      <c r="G40" s="34" t="s">
        <v>74</v>
      </c>
      <c r="H40" s="34" t="s">
        <v>74</v>
      </c>
      <c r="I40" s="34" t="s">
        <v>74</v>
      </c>
      <c r="J40" s="34" t="s">
        <v>74</v>
      </c>
      <c r="K40" s="35">
        <f t="shared" si="0"/>
        <v>0.35173220999798055</v>
      </c>
      <c r="L40" s="35">
        <f t="shared" si="1"/>
        <v>21.075502949535117</v>
      </c>
      <c r="M40" s="40"/>
    </row>
    <row r="41" spans="2:13" ht="12.75">
      <c r="B41" s="20" t="s">
        <v>6</v>
      </c>
      <c r="C41" s="38">
        <f>11593049.33</f>
        <v>11593049.33</v>
      </c>
      <c r="D41" s="38">
        <f>3439686.1</f>
        <v>3439686.1</v>
      </c>
      <c r="E41" s="38">
        <f>3439686.1</f>
        <v>3439686.1</v>
      </c>
      <c r="F41" s="38" t="s">
        <v>74</v>
      </c>
      <c r="G41" s="38" t="s">
        <v>74</v>
      </c>
      <c r="H41" s="38" t="s">
        <v>74</v>
      </c>
      <c r="I41" s="38" t="s">
        <v>74</v>
      </c>
      <c r="J41" s="38" t="s">
        <v>74</v>
      </c>
      <c r="K41" s="35">
        <f t="shared" si="0"/>
        <v>0.015232661441545592</v>
      </c>
      <c r="L41" s="35">
        <f t="shared" si="1"/>
        <v>29.670244662022842</v>
      </c>
      <c r="M41" s="40"/>
    </row>
    <row r="42" spans="2:13" ht="24" customHeight="1">
      <c r="B42" s="19" t="s">
        <v>8</v>
      </c>
      <c r="C42" s="38">
        <f>117251324.5</f>
        <v>117251324.5</v>
      </c>
      <c r="D42" s="79">
        <f>12592712.84</f>
        <v>12592712.84</v>
      </c>
      <c r="E42" s="38">
        <f>12563087.45</f>
        <v>12563087.45</v>
      </c>
      <c r="F42" s="38" t="s">
        <v>74</v>
      </c>
      <c r="G42" s="38" t="s">
        <v>74</v>
      </c>
      <c r="H42" s="38" t="s">
        <v>74</v>
      </c>
      <c r="I42" s="38" t="s">
        <v>74</v>
      </c>
      <c r="J42" s="38" t="s">
        <v>74</v>
      </c>
      <c r="K42" s="35">
        <f t="shared" si="0"/>
        <v>0.055766871088127515</v>
      </c>
      <c r="L42" s="35">
        <f t="shared" si="1"/>
        <v>10.739932272577441</v>
      </c>
      <c r="M42" s="40"/>
    </row>
    <row r="43" spans="2:13" ht="12.75">
      <c r="B43" s="20" t="s">
        <v>6</v>
      </c>
      <c r="C43" s="38">
        <f>111920022.77</f>
        <v>111920022.77</v>
      </c>
      <c r="D43" s="38">
        <f>11470864.25</f>
        <v>11470864.25</v>
      </c>
      <c r="E43" s="38">
        <f>11470864.25</f>
        <v>11470864.25</v>
      </c>
      <c r="F43" s="38" t="s">
        <v>74</v>
      </c>
      <c r="G43" s="38" t="s">
        <v>74</v>
      </c>
      <c r="H43" s="38" t="s">
        <v>74</v>
      </c>
      <c r="I43" s="38" t="s">
        <v>74</v>
      </c>
      <c r="J43" s="38" t="s">
        <v>74</v>
      </c>
      <c r="K43" s="35">
        <f t="shared" si="0"/>
        <v>0.050798760841048486</v>
      </c>
      <c r="L43" s="35">
        <f t="shared" si="1"/>
        <v>10.249161826542041</v>
      </c>
      <c r="M43" s="40"/>
    </row>
    <row r="44" spans="2:13" ht="45">
      <c r="B44" s="19" t="s">
        <v>97</v>
      </c>
      <c r="C44" s="38">
        <f>55331556.33</f>
        <v>55331556.33</v>
      </c>
      <c r="D44" s="38">
        <f>6559146.24</f>
        <v>6559146.24</v>
      </c>
      <c r="E44" s="38">
        <f>6502780.57</f>
        <v>6502780.57</v>
      </c>
      <c r="F44" s="38" t="s">
        <v>74</v>
      </c>
      <c r="G44" s="38" t="s">
        <v>74</v>
      </c>
      <c r="H44" s="38" t="s">
        <v>74</v>
      </c>
      <c r="I44" s="38" t="s">
        <v>74</v>
      </c>
      <c r="J44" s="38" t="s">
        <v>74</v>
      </c>
      <c r="K44" s="35">
        <f t="shared" si="0"/>
        <v>0.02904720114417032</v>
      </c>
      <c r="L44" s="35">
        <f t="shared" si="1"/>
        <v>11.854259440816998</v>
      </c>
      <c r="M44" s="40"/>
    </row>
    <row r="45" spans="2:13" ht="12.75">
      <c r="B45" s="20" t="s">
        <v>6</v>
      </c>
      <c r="C45" s="38">
        <f>51872393</f>
        <v>51872393</v>
      </c>
      <c r="D45" s="38">
        <f>5158686.5</f>
        <v>5158686.5</v>
      </c>
      <c r="E45" s="38">
        <f>5158686.5</f>
        <v>5158686.5</v>
      </c>
      <c r="F45" s="38" t="s">
        <v>74</v>
      </c>
      <c r="G45" s="38" t="s">
        <v>74</v>
      </c>
      <c r="H45" s="38" t="s">
        <v>74</v>
      </c>
      <c r="I45" s="38" t="s">
        <v>74</v>
      </c>
      <c r="J45" s="38" t="s">
        <v>74</v>
      </c>
      <c r="K45" s="35">
        <f t="shared" si="0"/>
        <v>0.022845260483964448</v>
      </c>
      <c r="L45" s="35">
        <f t="shared" si="1"/>
        <v>9.944955691556393</v>
      </c>
      <c r="M45" s="40"/>
    </row>
    <row r="46" spans="2:13" ht="13.5" customHeight="1">
      <c r="B46" s="76" t="s">
        <v>116</v>
      </c>
      <c r="C46" s="77">
        <f>422472845.35</f>
        <v>422472845.35</v>
      </c>
      <c r="D46" s="77">
        <f>23762979.12</f>
        <v>23762979.12</v>
      </c>
      <c r="E46" s="77">
        <f>22935630.45</f>
        <v>22935630.45</v>
      </c>
      <c r="F46" s="81" t="s">
        <v>74</v>
      </c>
      <c r="G46" s="81" t="s">
        <v>74</v>
      </c>
      <c r="H46" s="81" t="s">
        <v>74</v>
      </c>
      <c r="I46" s="81" t="s">
        <v>74</v>
      </c>
      <c r="J46" s="81" t="s">
        <v>74</v>
      </c>
      <c r="K46" s="78">
        <f t="shared" si="0"/>
        <v>0.10523443280986512</v>
      </c>
      <c r="L46" s="78">
        <f t="shared" si="1"/>
        <v>5.624735265603503</v>
      </c>
      <c r="M46" s="40"/>
    </row>
    <row r="47" spans="2:13" ht="13.5" customHeight="1">
      <c r="B47" s="20" t="s">
        <v>117</v>
      </c>
      <c r="C47" s="38">
        <f>377305741.17</f>
        <v>377305741.17</v>
      </c>
      <c r="D47" s="38">
        <f>12275454.28</f>
        <v>12275454.28</v>
      </c>
      <c r="E47" s="38">
        <f>12146736.02</f>
        <v>12146736.02</v>
      </c>
      <c r="F47" s="38" t="s">
        <v>74</v>
      </c>
      <c r="G47" s="38" t="s">
        <v>74</v>
      </c>
      <c r="H47" s="38" t="s">
        <v>74</v>
      </c>
      <c r="I47" s="38" t="s">
        <v>74</v>
      </c>
      <c r="J47" s="38" t="s">
        <v>74</v>
      </c>
      <c r="K47" s="35">
        <f t="shared" si="0"/>
        <v>0.054361890490068794</v>
      </c>
      <c r="L47" s="35">
        <f t="shared" si="1"/>
        <v>3.2534501706585837</v>
      </c>
      <c r="M47" s="40"/>
    </row>
    <row r="48" spans="2:13" ht="13.5" customHeight="1">
      <c r="B48" s="76" t="s">
        <v>118</v>
      </c>
      <c r="C48" s="36">
        <f>6838059421.24</f>
        <v>6838059421.24</v>
      </c>
      <c r="D48" s="36">
        <f>405313885.96</f>
        <v>405313885.96</v>
      </c>
      <c r="E48" s="36">
        <f>402438178.27</f>
        <v>402438178.27</v>
      </c>
      <c r="F48" s="36" t="s">
        <v>74</v>
      </c>
      <c r="G48" s="36" t="s">
        <v>74</v>
      </c>
      <c r="H48" s="36" t="s">
        <v>74</v>
      </c>
      <c r="I48" s="36" t="s">
        <v>74</v>
      </c>
      <c r="J48" s="36" t="s">
        <v>74</v>
      </c>
      <c r="K48" s="37">
        <f t="shared" si="0"/>
        <v>1.7949339046914483</v>
      </c>
      <c r="L48" s="37">
        <f t="shared" si="1"/>
        <v>5.927323250526846</v>
      </c>
      <c r="M48" s="40"/>
    </row>
    <row r="49" spans="2:13" ht="13.5" customHeight="1">
      <c r="B49" s="84" t="s">
        <v>119</v>
      </c>
      <c r="C49" s="80">
        <f>6200518597.85</f>
        <v>6200518597.85</v>
      </c>
      <c r="D49" s="80">
        <f>286535399.18</f>
        <v>286535399.18</v>
      </c>
      <c r="E49" s="80">
        <f>286533697.1</f>
        <v>286533697.1</v>
      </c>
      <c r="F49" s="80" t="s">
        <v>74</v>
      </c>
      <c r="G49" s="80" t="s">
        <v>74</v>
      </c>
      <c r="H49" s="80" t="s">
        <v>74</v>
      </c>
      <c r="I49" s="80" t="s">
        <v>74</v>
      </c>
      <c r="J49" s="80" t="s">
        <v>74</v>
      </c>
      <c r="K49" s="85">
        <f t="shared" si="0"/>
        <v>1.268922977223724</v>
      </c>
      <c r="L49" s="85">
        <f t="shared" si="1"/>
        <v>4.621152161036252</v>
      </c>
      <c r="M49" s="40"/>
    </row>
    <row r="50" spans="2:13" s="5" customFormat="1" ht="25.5" customHeight="1">
      <c r="B50" s="76" t="s">
        <v>81</v>
      </c>
      <c r="C50" s="77">
        <f>C51+C52+C53+C57</f>
        <v>15176301170</v>
      </c>
      <c r="D50" s="77">
        <f>D51+D52+D53+D57</f>
        <v>5698952503</v>
      </c>
      <c r="E50" s="77">
        <f>E51+E52+E53+E57</f>
        <v>4615851248</v>
      </c>
      <c r="F50" s="81" t="s">
        <v>74</v>
      </c>
      <c r="G50" s="81" t="s">
        <v>74</v>
      </c>
      <c r="H50" s="81" t="s">
        <v>74</v>
      </c>
      <c r="I50" s="81" t="s">
        <v>74</v>
      </c>
      <c r="J50" s="81" t="s">
        <v>74</v>
      </c>
      <c r="K50" s="78">
        <f t="shared" si="0"/>
        <v>25.237830292028054</v>
      </c>
      <c r="L50" s="78">
        <f t="shared" si="1"/>
        <v>37.551656620161815</v>
      </c>
      <c r="M50" s="41"/>
    </row>
    <row r="51" spans="2:13" ht="13.5" customHeight="1">
      <c r="B51" s="19" t="s">
        <v>52</v>
      </c>
      <c r="C51" s="38">
        <f>14167155202</f>
        <v>14167155202</v>
      </c>
      <c r="D51" s="38">
        <f>5452933840</f>
        <v>5452933840</v>
      </c>
      <c r="E51" s="38">
        <f>4369832585</f>
        <v>4369832585</v>
      </c>
      <c r="F51" s="38" t="s">
        <v>74</v>
      </c>
      <c r="G51" s="38" t="s">
        <v>74</v>
      </c>
      <c r="H51" s="38" t="s">
        <v>74</v>
      </c>
      <c r="I51" s="38" t="s">
        <v>74</v>
      </c>
      <c r="J51" s="38" t="s">
        <v>74</v>
      </c>
      <c r="K51" s="35">
        <f t="shared" si="0"/>
        <v>24.148335817000028</v>
      </c>
      <c r="L51" s="35">
        <f t="shared" si="1"/>
        <v>38.489970373376025</v>
      </c>
      <c r="M51" s="40"/>
    </row>
    <row r="52" spans="2:13" s="5" customFormat="1" ht="22.5">
      <c r="B52" s="19" t="s">
        <v>48</v>
      </c>
      <c r="C52" s="34">
        <f>25450000</f>
        <v>25450000</v>
      </c>
      <c r="D52" s="39">
        <f>0</f>
        <v>0</v>
      </c>
      <c r="E52" s="34">
        <f>0</f>
        <v>0</v>
      </c>
      <c r="F52" s="34" t="s">
        <v>74</v>
      </c>
      <c r="G52" s="34" t="s">
        <v>74</v>
      </c>
      <c r="H52" s="34" t="s">
        <v>74</v>
      </c>
      <c r="I52" s="34" t="s">
        <v>74</v>
      </c>
      <c r="J52" s="34" t="s">
        <v>74</v>
      </c>
      <c r="K52" s="35">
        <f t="shared" si="0"/>
        <v>0</v>
      </c>
      <c r="L52" s="35">
        <f t="shared" si="1"/>
        <v>0</v>
      </c>
      <c r="M52" s="41"/>
    </row>
    <row r="53" spans="2:13" s="5" customFormat="1" ht="25.5" customHeight="1">
      <c r="B53" s="28" t="s">
        <v>72</v>
      </c>
      <c r="C53" s="32">
        <f>C54+C55+C56</f>
        <v>265958919</v>
      </c>
      <c r="D53" s="32">
        <f>D54+D55+D56</f>
        <v>66560211</v>
      </c>
      <c r="E53" s="32">
        <f>E54+E55+E56</f>
        <v>66560211</v>
      </c>
      <c r="F53" s="36" t="s">
        <v>74</v>
      </c>
      <c r="G53" s="36" t="s">
        <v>74</v>
      </c>
      <c r="H53" s="36" t="s">
        <v>74</v>
      </c>
      <c r="I53" s="36" t="s">
        <v>74</v>
      </c>
      <c r="J53" s="36" t="s">
        <v>74</v>
      </c>
      <c r="K53" s="33">
        <f t="shared" si="0"/>
        <v>0.2947621178690808</v>
      </c>
      <c r="L53" s="33">
        <f t="shared" si="1"/>
        <v>25.026500803306394</v>
      </c>
      <c r="M53" s="41"/>
    </row>
    <row r="54" spans="2:13" ht="13.5" customHeight="1">
      <c r="B54" s="19" t="s">
        <v>53</v>
      </c>
      <c r="C54" s="34">
        <f>141761504</f>
        <v>141761504</v>
      </c>
      <c r="D54" s="39">
        <f>35510856</f>
        <v>35510856</v>
      </c>
      <c r="E54" s="34">
        <f>35510856</f>
        <v>35510856</v>
      </c>
      <c r="F54" s="34" t="s">
        <v>74</v>
      </c>
      <c r="G54" s="34" t="s">
        <v>74</v>
      </c>
      <c r="H54" s="34" t="s">
        <v>74</v>
      </c>
      <c r="I54" s="34" t="s">
        <v>74</v>
      </c>
      <c r="J54" s="34" t="s">
        <v>74</v>
      </c>
      <c r="K54" s="35">
        <f t="shared" si="0"/>
        <v>0.15725994501285392</v>
      </c>
      <c r="L54" s="35">
        <f t="shared" si="1"/>
        <v>25.04971730548231</v>
      </c>
      <c r="M54" s="40"/>
    </row>
    <row r="55" spans="2:13" ht="13.5" customHeight="1">
      <c r="B55" s="19" t="s">
        <v>51</v>
      </c>
      <c r="C55" s="38">
        <f>0</f>
        <v>0</v>
      </c>
      <c r="D55" s="38">
        <f>0</f>
        <v>0</v>
      </c>
      <c r="E55" s="38">
        <f>0</f>
        <v>0</v>
      </c>
      <c r="F55" s="38" t="s">
        <v>74</v>
      </c>
      <c r="G55" s="38" t="s">
        <v>74</v>
      </c>
      <c r="H55" s="38" t="s">
        <v>74</v>
      </c>
      <c r="I55" s="38" t="s">
        <v>74</v>
      </c>
      <c r="J55" s="38" t="s">
        <v>74</v>
      </c>
      <c r="K55" s="35">
        <f t="shared" si="0"/>
        <v>0</v>
      </c>
      <c r="L55" s="35">
        <f t="shared" si="1"/>
      </c>
      <c r="M55" s="40"/>
    </row>
    <row r="56" spans="2:13" ht="13.5" customHeight="1">
      <c r="B56" s="19" t="s">
        <v>50</v>
      </c>
      <c r="C56" s="34">
        <f>124197415</f>
        <v>124197415</v>
      </c>
      <c r="D56" s="39">
        <f>31049355</f>
        <v>31049355</v>
      </c>
      <c r="E56" s="34">
        <f>31049355</f>
        <v>31049355</v>
      </c>
      <c r="F56" s="34" t="s">
        <v>74</v>
      </c>
      <c r="G56" s="34" t="s">
        <v>74</v>
      </c>
      <c r="H56" s="34" t="s">
        <v>74</v>
      </c>
      <c r="I56" s="34" t="s">
        <v>74</v>
      </c>
      <c r="J56" s="34" t="s">
        <v>74</v>
      </c>
      <c r="K56" s="35">
        <f t="shared" si="0"/>
        <v>0.13750217285622687</v>
      </c>
      <c r="L56" s="35">
        <f t="shared" si="1"/>
        <v>25.00000100646217</v>
      </c>
      <c r="M56" s="40"/>
    </row>
    <row r="57" spans="2:13" s="5" customFormat="1" ht="25.5" customHeight="1">
      <c r="B57" s="28" t="s">
        <v>73</v>
      </c>
      <c r="C57" s="32">
        <f>C58+C59</f>
        <v>717737049</v>
      </c>
      <c r="D57" s="32">
        <f>D58+D59</f>
        <v>179458452</v>
      </c>
      <c r="E57" s="32">
        <f>E58+E59</f>
        <v>179458452</v>
      </c>
      <c r="F57" s="36" t="s">
        <v>74</v>
      </c>
      <c r="G57" s="36" t="s">
        <v>74</v>
      </c>
      <c r="H57" s="36" t="s">
        <v>74</v>
      </c>
      <c r="I57" s="36" t="s">
        <v>74</v>
      </c>
      <c r="J57" s="36" t="s">
        <v>74</v>
      </c>
      <c r="K57" s="33">
        <f t="shared" si="0"/>
        <v>0.7947323571589455</v>
      </c>
      <c r="L57" s="33">
        <f t="shared" si="1"/>
        <v>25.003370280248692</v>
      </c>
      <c r="M57" s="41"/>
    </row>
    <row r="58" spans="2:13" ht="13.5" customHeight="1">
      <c r="B58" s="19" t="s">
        <v>50</v>
      </c>
      <c r="C58" s="34">
        <f>642606200</f>
        <v>642606200</v>
      </c>
      <c r="D58" s="39">
        <f>160654953</f>
        <v>160654953</v>
      </c>
      <c r="E58" s="34">
        <f>160654953</f>
        <v>160654953</v>
      </c>
      <c r="F58" s="34" t="s">
        <v>74</v>
      </c>
      <c r="G58" s="34" t="s">
        <v>74</v>
      </c>
      <c r="H58" s="34" t="s">
        <v>74</v>
      </c>
      <c r="I58" s="34" t="s">
        <v>74</v>
      </c>
      <c r="J58" s="34" t="s">
        <v>74</v>
      </c>
      <c r="K58" s="35">
        <f t="shared" si="0"/>
        <v>0.7114609987104402</v>
      </c>
      <c r="L58" s="35">
        <f t="shared" si="1"/>
        <v>25.00052956227313</v>
      </c>
      <c r="M58" s="40"/>
    </row>
    <row r="59" spans="2:13" ht="13.5" customHeight="1">
      <c r="B59" s="19" t="s">
        <v>53</v>
      </c>
      <c r="C59" s="38">
        <f>75130849</f>
        <v>75130849</v>
      </c>
      <c r="D59" s="38">
        <f>18803499</f>
        <v>18803499</v>
      </c>
      <c r="E59" s="38">
        <f>18803499</f>
        <v>18803499</v>
      </c>
      <c r="F59" s="38" t="s">
        <v>74</v>
      </c>
      <c r="G59" s="38" t="s">
        <v>74</v>
      </c>
      <c r="H59" s="38" t="s">
        <v>74</v>
      </c>
      <c r="I59" s="38" t="s">
        <v>74</v>
      </c>
      <c r="J59" s="38" t="s">
        <v>74</v>
      </c>
      <c r="K59" s="35">
        <f t="shared" si="0"/>
        <v>0.08327135844850525</v>
      </c>
      <c r="L59" s="35">
        <f t="shared" si="1"/>
        <v>25.027667396650877</v>
      </c>
      <c r="M59" s="40"/>
    </row>
    <row r="60" spans="2:13" ht="11.25" customHeight="1">
      <c r="B60" s="86"/>
      <c r="C60" s="87"/>
      <c r="D60" s="87"/>
      <c r="E60" s="87"/>
      <c r="F60" s="87"/>
      <c r="G60" s="87"/>
      <c r="H60" s="87"/>
      <c r="I60" s="87"/>
      <c r="J60" s="87"/>
      <c r="K60" s="82"/>
      <c r="L60" s="82"/>
      <c r="M60" s="40"/>
    </row>
    <row r="61" spans="2:13" ht="13.5" customHeight="1">
      <c r="B61" s="88" t="s">
        <v>5</v>
      </c>
      <c r="C61" s="81">
        <f aca="true" t="shared" si="4" ref="C61:J61">+C5</f>
        <v>84239259103.19</v>
      </c>
      <c r="D61" s="81">
        <f t="shared" si="4"/>
        <v>22580992252.73</v>
      </c>
      <c r="E61" s="81">
        <f t="shared" si="4"/>
        <v>20445796956.49</v>
      </c>
      <c r="F61" s="81">
        <f t="shared" si="4"/>
        <v>167345149.51</v>
      </c>
      <c r="G61" s="81">
        <f t="shared" si="4"/>
        <v>37548622.63</v>
      </c>
      <c r="H61" s="81">
        <f t="shared" si="4"/>
        <v>7564525.36</v>
      </c>
      <c r="I61" s="81">
        <f t="shared" si="4"/>
        <v>48660854.68</v>
      </c>
      <c r="J61" s="81">
        <f t="shared" si="4"/>
        <v>61358.59</v>
      </c>
      <c r="K61" s="78">
        <f t="shared" si="0"/>
        <v>100</v>
      </c>
      <c r="L61" s="78">
        <f t="shared" si="1"/>
        <v>26.80578211765741</v>
      </c>
      <c r="M61" s="40"/>
    </row>
    <row r="62" spans="2:13" ht="12.75">
      <c r="B62" s="21" t="s">
        <v>90</v>
      </c>
      <c r="C62" s="38">
        <f>9090470282.56</f>
        <v>9090470282.56</v>
      </c>
      <c r="D62" s="38">
        <f>735319955.16</f>
        <v>735319955.16</v>
      </c>
      <c r="E62" s="38">
        <f>735107457.53</f>
        <v>735107457.53</v>
      </c>
      <c r="F62" s="38">
        <f>0</f>
        <v>0</v>
      </c>
      <c r="G62" s="38">
        <f>0</f>
        <v>0</v>
      </c>
      <c r="H62" s="38">
        <f>0</f>
        <v>0</v>
      </c>
      <c r="I62" s="38">
        <f>0</f>
        <v>0</v>
      </c>
      <c r="J62" s="38">
        <f>0</f>
        <v>0</v>
      </c>
      <c r="K62" s="35">
        <f t="shared" si="0"/>
        <v>3.2563668900382408</v>
      </c>
      <c r="L62" s="35">
        <f t="shared" si="1"/>
        <v>8.088909949694306</v>
      </c>
      <c r="M62" s="40"/>
    </row>
    <row r="63" spans="1:13" s="5" customFormat="1" ht="12.75">
      <c r="A63" s="2"/>
      <c r="B63" s="21" t="s">
        <v>91</v>
      </c>
      <c r="C63" s="38">
        <f>C61-C62</f>
        <v>75148788820.63</v>
      </c>
      <c r="D63" s="38">
        <f aca="true" t="shared" si="5" ref="D63:J63">D61-D62</f>
        <v>21845672297.57</v>
      </c>
      <c r="E63" s="38">
        <f t="shared" si="5"/>
        <v>19710689498.960003</v>
      </c>
      <c r="F63" s="38">
        <f t="shared" si="5"/>
        <v>167345149.51</v>
      </c>
      <c r="G63" s="38">
        <f t="shared" si="5"/>
        <v>37548622.63</v>
      </c>
      <c r="H63" s="38">
        <f t="shared" si="5"/>
        <v>7564525.36</v>
      </c>
      <c r="I63" s="38">
        <f t="shared" si="5"/>
        <v>48660854.68</v>
      </c>
      <c r="J63" s="38">
        <f t="shared" si="5"/>
        <v>61358.59</v>
      </c>
      <c r="K63" s="35">
        <f t="shared" si="0"/>
        <v>96.74363310996176</v>
      </c>
      <c r="L63" s="35">
        <f t="shared" si="1"/>
        <v>29.069892729359438</v>
      </c>
      <c r="M63" s="42"/>
    </row>
    <row r="64" spans="2:13" ht="18">
      <c r="B64" s="135" t="s">
        <v>121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</row>
    <row r="65" spans="2:13" s="5" customFormat="1" ht="6" customHeight="1">
      <c r="B65" s="6"/>
      <c r="C65" s="7"/>
      <c r="D65" s="8"/>
      <c r="E65" s="8"/>
      <c r="F65" s="4"/>
      <c r="G65" s="4"/>
      <c r="H65" s="4"/>
      <c r="I65" s="4"/>
      <c r="J65" s="4"/>
      <c r="K65" s="9"/>
      <c r="L65" s="9"/>
      <c r="M65" s="3"/>
    </row>
    <row r="66" spans="2:27" ht="29.25" customHeight="1">
      <c r="B66" s="133" t="s">
        <v>0</v>
      </c>
      <c r="C66" s="132" t="s">
        <v>62</v>
      </c>
      <c r="D66" s="132" t="s">
        <v>63</v>
      </c>
      <c r="E66" s="132" t="s">
        <v>64</v>
      </c>
      <c r="F66" s="132" t="s">
        <v>12</v>
      </c>
      <c r="G66" s="132"/>
      <c r="H66" s="132"/>
      <c r="I66" s="132" t="s">
        <v>115</v>
      </c>
      <c r="J66" s="132"/>
      <c r="K66" s="132" t="s">
        <v>2</v>
      </c>
      <c r="L66" s="130" t="s">
        <v>39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ht="18" customHeight="1">
      <c r="B67" s="133"/>
      <c r="C67" s="132"/>
      <c r="D67" s="143"/>
      <c r="E67" s="132"/>
      <c r="F67" s="138" t="s">
        <v>65</v>
      </c>
      <c r="G67" s="149" t="s">
        <v>38</v>
      </c>
      <c r="H67" s="143"/>
      <c r="I67" s="132"/>
      <c r="J67" s="132"/>
      <c r="K67" s="132"/>
      <c r="L67" s="130"/>
      <c r="M67" s="11"/>
      <c r="N67" s="12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ht="36" customHeight="1">
      <c r="B68" s="133"/>
      <c r="C68" s="132"/>
      <c r="D68" s="143"/>
      <c r="E68" s="132"/>
      <c r="F68" s="143"/>
      <c r="G68" s="16" t="s">
        <v>60</v>
      </c>
      <c r="H68" s="16" t="s">
        <v>61</v>
      </c>
      <c r="I68" s="132"/>
      <c r="J68" s="132"/>
      <c r="K68" s="132"/>
      <c r="L68" s="130"/>
      <c r="M68" s="11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2:27" ht="13.5" customHeight="1">
      <c r="B69" s="133"/>
      <c r="C69" s="134" t="s">
        <v>96</v>
      </c>
      <c r="D69" s="134"/>
      <c r="E69" s="134"/>
      <c r="F69" s="134"/>
      <c r="G69" s="134"/>
      <c r="H69" s="134"/>
      <c r="I69" s="134"/>
      <c r="J69" s="134"/>
      <c r="K69" s="134" t="s">
        <v>4</v>
      </c>
      <c r="L69" s="13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ht="11.25" customHeight="1">
      <c r="B70" s="15">
        <v>1</v>
      </c>
      <c r="C70" s="17">
        <v>2</v>
      </c>
      <c r="D70" s="17">
        <v>3</v>
      </c>
      <c r="E70" s="17">
        <v>4</v>
      </c>
      <c r="F70" s="15">
        <v>5</v>
      </c>
      <c r="G70" s="15">
        <v>6</v>
      </c>
      <c r="H70" s="17">
        <v>7</v>
      </c>
      <c r="I70" s="143">
        <v>8</v>
      </c>
      <c r="J70" s="143"/>
      <c r="K70" s="15">
        <v>9</v>
      </c>
      <c r="L70" s="17">
        <v>10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12" ht="25.5" customHeight="1">
      <c r="B71" s="76" t="s">
        <v>82</v>
      </c>
      <c r="C71" s="92">
        <f>92945243715.83</f>
        <v>92945243715.83</v>
      </c>
      <c r="D71" s="92">
        <f>62727556558.65</f>
        <v>62727556558.65</v>
      </c>
      <c r="E71" s="92">
        <f>18742032625.18</f>
        <v>18742032625.18</v>
      </c>
      <c r="F71" s="92">
        <f>2725700668.21</f>
        <v>2725700668.21</v>
      </c>
      <c r="G71" s="92">
        <f>1274284.67</f>
        <v>1274284.67</v>
      </c>
      <c r="H71" s="92">
        <f>4969599.28</f>
        <v>4969599.28</v>
      </c>
      <c r="I71" s="150">
        <f>0</f>
        <v>0</v>
      </c>
      <c r="J71" s="150"/>
      <c r="K71" s="63">
        <f aca="true" t="shared" si="6" ref="K71:K82">IF($E$71=0,"",100*$E71/$E$71)</f>
        <v>100</v>
      </c>
      <c r="L71" s="63">
        <f aca="true" t="shared" si="7" ref="L71:L82">IF(C71=0,"",100*E71/C71)</f>
        <v>20.164595708072735</v>
      </c>
    </row>
    <row r="72" spans="2:12" ht="12.75">
      <c r="B72" s="76" t="s">
        <v>14</v>
      </c>
      <c r="C72" s="93">
        <f>21625725655.56</f>
        <v>21625725655.56</v>
      </c>
      <c r="D72" s="93">
        <f>9868757751.87</f>
        <v>9868757751.87</v>
      </c>
      <c r="E72" s="93">
        <f>1361828446.04</f>
        <v>1361828446.04</v>
      </c>
      <c r="F72" s="93">
        <f>877037097.32</f>
        <v>877037097.32</v>
      </c>
      <c r="G72" s="93">
        <f>653002.2</f>
        <v>653002.2</v>
      </c>
      <c r="H72" s="93">
        <f>3733.86</f>
        <v>3733.86</v>
      </c>
      <c r="I72" s="145">
        <f>0</f>
        <v>0</v>
      </c>
      <c r="J72" s="145"/>
      <c r="K72" s="63">
        <f t="shared" si="6"/>
        <v>7.266172635994549</v>
      </c>
      <c r="L72" s="63">
        <f t="shared" si="7"/>
        <v>6.297261269888866</v>
      </c>
    </row>
    <row r="73" spans="2:12" ht="22.5">
      <c r="B73" s="19" t="s">
        <v>13</v>
      </c>
      <c r="C73" s="38">
        <f>20702830922.17</f>
        <v>20702830922.17</v>
      </c>
      <c r="D73" s="38">
        <f>9473972886.87</f>
        <v>9473972886.87</v>
      </c>
      <c r="E73" s="38">
        <f>1164606062.75</f>
        <v>1164606062.75</v>
      </c>
      <c r="F73" s="38">
        <f>715553296.31</f>
        <v>715553296.31</v>
      </c>
      <c r="G73" s="38">
        <f>653002.2</f>
        <v>653002.2</v>
      </c>
      <c r="H73" s="38">
        <f>3733.86</f>
        <v>3733.86</v>
      </c>
      <c r="I73" s="144">
        <f>0</f>
        <v>0</v>
      </c>
      <c r="J73" s="144"/>
      <c r="K73" s="90">
        <f t="shared" si="6"/>
        <v>6.213872774852322</v>
      </c>
      <c r="L73" s="90">
        <f t="shared" si="7"/>
        <v>5.625346925394926</v>
      </c>
    </row>
    <row r="74" spans="2:12" ht="25.5" customHeight="1">
      <c r="B74" s="76" t="s">
        <v>83</v>
      </c>
      <c r="C74" s="93">
        <f aca="true" t="shared" si="8" ref="C74:I74">C71-C72</f>
        <v>71319518060.27</v>
      </c>
      <c r="D74" s="93">
        <f t="shared" si="8"/>
        <v>52858798806.78</v>
      </c>
      <c r="E74" s="93">
        <f t="shared" si="8"/>
        <v>17380204179.14</v>
      </c>
      <c r="F74" s="93">
        <f t="shared" si="8"/>
        <v>1848663570.8899999</v>
      </c>
      <c r="G74" s="93">
        <f t="shared" si="8"/>
        <v>621282.47</v>
      </c>
      <c r="H74" s="93">
        <f t="shared" si="8"/>
        <v>4965865.42</v>
      </c>
      <c r="I74" s="145">
        <f t="shared" si="8"/>
        <v>0</v>
      </c>
      <c r="J74" s="145"/>
      <c r="K74" s="63">
        <f t="shared" si="6"/>
        <v>92.73382736400545</v>
      </c>
      <c r="L74" s="63">
        <f t="shared" si="7"/>
        <v>24.369491903257824</v>
      </c>
    </row>
    <row r="75" spans="2:12" ht="12.75">
      <c r="B75" s="19" t="s">
        <v>59</v>
      </c>
      <c r="C75" s="38">
        <f>22238691084.64</f>
        <v>22238691084.64</v>
      </c>
      <c r="D75" s="38">
        <f>19543387499.67</f>
        <v>19543387499.67</v>
      </c>
      <c r="E75" s="38">
        <f>6400535910.29</f>
        <v>6400535910.29</v>
      </c>
      <c r="F75" s="38">
        <f>615834403.99</f>
        <v>615834403.99</v>
      </c>
      <c r="G75" s="38">
        <f>2725.38</f>
        <v>2725.38</v>
      </c>
      <c r="H75" s="38">
        <f>873.9</f>
        <v>873.9</v>
      </c>
      <c r="I75" s="144">
        <f>0</f>
        <v>0</v>
      </c>
      <c r="J75" s="144"/>
      <c r="K75" s="90">
        <f t="shared" si="6"/>
        <v>34.150703065636826</v>
      </c>
      <c r="L75" s="90">
        <f t="shared" si="7"/>
        <v>28.78108197074051</v>
      </c>
    </row>
    <row r="76" spans="2:12" ht="22.5" customHeight="1">
      <c r="B76" s="20" t="s">
        <v>54</v>
      </c>
      <c r="C76" s="91">
        <f>20217940636.13</f>
        <v>20217940636.13</v>
      </c>
      <c r="D76" s="91">
        <f>17809255826.33</f>
        <v>17809255826.33</v>
      </c>
      <c r="E76" s="91">
        <f>4925703154.78</f>
        <v>4925703154.78</v>
      </c>
      <c r="F76" s="91">
        <f>482198778.91</f>
        <v>482198778.91</v>
      </c>
      <c r="G76" s="91">
        <f>0</f>
        <v>0</v>
      </c>
      <c r="H76" s="91">
        <f>873.9</f>
        <v>873.9</v>
      </c>
      <c r="I76" s="146">
        <f>0</f>
        <v>0</v>
      </c>
      <c r="J76" s="146"/>
      <c r="K76" s="90">
        <f t="shared" si="6"/>
        <v>26.28158457136766</v>
      </c>
      <c r="L76" s="90">
        <f t="shared" si="7"/>
        <v>24.363031049649223</v>
      </c>
    </row>
    <row r="77" spans="2:12" ht="12.75">
      <c r="B77" s="19" t="s">
        <v>58</v>
      </c>
      <c r="C77" s="38">
        <f>4093767101.15</f>
        <v>4093767101.15</v>
      </c>
      <c r="D77" s="38">
        <f>3608159705.37</f>
        <v>3608159705.37</v>
      </c>
      <c r="E77" s="38">
        <f>1045260079.17</f>
        <v>1045260079.17</v>
      </c>
      <c r="F77" s="38">
        <f>339292719.67</f>
        <v>339292719.67</v>
      </c>
      <c r="G77" s="38">
        <f>0</f>
        <v>0</v>
      </c>
      <c r="H77" s="38">
        <f>0</f>
        <v>0</v>
      </c>
      <c r="I77" s="144">
        <f>0</f>
        <v>0</v>
      </c>
      <c r="J77" s="144"/>
      <c r="K77" s="90">
        <f t="shared" si="6"/>
        <v>5.577090276567381</v>
      </c>
      <c r="L77" s="90">
        <f t="shared" si="7"/>
        <v>25.53296397531679</v>
      </c>
    </row>
    <row r="78" spans="2:12" ht="13.5" customHeight="1">
      <c r="B78" s="19" t="s">
        <v>57</v>
      </c>
      <c r="C78" s="91">
        <f>7181151257.65</f>
        <v>7181151257.65</v>
      </c>
      <c r="D78" s="91">
        <f>4992102601.44</f>
        <v>4992102601.44</v>
      </c>
      <c r="E78" s="91">
        <f>1983327891.83</f>
        <v>1983327891.83</v>
      </c>
      <c r="F78" s="91">
        <f>6990926.49</f>
        <v>6990926.49</v>
      </c>
      <c r="G78" s="91">
        <f>0</f>
        <v>0</v>
      </c>
      <c r="H78" s="91">
        <f>0</f>
        <v>0</v>
      </c>
      <c r="I78" s="146">
        <f>0</f>
        <v>0</v>
      </c>
      <c r="J78" s="146"/>
      <c r="K78" s="90">
        <f t="shared" si="6"/>
        <v>10.582245434603452</v>
      </c>
      <c r="L78" s="90">
        <f t="shared" si="7"/>
        <v>27.618522722483853</v>
      </c>
    </row>
    <row r="79" spans="2:12" ht="12.75">
      <c r="B79" s="19" t="s">
        <v>56</v>
      </c>
      <c r="C79" s="38">
        <f>1177374404.92</f>
        <v>1177374404.92</v>
      </c>
      <c r="D79" s="38">
        <f>632182980.86</f>
        <v>632182980.86</v>
      </c>
      <c r="E79" s="38">
        <f>182300159.49</f>
        <v>182300159.49</v>
      </c>
      <c r="F79" s="38">
        <f>24813187</f>
        <v>24813187</v>
      </c>
      <c r="G79" s="38">
        <f>0</f>
        <v>0</v>
      </c>
      <c r="H79" s="38">
        <f>0</f>
        <v>0</v>
      </c>
      <c r="I79" s="144">
        <f>0</f>
        <v>0</v>
      </c>
      <c r="J79" s="144"/>
      <c r="K79" s="90">
        <f t="shared" si="6"/>
        <v>0.972680835295735</v>
      </c>
      <c r="L79" s="90">
        <f t="shared" si="7"/>
        <v>15.483618356930979</v>
      </c>
    </row>
    <row r="80" spans="2:12" ht="22.5" customHeight="1">
      <c r="B80" s="19" t="s">
        <v>86</v>
      </c>
      <c r="C80" s="91">
        <f>156616057.7</f>
        <v>156616057.7</v>
      </c>
      <c r="D80" s="91">
        <f>16976127.14</f>
        <v>16976127.14</v>
      </c>
      <c r="E80" s="91">
        <f>1948028.53</f>
        <v>1948028.53</v>
      </c>
      <c r="F80" s="91">
        <f>625000</f>
        <v>625000</v>
      </c>
      <c r="G80" s="91">
        <f>0</f>
        <v>0</v>
      </c>
      <c r="H80" s="91">
        <f>0</f>
        <v>0</v>
      </c>
      <c r="I80" s="146">
        <f>0</f>
        <v>0</v>
      </c>
      <c r="J80" s="146"/>
      <c r="K80" s="90">
        <f t="shared" si="6"/>
        <v>0.010393902139423317</v>
      </c>
      <c r="L80" s="90">
        <f t="shared" si="7"/>
        <v>1.243824265920084</v>
      </c>
    </row>
    <row r="81" spans="2:12" ht="22.5" customHeight="1">
      <c r="B81" s="19" t="s">
        <v>88</v>
      </c>
      <c r="C81" s="91">
        <f>10165789873.86</f>
        <v>10165789873.86</v>
      </c>
      <c r="D81" s="91">
        <f>6583911861.94</f>
        <v>6583911861.94</v>
      </c>
      <c r="E81" s="91">
        <f>2588073455.8</f>
        <v>2588073455.8</v>
      </c>
      <c r="F81" s="91">
        <f>84561220.2</f>
        <v>84561220.2</v>
      </c>
      <c r="G81" s="91">
        <f>11333.6</f>
        <v>11333.6</v>
      </c>
      <c r="H81" s="91">
        <f>53018</f>
        <v>53018</v>
      </c>
      <c r="I81" s="147">
        <f>0</f>
        <v>0</v>
      </c>
      <c r="J81" s="148"/>
      <c r="K81" s="90">
        <f t="shared" si="6"/>
        <v>13.80892621178619</v>
      </c>
      <c r="L81" s="90">
        <f t="shared" si="7"/>
        <v>25.458655824225648</v>
      </c>
    </row>
    <row r="82" spans="2:12" ht="12.75">
      <c r="B82" s="19" t="s">
        <v>55</v>
      </c>
      <c r="C82" s="38">
        <f aca="true" t="shared" si="9" ref="C82:I82">C74-C75-C77-C78-C79-C80-C81</f>
        <v>26306128280.350006</v>
      </c>
      <c r="D82" s="38">
        <f t="shared" si="9"/>
        <v>17482078030.360004</v>
      </c>
      <c r="E82" s="38">
        <f t="shared" si="9"/>
        <v>5178758654.029999</v>
      </c>
      <c r="F82" s="38">
        <f t="shared" si="9"/>
        <v>776546113.5399997</v>
      </c>
      <c r="G82" s="38">
        <f t="shared" si="9"/>
        <v>607223.49</v>
      </c>
      <c r="H82" s="38">
        <f t="shared" si="9"/>
        <v>4911973.52</v>
      </c>
      <c r="I82" s="147">
        <f t="shared" si="9"/>
        <v>0</v>
      </c>
      <c r="J82" s="148"/>
      <c r="K82" s="90">
        <f t="shared" si="6"/>
        <v>27.63178763797644</v>
      </c>
      <c r="L82" s="90">
        <f t="shared" si="7"/>
        <v>19.686510302234012</v>
      </c>
    </row>
    <row r="83" spans="2:13" ht="12.75">
      <c r="B83" s="28" t="s">
        <v>15</v>
      </c>
      <c r="C83" s="43">
        <f>C5-C71</f>
        <v>-8705984612.64</v>
      </c>
      <c r="D83" s="43"/>
      <c r="E83" s="43">
        <f>D5-E71</f>
        <v>3838959627.549999</v>
      </c>
      <c r="F83" s="43"/>
      <c r="G83" s="43"/>
      <c r="H83" s="43"/>
      <c r="I83" s="145"/>
      <c r="J83" s="145"/>
      <c r="K83" s="45"/>
      <c r="L83" s="45"/>
      <c r="M83" s="13"/>
    </row>
    <row r="84" spans="2:13" ht="22.5">
      <c r="B84" s="28" t="s">
        <v>95</v>
      </c>
      <c r="C84" s="43">
        <f>+C63-C74</f>
        <v>3829270760.3600006</v>
      </c>
      <c r="D84" s="43"/>
      <c r="E84" s="43">
        <f>+D63-E74</f>
        <v>4465468118.43</v>
      </c>
      <c r="F84" s="43"/>
      <c r="G84" s="43"/>
      <c r="H84" s="43"/>
      <c r="I84" s="43"/>
      <c r="J84" s="43"/>
      <c r="K84" s="45"/>
      <c r="L84" s="45"/>
      <c r="M84" s="13"/>
    </row>
    <row r="85" spans="2:13" ht="8.25" customHeight="1">
      <c r="B85" s="30"/>
      <c r="C85" s="46"/>
      <c r="D85" s="46"/>
      <c r="E85" s="46"/>
      <c r="F85" s="47"/>
      <c r="G85" s="47"/>
      <c r="H85" s="47"/>
      <c r="I85" s="47"/>
      <c r="J85" s="48"/>
      <c r="K85" s="48"/>
      <c r="L85" s="49"/>
      <c r="M85" s="10"/>
    </row>
    <row r="86" spans="2:13" ht="12.75">
      <c r="B86" s="97" t="s">
        <v>92</v>
      </c>
      <c r="C86" s="95"/>
      <c r="D86" s="50"/>
      <c r="E86" s="50"/>
      <c r="F86" s="51"/>
      <c r="G86" s="51"/>
      <c r="H86" s="51"/>
      <c r="I86" s="51"/>
      <c r="J86" s="52"/>
      <c r="K86" s="52"/>
      <c r="L86" s="52"/>
      <c r="M86" s="10"/>
    </row>
    <row r="87" spans="2:13" ht="26.25" customHeight="1">
      <c r="B87" s="76" t="s">
        <v>120</v>
      </c>
      <c r="C87" s="96">
        <f>10773008162.38</f>
        <v>10773008162.38</v>
      </c>
      <c r="D87" s="94">
        <f>5284381187.71</f>
        <v>5284381187.71</v>
      </c>
      <c r="E87" s="94">
        <f>636586550.9</f>
        <v>636586550.9</v>
      </c>
      <c r="F87" s="94">
        <f>116897679.92</f>
        <v>116897679.92</v>
      </c>
      <c r="G87" s="94">
        <f>56709.55</f>
        <v>56709.55</v>
      </c>
      <c r="H87" s="94">
        <f>648.48</f>
        <v>648.48</v>
      </c>
      <c r="I87" s="94">
        <f>0</f>
        <v>0</v>
      </c>
      <c r="J87" s="94">
        <f>0</f>
        <v>0</v>
      </c>
      <c r="K87" s="63">
        <f>IF($E$71=0,"",100*$E87/$E$87)</f>
        <v>100</v>
      </c>
      <c r="L87" s="63">
        <f>IF(C87=0,"",100*E87/C87)</f>
        <v>5.909088170219707</v>
      </c>
      <c r="M87" s="10"/>
    </row>
    <row r="88" spans="2:13" ht="15" customHeight="1">
      <c r="B88" s="98" t="s">
        <v>93</v>
      </c>
      <c r="C88" s="99">
        <f>9899316385.72</f>
        <v>9899316385.72</v>
      </c>
      <c r="D88" s="91">
        <f>4949463845.5</f>
        <v>4949463845.5</v>
      </c>
      <c r="E88" s="91">
        <f>523095274.37</f>
        <v>523095274.37</v>
      </c>
      <c r="F88" s="91">
        <f>110265915.64</f>
        <v>110265915.64</v>
      </c>
      <c r="G88" s="91">
        <f>56709.55</f>
        <v>56709.55</v>
      </c>
      <c r="H88" s="91">
        <f>648.48</f>
        <v>648.48</v>
      </c>
      <c r="I88" s="91">
        <f>0</f>
        <v>0</v>
      </c>
      <c r="J88" s="91">
        <f>0</f>
        <v>0</v>
      </c>
      <c r="K88" s="90">
        <f>IF($E$71=0,"",100*$E88/$E$87)</f>
        <v>82.17190162601659</v>
      </c>
      <c r="L88" s="89">
        <f>IF(C88=0,"",100*E88/C88)</f>
        <v>5.2841555314322255</v>
      </c>
      <c r="M88" s="10"/>
    </row>
    <row r="89" spans="2:12" ht="12.75">
      <c r="B89" s="100" t="s">
        <v>94</v>
      </c>
      <c r="C89" s="99">
        <f>C87-C88</f>
        <v>873691776.6599998</v>
      </c>
      <c r="D89" s="91">
        <f aca="true" t="shared" si="10" ref="D89:J89">D87-D88</f>
        <v>334917342.21000004</v>
      </c>
      <c r="E89" s="91">
        <f t="shared" si="10"/>
        <v>113491276.52999997</v>
      </c>
      <c r="F89" s="91">
        <f t="shared" si="10"/>
        <v>6631764.280000001</v>
      </c>
      <c r="G89" s="91">
        <f t="shared" si="10"/>
        <v>0</v>
      </c>
      <c r="H89" s="91">
        <f t="shared" si="10"/>
        <v>0</v>
      </c>
      <c r="I89" s="91">
        <f t="shared" si="10"/>
        <v>0</v>
      </c>
      <c r="J89" s="91">
        <f t="shared" si="10"/>
        <v>0</v>
      </c>
      <c r="K89" s="90">
        <f>IF($E$71=0,"",100*$E89/$E$87)</f>
        <v>17.82809837398341</v>
      </c>
      <c r="L89" s="89">
        <f>IF(C89=0,"",100*E89/C89)</f>
        <v>12.989852893415234</v>
      </c>
    </row>
    <row r="90" ht="6" customHeight="1"/>
    <row r="91" spans="2:13" ht="18">
      <c r="B91" s="135" t="s">
        <v>121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</row>
    <row r="92" ht="6.75" customHeight="1"/>
    <row r="93" spans="2:8" ht="12.75">
      <c r="B93" s="25" t="s">
        <v>16</v>
      </c>
      <c r="C93" s="136" t="s">
        <v>17</v>
      </c>
      <c r="D93" s="137"/>
      <c r="E93" s="136" t="s">
        <v>1</v>
      </c>
      <c r="F93" s="137"/>
      <c r="G93" s="17" t="s">
        <v>25</v>
      </c>
      <c r="H93" s="17" t="s">
        <v>26</v>
      </c>
    </row>
    <row r="94" spans="2:8" ht="12.75">
      <c r="B94" s="25"/>
      <c r="C94" s="138" t="s">
        <v>96</v>
      </c>
      <c r="D94" s="139"/>
      <c r="E94" s="139"/>
      <c r="F94" s="140"/>
      <c r="G94" s="141" t="s">
        <v>4</v>
      </c>
      <c r="H94" s="142"/>
    </row>
    <row r="95" spans="2:8" ht="12.75">
      <c r="B95" s="23">
        <v>1</v>
      </c>
      <c r="C95" s="26">
        <v>2</v>
      </c>
      <c r="D95" s="27"/>
      <c r="E95" s="26">
        <v>3</v>
      </c>
      <c r="F95" s="27"/>
      <c r="G95" s="24">
        <v>4</v>
      </c>
      <c r="H95" s="24">
        <v>5</v>
      </c>
    </row>
    <row r="96" spans="2:8" ht="22.5">
      <c r="B96" s="73" t="s">
        <v>84</v>
      </c>
      <c r="C96" s="53">
        <f>11765132404.48</f>
        <v>11765132404.48</v>
      </c>
      <c r="D96" s="54"/>
      <c r="E96" s="53">
        <f>7530994780.39</f>
        <v>7530994780.39</v>
      </c>
      <c r="F96" s="54"/>
      <c r="G96" s="55">
        <f>IF($E$96=0,"",100*$E96/$E$96)</f>
        <v>100</v>
      </c>
      <c r="H96" s="44">
        <f>IF(C96=0,"",100*E96/C96)</f>
        <v>64.01113494925312</v>
      </c>
    </row>
    <row r="97" spans="2:8" ht="12.75">
      <c r="B97" s="74" t="s">
        <v>30</v>
      </c>
      <c r="C97" s="56">
        <f>7063554719.8</f>
        <v>7063554719.8</v>
      </c>
      <c r="D97" s="57"/>
      <c r="E97" s="56">
        <f>336238517.46</f>
        <v>336238517.46</v>
      </c>
      <c r="F97" s="57"/>
      <c r="G97" s="58">
        <f aca="true" t="shared" si="11" ref="G97:G107">IF($E$96=0,"",100*$E97/$E$96)</f>
        <v>4.464729126297277</v>
      </c>
      <c r="H97" s="59">
        <f aca="true" t="shared" si="12" ref="H97:H114">IF(C97=0,"",100*E97/C97)</f>
        <v>4.760188471641377</v>
      </c>
    </row>
    <row r="98" spans="2:8" ht="67.5">
      <c r="B98" s="102" t="s">
        <v>89</v>
      </c>
      <c r="C98" s="103">
        <f>454620258</f>
        <v>454620258</v>
      </c>
      <c r="D98" s="104"/>
      <c r="E98" s="103">
        <f>0</f>
        <v>0</v>
      </c>
      <c r="F98" s="104"/>
      <c r="G98" s="105">
        <f t="shared" si="11"/>
        <v>0</v>
      </c>
      <c r="H98" s="89">
        <f t="shared" si="12"/>
        <v>0</v>
      </c>
    </row>
    <row r="99" spans="2:8" ht="12.75">
      <c r="B99" s="106" t="s">
        <v>33</v>
      </c>
      <c r="C99" s="103">
        <f>47012974</f>
        <v>47012974</v>
      </c>
      <c r="D99" s="104"/>
      <c r="E99" s="103">
        <f>5965979.99</f>
        <v>5965979.99</v>
      </c>
      <c r="F99" s="104"/>
      <c r="G99" s="105">
        <f t="shared" si="11"/>
        <v>0.07921901639787149</v>
      </c>
      <c r="H99" s="89">
        <f t="shared" si="12"/>
        <v>12.690071447086074</v>
      </c>
    </row>
    <row r="100" spans="2:8" ht="22.5">
      <c r="B100" s="106" t="s">
        <v>31</v>
      </c>
      <c r="C100" s="103">
        <f>64808635</f>
        <v>64808635</v>
      </c>
      <c r="D100" s="104"/>
      <c r="E100" s="103">
        <f>156946954.5</f>
        <v>156946954.5</v>
      </c>
      <c r="F100" s="104"/>
      <c r="G100" s="105">
        <f t="shared" si="11"/>
        <v>2.0840135875366035</v>
      </c>
      <c r="H100" s="89">
        <f t="shared" si="12"/>
        <v>242.16981965443338</v>
      </c>
    </row>
    <row r="101" spans="2:8" ht="12.75">
      <c r="B101" s="102" t="s">
        <v>98</v>
      </c>
      <c r="C101" s="103">
        <f>0</f>
        <v>0</v>
      </c>
      <c r="D101" s="104"/>
      <c r="E101" s="103">
        <f>0</f>
        <v>0</v>
      </c>
      <c r="F101" s="104"/>
      <c r="G101" s="105">
        <f t="shared" si="11"/>
        <v>0</v>
      </c>
      <c r="H101" s="89">
        <f t="shared" si="12"/>
      </c>
    </row>
    <row r="102" spans="2:8" ht="12.75">
      <c r="B102" s="106" t="s">
        <v>32</v>
      </c>
      <c r="C102" s="103">
        <f>0</f>
        <v>0</v>
      </c>
      <c r="D102" s="104"/>
      <c r="E102" s="103">
        <f>0</f>
        <v>0</v>
      </c>
      <c r="F102" s="104"/>
      <c r="G102" s="105">
        <f t="shared" si="11"/>
        <v>0</v>
      </c>
      <c r="H102" s="89">
        <f t="shared" si="12"/>
      </c>
    </row>
    <row r="103" spans="2:8" ht="67.5">
      <c r="B103" s="102" t="s">
        <v>89</v>
      </c>
      <c r="C103" s="103">
        <f>0</f>
        <v>0</v>
      </c>
      <c r="D103" s="104"/>
      <c r="E103" s="103">
        <f>0</f>
        <v>0</v>
      </c>
      <c r="F103" s="104"/>
      <c r="G103" s="105">
        <f t="shared" si="11"/>
        <v>0</v>
      </c>
      <c r="H103" s="89">
        <f t="shared" si="12"/>
      </c>
    </row>
    <row r="104" spans="2:8" ht="12.75">
      <c r="B104" s="106" t="s">
        <v>34</v>
      </c>
      <c r="C104" s="103">
        <f>4581237264.68</f>
        <v>4581237264.68</v>
      </c>
      <c r="D104" s="104"/>
      <c r="E104" s="103">
        <f>7023324573.65</f>
        <v>7023324573.65</v>
      </c>
      <c r="F104" s="104"/>
      <c r="G104" s="105">
        <f t="shared" si="11"/>
        <v>93.25892233968976</v>
      </c>
      <c r="H104" s="89">
        <f t="shared" si="12"/>
        <v>153.3062831693477</v>
      </c>
    </row>
    <row r="105" spans="2:8" ht="37.5" customHeight="1">
      <c r="B105" s="106" t="s">
        <v>99</v>
      </c>
      <c r="C105" s="103">
        <f>8518811</f>
        <v>8518811</v>
      </c>
      <c r="D105" s="104"/>
      <c r="E105" s="103">
        <f>8518754.79</f>
        <v>8518754.79</v>
      </c>
      <c r="F105" s="104"/>
      <c r="G105" s="105">
        <f t="shared" si="11"/>
        <v>0.11311593007848089</v>
      </c>
      <c r="H105" s="89">
        <f t="shared" si="12"/>
        <v>99.99934016613349</v>
      </c>
    </row>
    <row r="106" spans="2:8" ht="12.75">
      <c r="B106" s="102" t="s">
        <v>98</v>
      </c>
      <c r="C106" s="103">
        <f>0</f>
        <v>0</v>
      </c>
      <c r="D106" s="104"/>
      <c r="E106" s="103">
        <f>0</f>
        <v>0</v>
      </c>
      <c r="F106" s="104"/>
      <c r="G106" s="105">
        <f t="shared" si="11"/>
        <v>0</v>
      </c>
      <c r="H106" s="89">
        <f t="shared" si="12"/>
      </c>
    </row>
    <row r="107" spans="2:8" ht="12.75">
      <c r="B107" s="102" t="s">
        <v>100</v>
      </c>
      <c r="C107" s="103">
        <f>0</f>
        <v>0</v>
      </c>
      <c r="D107" s="104"/>
      <c r="E107" s="103">
        <f>0</f>
        <v>0</v>
      </c>
      <c r="F107" s="104"/>
      <c r="G107" s="105">
        <f t="shared" si="11"/>
        <v>0</v>
      </c>
      <c r="H107" s="89">
        <f t="shared" si="12"/>
      </c>
    </row>
    <row r="108" spans="2:8" ht="22.5">
      <c r="B108" s="101" t="s">
        <v>85</v>
      </c>
      <c r="C108" s="66">
        <f>3055006648.84</f>
        <v>3055006648.84</v>
      </c>
      <c r="D108" s="67"/>
      <c r="E108" s="66">
        <f>786376083.02</f>
        <v>786376083.02</v>
      </c>
      <c r="F108" s="67"/>
      <c r="G108" s="62">
        <f>IF($E$108=0,"",100*$E108/$E$108)</f>
        <v>100</v>
      </c>
      <c r="H108" s="63">
        <f t="shared" si="12"/>
        <v>25.740568627521338</v>
      </c>
    </row>
    <row r="109" spans="2:8" ht="22.5">
      <c r="B109" s="106" t="s">
        <v>35</v>
      </c>
      <c r="C109" s="103">
        <f>2985611701.36</f>
        <v>2985611701.36</v>
      </c>
      <c r="D109" s="104"/>
      <c r="E109" s="103">
        <f>774670461.66</f>
        <v>774670461.66</v>
      </c>
      <c r="F109" s="104"/>
      <c r="G109" s="105">
        <f aca="true" t="shared" si="13" ref="G109:G114">IF($E$108=0,"",100*$E109/$E$108)</f>
        <v>98.51144743428034</v>
      </c>
      <c r="H109" s="89">
        <f t="shared" si="12"/>
        <v>25.94679211992382</v>
      </c>
    </row>
    <row r="110" spans="2:8" ht="67.5">
      <c r="B110" s="102" t="s">
        <v>89</v>
      </c>
      <c r="C110" s="103">
        <f>376550000</f>
        <v>376550000</v>
      </c>
      <c r="D110" s="104"/>
      <c r="E110" s="103">
        <f>302000000</f>
        <v>302000000</v>
      </c>
      <c r="F110" s="104"/>
      <c r="G110" s="105">
        <f t="shared" si="13"/>
        <v>38.40401641415628</v>
      </c>
      <c r="H110" s="89">
        <f t="shared" si="12"/>
        <v>80.20183242597264</v>
      </c>
    </row>
    <row r="111" spans="2:8" ht="12.75">
      <c r="B111" s="106" t="s">
        <v>36</v>
      </c>
      <c r="C111" s="103">
        <f>67078847.48</f>
        <v>67078847.48</v>
      </c>
      <c r="D111" s="104"/>
      <c r="E111" s="103">
        <f>8205621.36</f>
        <v>8205621.36</v>
      </c>
      <c r="F111" s="104"/>
      <c r="G111" s="105">
        <f t="shared" si="13"/>
        <v>1.0434729052907</v>
      </c>
      <c r="H111" s="89">
        <f t="shared" si="12"/>
        <v>12.232800157227746</v>
      </c>
    </row>
    <row r="112" spans="2:8" ht="22.5">
      <c r="B112" s="106" t="s">
        <v>37</v>
      </c>
      <c r="C112" s="103">
        <f>2316100</f>
        <v>2316100</v>
      </c>
      <c r="D112" s="104"/>
      <c r="E112" s="103">
        <f>3500000</f>
        <v>3500000</v>
      </c>
      <c r="F112" s="104"/>
      <c r="G112" s="105">
        <f t="shared" si="13"/>
        <v>0.4450796604289635</v>
      </c>
      <c r="H112" s="89">
        <f t="shared" si="12"/>
        <v>151.11610034109063</v>
      </c>
    </row>
    <row r="113" spans="2:8" ht="58.5" customHeight="1">
      <c r="B113" s="102" t="s">
        <v>89</v>
      </c>
      <c r="C113" s="103">
        <f>0</f>
        <v>0</v>
      </c>
      <c r="D113" s="104"/>
      <c r="E113" s="103">
        <f>0</f>
        <v>0</v>
      </c>
      <c r="F113" s="104"/>
      <c r="G113" s="105">
        <f t="shared" si="13"/>
        <v>0</v>
      </c>
      <c r="H113" s="89">
        <f t="shared" si="12"/>
      </c>
    </row>
    <row r="114" spans="2:8" ht="12.75">
      <c r="B114" s="106" t="s">
        <v>29</v>
      </c>
      <c r="C114" s="103">
        <f>0</f>
        <v>0</v>
      </c>
      <c r="D114" s="104"/>
      <c r="E114" s="103">
        <f>0</f>
        <v>0</v>
      </c>
      <c r="F114" s="104"/>
      <c r="G114" s="105">
        <f t="shared" si="13"/>
        <v>0</v>
      </c>
      <c r="H114" s="89">
        <f t="shared" si="12"/>
      </c>
    </row>
    <row r="115" spans="2:8" ht="12.75">
      <c r="B115" s="5"/>
      <c r="C115" s="5"/>
      <c r="D115" s="5"/>
      <c r="E115" s="5"/>
      <c r="F115" s="5"/>
      <c r="G115" s="5"/>
      <c r="H115" s="5"/>
    </row>
    <row r="116" spans="2:8" ht="12.75">
      <c r="B116" s="108" t="s">
        <v>16</v>
      </c>
      <c r="C116" s="121" t="s">
        <v>17</v>
      </c>
      <c r="D116" s="122"/>
      <c r="E116" s="121" t="s">
        <v>1</v>
      </c>
      <c r="F116" s="122"/>
      <c r="G116" s="109" t="s">
        <v>25</v>
      </c>
      <c r="H116" s="109" t="s">
        <v>26</v>
      </c>
    </row>
    <row r="117" spans="2:8" ht="12.75">
      <c r="B117" s="110"/>
      <c r="C117" s="123" t="s">
        <v>96</v>
      </c>
      <c r="D117" s="124"/>
      <c r="E117" s="124"/>
      <c r="F117" s="125"/>
      <c r="G117" s="126" t="s">
        <v>4</v>
      </c>
      <c r="H117" s="127"/>
    </row>
    <row r="118" spans="2:8" ht="12.75">
      <c r="B118" s="111">
        <v>1</v>
      </c>
      <c r="C118" s="112">
        <v>2</v>
      </c>
      <c r="D118" s="113"/>
      <c r="E118" s="112">
        <v>3</v>
      </c>
      <c r="F118" s="113"/>
      <c r="G118" s="114">
        <v>4</v>
      </c>
      <c r="H118" s="114">
        <v>5</v>
      </c>
    </row>
    <row r="119" spans="2:8" ht="28.5" customHeight="1">
      <c r="B119" s="115" t="s">
        <v>101</v>
      </c>
      <c r="C119" s="103">
        <f>8725520675.59</f>
        <v>8725520675.59</v>
      </c>
      <c r="D119" s="104"/>
      <c r="E119" s="103">
        <f>0</f>
        <v>0</v>
      </c>
      <c r="F119" s="107"/>
      <c r="G119" s="105"/>
      <c r="H119" s="89"/>
    </row>
    <row r="120" spans="2:8" ht="56.25">
      <c r="B120" s="115" t="s">
        <v>102</v>
      </c>
      <c r="C120" s="103">
        <f>152451171</f>
        <v>152451171</v>
      </c>
      <c r="D120" s="104"/>
      <c r="E120" s="103">
        <f>0</f>
        <v>0</v>
      </c>
      <c r="F120" s="104"/>
      <c r="G120" s="105"/>
      <c r="H120" s="89"/>
    </row>
    <row r="121" spans="2:8" ht="12.75">
      <c r="B121" s="115" t="s">
        <v>103</v>
      </c>
      <c r="C121" s="103">
        <f>4897365444.49</f>
        <v>4897365444.49</v>
      </c>
      <c r="D121" s="104"/>
      <c r="E121" s="103">
        <f>0</f>
        <v>0</v>
      </c>
      <c r="F121" s="104"/>
      <c r="G121" s="105"/>
      <c r="H121" s="89"/>
    </row>
    <row r="122" spans="2:8" ht="33.75">
      <c r="B122" s="115" t="s">
        <v>104</v>
      </c>
      <c r="C122" s="103">
        <f>0</f>
        <v>0</v>
      </c>
      <c r="D122" s="104"/>
      <c r="E122" s="103">
        <f>0</f>
        <v>0</v>
      </c>
      <c r="F122" s="104"/>
      <c r="G122" s="105"/>
      <c r="H122" s="89"/>
    </row>
    <row r="123" spans="2:8" ht="33.75">
      <c r="B123" s="115" t="s">
        <v>105</v>
      </c>
      <c r="C123" s="103">
        <f>64766895</f>
        <v>64766895</v>
      </c>
      <c r="D123" s="104"/>
      <c r="E123" s="103">
        <f>0</f>
        <v>0</v>
      </c>
      <c r="F123" s="104"/>
      <c r="G123" s="105"/>
      <c r="H123" s="89"/>
    </row>
    <row r="124" spans="2:8" ht="101.25">
      <c r="B124" s="115" t="s">
        <v>106</v>
      </c>
      <c r="C124" s="103">
        <f>3610937165.1</f>
        <v>3610937165.1</v>
      </c>
      <c r="D124" s="104"/>
      <c r="E124" s="103">
        <f>0</f>
        <v>0</v>
      </c>
      <c r="F124" s="104"/>
      <c r="G124" s="105"/>
      <c r="H124" s="89"/>
    </row>
    <row r="125" spans="2:8" ht="12.75">
      <c r="B125" s="22"/>
      <c r="C125" s="48"/>
      <c r="D125" s="48"/>
      <c r="E125" s="48"/>
      <c r="F125" s="48"/>
      <c r="G125" s="48"/>
      <c r="H125" s="48"/>
    </row>
    <row r="126" spans="2:8" ht="12.75">
      <c r="B126" s="31" t="s">
        <v>16</v>
      </c>
      <c r="C126" s="128" t="s">
        <v>17</v>
      </c>
      <c r="D126" s="129"/>
      <c r="E126" s="128" t="s">
        <v>1</v>
      </c>
      <c r="F126" s="129"/>
      <c r="G126" s="68" t="s">
        <v>25</v>
      </c>
      <c r="H126" s="68" t="s">
        <v>26</v>
      </c>
    </row>
    <row r="127" spans="2:8" ht="12.75">
      <c r="B127" s="31"/>
      <c r="C127" s="116" t="s">
        <v>96</v>
      </c>
      <c r="D127" s="117"/>
      <c r="E127" s="117"/>
      <c r="F127" s="118"/>
      <c r="G127" s="119" t="s">
        <v>4</v>
      </c>
      <c r="H127" s="120"/>
    </row>
    <row r="128" spans="2:8" ht="12.75">
      <c r="B128" s="23">
        <v>1</v>
      </c>
      <c r="C128" s="69">
        <v>2</v>
      </c>
      <c r="D128" s="70"/>
      <c r="E128" s="69">
        <v>3</v>
      </c>
      <c r="F128" s="70"/>
      <c r="G128" s="71">
        <v>4</v>
      </c>
      <c r="H128" s="71">
        <v>5</v>
      </c>
    </row>
    <row r="129" spans="2:8" ht="56.25">
      <c r="B129" s="75" t="s">
        <v>107</v>
      </c>
      <c r="C129" s="60">
        <f>0</f>
        <v>0</v>
      </c>
      <c r="D129" s="61"/>
      <c r="E129" s="60">
        <f>59531847.4</f>
        <v>59531847.4</v>
      </c>
      <c r="F129" s="54"/>
      <c r="G129" s="55"/>
      <c r="H129" s="44"/>
    </row>
    <row r="130" spans="2:8" ht="45">
      <c r="B130" s="72" t="s">
        <v>108</v>
      </c>
      <c r="C130" s="64">
        <f>0</f>
        <v>0</v>
      </c>
      <c r="D130" s="65"/>
      <c r="E130" s="64">
        <f>38448382.16</f>
        <v>38448382.16</v>
      </c>
      <c r="F130" s="65"/>
      <c r="G130" s="58"/>
      <c r="H130" s="59"/>
    </row>
    <row r="131" spans="2:8" ht="45">
      <c r="B131" s="72" t="s">
        <v>109</v>
      </c>
      <c r="C131" s="64">
        <f>0</f>
        <v>0</v>
      </c>
      <c r="D131" s="65"/>
      <c r="E131" s="64">
        <f>17160994.23</f>
        <v>17160994.23</v>
      </c>
      <c r="F131" s="65"/>
      <c r="G131" s="58"/>
      <c r="H131" s="59"/>
    </row>
    <row r="132" spans="2:8" ht="78.75">
      <c r="B132" s="72" t="s">
        <v>110</v>
      </c>
      <c r="C132" s="64">
        <f>0</f>
        <v>0</v>
      </c>
      <c r="D132" s="65"/>
      <c r="E132" s="64">
        <f>0</f>
        <v>0</v>
      </c>
      <c r="F132" s="65"/>
      <c r="G132" s="58"/>
      <c r="H132" s="59"/>
    </row>
    <row r="133" spans="2:8" ht="56.25">
      <c r="B133" s="72" t="s">
        <v>111</v>
      </c>
      <c r="C133" s="64">
        <f>0</f>
        <v>0</v>
      </c>
      <c r="D133" s="65"/>
      <c r="E133" s="64">
        <f>0</f>
        <v>0</v>
      </c>
      <c r="F133" s="65"/>
      <c r="G133" s="58"/>
      <c r="H133" s="59"/>
    </row>
    <row r="134" spans="2:8" ht="56.25">
      <c r="B134" s="115" t="s">
        <v>112</v>
      </c>
      <c r="C134" s="103">
        <f>0</f>
        <v>0</v>
      </c>
      <c r="D134" s="104"/>
      <c r="E134" s="103">
        <f>184289</f>
        <v>184289</v>
      </c>
      <c r="F134" s="104"/>
      <c r="G134" s="105"/>
      <c r="H134" s="89"/>
    </row>
    <row r="135" spans="2:8" ht="56.25">
      <c r="B135" s="115" t="s">
        <v>113</v>
      </c>
      <c r="C135" s="103">
        <f>0</f>
        <v>0</v>
      </c>
      <c r="D135" s="104"/>
      <c r="E135" s="103">
        <f>0</f>
        <v>0</v>
      </c>
      <c r="F135" s="104"/>
      <c r="G135" s="105"/>
      <c r="H135" s="89"/>
    </row>
    <row r="136" spans="2:8" ht="101.25">
      <c r="B136" s="115" t="s">
        <v>114</v>
      </c>
      <c r="C136" s="103">
        <f>0</f>
        <v>0</v>
      </c>
      <c r="D136" s="104"/>
      <c r="E136" s="103">
        <f>3062237</f>
        <v>3062237</v>
      </c>
      <c r="F136" s="104"/>
      <c r="G136" s="105"/>
      <c r="H136" s="89"/>
    </row>
  </sheetData>
  <sheetProtection/>
  <mergeCells count="44">
    <mergeCell ref="I75:J75"/>
    <mergeCell ref="I77:J77"/>
    <mergeCell ref="I78:J78"/>
    <mergeCell ref="I79:J79"/>
    <mergeCell ref="I80:J80"/>
    <mergeCell ref="I82:J82"/>
    <mergeCell ref="B1:M1"/>
    <mergeCell ref="B91:M91"/>
    <mergeCell ref="I66:J68"/>
    <mergeCell ref="D66:D68"/>
    <mergeCell ref="E66:E68"/>
    <mergeCell ref="F67:F68"/>
    <mergeCell ref="F66:H66"/>
    <mergeCell ref="G67:H67"/>
    <mergeCell ref="I71:J71"/>
    <mergeCell ref="I72:J72"/>
    <mergeCell ref="C93:D93"/>
    <mergeCell ref="E93:F93"/>
    <mergeCell ref="C94:F94"/>
    <mergeCell ref="G94:H94"/>
    <mergeCell ref="I70:J70"/>
    <mergeCell ref="I73:J73"/>
    <mergeCell ref="I74:J74"/>
    <mergeCell ref="I76:J76"/>
    <mergeCell ref="I83:J83"/>
    <mergeCell ref="I81:J81"/>
    <mergeCell ref="L66:L68"/>
    <mergeCell ref="B2:B3"/>
    <mergeCell ref="C66:C68"/>
    <mergeCell ref="B66:B69"/>
    <mergeCell ref="K66:K68"/>
    <mergeCell ref="K69:L69"/>
    <mergeCell ref="K3:M3"/>
    <mergeCell ref="C3:J3"/>
    <mergeCell ref="B64:M64"/>
    <mergeCell ref="C69:J69"/>
    <mergeCell ref="C127:F127"/>
    <mergeCell ref="G127:H127"/>
    <mergeCell ref="C116:D116"/>
    <mergeCell ref="E116:F116"/>
    <mergeCell ref="C117:F117"/>
    <mergeCell ref="G117:H117"/>
    <mergeCell ref="C126:D126"/>
    <mergeCell ref="E126:F126"/>
  </mergeCells>
  <printOptions/>
  <pageMargins left="0.1968503937007874" right="0.1968503937007874" top="0.3937007874015748" bottom="0.3937007874015748" header="0.31496062992125984" footer="0.1968503937007874"/>
  <pageSetup firstPageNumber="1" useFirstPageNumber="1" fitToHeight="2" fitToWidth="2" horizontalDpi="600" verticalDpi="600" orientation="landscape" paperSize="9" scale="85" r:id="rId3"/>
  <headerFooter alignWithMargins="0">
    <oddFooter>&amp;RStrona &amp;P z &amp;N</oddFooter>
  </headerFooter>
  <rowBreaks count="6" manualBreakCount="6">
    <brk id="22" max="255" man="1"/>
    <brk id="49" max="12" man="1"/>
    <brk id="63" max="255" man="1"/>
    <brk id="90" max="255" man="1"/>
    <brk id="115" max="255" man="1"/>
    <brk id="12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Lipiński Jacek</cp:lastModifiedBy>
  <cp:lastPrinted>2018-03-19T09:19:34Z</cp:lastPrinted>
  <dcterms:created xsi:type="dcterms:W3CDTF">2001-05-17T08:58:03Z</dcterms:created>
  <dcterms:modified xsi:type="dcterms:W3CDTF">2018-05-25T09:25:17Z</dcterms:modified>
  <cp:category/>
  <cp:version/>
  <cp:contentType/>
  <cp:contentStatus/>
</cp:coreProperties>
</file>