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/>
  <c r="A77" i="7" s="1"/>
  <c r="A96" i="7" l="1"/>
  <c r="A34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<sst xmlns="http://schemas.openxmlformats.org/spreadsheetml/2006/main" count="97" uniqueCount="81">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</sst>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107"/>
  <sheetViews>
    <sheetView tabSelected="1" zoomScaleNormal="100" zoomScaleSheetLayoutView="50" workbookViewId="0">
      <selection activeCell="A6" sqref="A6:A10"/>
    </sheetView>
  </sheetViews>
  <sheetFormatPr defaultColWidth="9.1796875" defaultRowHeight="13.5" customHeight="1" x14ac:dyDescent="0.25"/>
  <cols>
    <col min="1" max="1" width="22.54296875" style="2" customWidth="1"/>
    <col min="2" max="3" width="14.7265625" style="2" customWidth="1"/>
    <col min="4" max="4" width="13.26953125" style="2" customWidth="1"/>
    <col min="5" max="5" width="12.26953125" style="2" customWidth="1"/>
    <col min="6" max="6" width="11.81640625" style="2" customWidth="1"/>
    <col min="7" max="7" width="11" style="2" customWidth="1"/>
    <col min="8" max="8" width="11.1796875" style="2" customWidth="1"/>
    <col min="9" max="9" width="12.26953125" style="2" customWidth="1"/>
    <col min="10" max="10" width="13.54296875" style="2" customWidth="1"/>
    <col min="11" max="11" width="12.1796875" style="2" customWidth="1"/>
    <col min="12" max="12" width="13.26953125" style="2" customWidth="1"/>
    <col min="13" max="13" width="11.1796875" style="2" bestFit="1" customWidth="1"/>
    <col min="14" max="14" width="11.26953125" style="2" bestFit="1" customWidth="1"/>
    <col min="15" max="15" width="9.26953125" style="2" bestFit="1" customWidth="1"/>
    <col min="16" max="16" width="7.54296875" style="2" bestFit="1" customWidth="1"/>
    <col min="17" max="17" width="9.81640625" style="2" bestFit="1" customWidth="1"/>
    <col min="18" max="16384" width="9.1796875" style="2"/>
  </cols>
  <sheetData>
    <row r="1" spans="1:17" ht="75" customHeight="1" x14ac:dyDescent="0.25">
      <c r="A1" s="51" t="str">
        <f>CONCATENATE("Informacja z wykonania budżetów gmin za ",$C$104," ",$B$105," roku   ",$B$107,"")</f>
        <v xml:space="preserve">Informacja z wykonania budżetów gmin za III Kwartały 2022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5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5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5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5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5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5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5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5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6" x14ac:dyDescent="0.25">
      <c r="A13" s="27" t="s">
        <v>46</v>
      </c>
      <c r="B13" s="28">
        <f>32252816390.91</f>
        <v>32252816390.91</v>
      </c>
      <c r="C13" s="28">
        <f>32252813206.62</f>
        <v>32252813206.619999</v>
      </c>
      <c r="D13" s="28">
        <f>2443507209.09</f>
        <v>2443507209.0900002</v>
      </c>
      <c r="E13" s="28">
        <f>256392868.84</f>
        <v>256392868.84</v>
      </c>
      <c r="F13" s="28">
        <f>384061629.82</f>
        <v>384061629.81999999</v>
      </c>
      <c r="G13" s="28">
        <f>1800544535.43</f>
        <v>1800544535.4300001</v>
      </c>
      <c r="H13" s="28">
        <f>2508175</f>
        <v>2508175</v>
      </c>
      <c r="I13" s="28">
        <f>0</f>
        <v>0</v>
      </c>
      <c r="J13" s="28">
        <f>28061793951.43</f>
        <v>28061793951.43</v>
      </c>
      <c r="K13" s="28">
        <f>1480028404</f>
        <v>1480028404</v>
      </c>
      <c r="L13" s="28">
        <f>233141753.61</f>
        <v>233141753.61000001</v>
      </c>
      <c r="M13" s="28">
        <f>21468484.16</f>
        <v>21468484.16</v>
      </c>
      <c r="N13" s="28">
        <f>12873404.33</f>
        <v>12873404.33</v>
      </c>
      <c r="O13" s="28">
        <f>3184.29</f>
        <v>3184.29</v>
      </c>
      <c r="P13" s="28">
        <f>2229.4</f>
        <v>2229.4</v>
      </c>
      <c r="Q13" s="28">
        <f>954.89</f>
        <v>954.89</v>
      </c>
    </row>
    <row r="14" spans="1:17" ht="26.25" customHeight="1" x14ac:dyDescent="0.25">
      <c r="A14" s="29" t="s">
        <v>47</v>
      </c>
      <c r="B14" s="28">
        <f>777922344.15</f>
        <v>777922344.14999998</v>
      </c>
      <c r="C14" s="28">
        <f>777922344.15</f>
        <v>777922344.14999998</v>
      </c>
      <c r="D14" s="28">
        <f>1292526</f>
        <v>1292526</v>
      </c>
      <c r="E14" s="28">
        <f>0</f>
        <v>0</v>
      </c>
      <c r="F14" s="28">
        <f>0</f>
        <v>0</v>
      </c>
      <c r="G14" s="28">
        <f>1292526</f>
        <v>1292526</v>
      </c>
      <c r="H14" s="28">
        <f>0</f>
        <v>0</v>
      </c>
      <c r="I14" s="28">
        <f>0</f>
        <v>0</v>
      </c>
      <c r="J14" s="28">
        <f>732329818.15</f>
        <v>732329818.14999998</v>
      </c>
      <c r="K14" s="28">
        <f>44300000</f>
        <v>44300000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5">
      <c r="A15" s="19" t="s">
        <v>48</v>
      </c>
      <c r="B15" s="33">
        <f>4000000</f>
        <v>4000000</v>
      </c>
      <c r="C15" s="33">
        <f>4000000</f>
        <v>4000000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4000000</f>
        <v>4000000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5">
      <c r="A16" s="19" t="s">
        <v>49</v>
      </c>
      <c r="B16" s="33">
        <f>773922344.15</f>
        <v>773922344.14999998</v>
      </c>
      <c r="C16" s="33">
        <f>773922344.15</f>
        <v>773922344.14999998</v>
      </c>
      <c r="D16" s="33">
        <f>1292526</f>
        <v>1292526</v>
      </c>
      <c r="E16" s="33">
        <f>0</f>
        <v>0</v>
      </c>
      <c r="F16" s="33">
        <f>0</f>
        <v>0</v>
      </c>
      <c r="G16" s="33">
        <f>1292526</f>
        <v>1292526</v>
      </c>
      <c r="H16" s="33">
        <f>0</f>
        <v>0</v>
      </c>
      <c r="I16" s="33">
        <f>0</f>
        <v>0</v>
      </c>
      <c r="J16" s="33">
        <f>728329818.15</f>
        <v>728329818.14999998</v>
      </c>
      <c r="K16" s="33">
        <f>44300000</f>
        <v>44300000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5">
      <c r="A17" s="30" t="s">
        <v>50</v>
      </c>
      <c r="B17" s="28">
        <f>31438033411.38</f>
        <v>31438033411.380001</v>
      </c>
      <c r="C17" s="28">
        <f>31438033411.38</f>
        <v>31438033411.380001</v>
      </c>
      <c r="D17" s="28">
        <f>2430565139.75</f>
        <v>2430565139.75</v>
      </c>
      <c r="E17" s="28">
        <f>256146488.64</f>
        <v>256146488.63999999</v>
      </c>
      <c r="F17" s="28">
        <f>384034437.49</f>
        <v>384034437.49000001</v>
      </c>
      <c r="G17" s="28">
        <f>1790384213.62</f>
        <v>1790384213.6199999</v>
      </c>
      <c r="H17" s="28">
        <f>0</f>
        <v>0</v>
      </c>
      <c r="I17" s="28">
        <f>0</f>
        <v>0</v>
      </c>
      <c r="J17" s="28">
        <f>27329048746.93</f>
        <v>27329048746.93</v>
      </c>
      <c r="K17" s="28">
        <f>1435693809.52</f>
        <v>1435693809.52</v>
      </c>
      <c r="L17" s="28">
        <f>218190637.96</f>
        <v>218190637.96000001</v>
      </c>
      <c r="M17" s="28">
        <f>13448218.21</f>
        <v>13448218.210000001</v>
      </c>
      <c r="N17" s="28">
        <f>11086859.01</f>
        <v>11086859.01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5">
      <c r="A18" s="20" t="s">
        <v>51</v>
      </c>
      <c r="B18" s="33">
        <f>293342992.06</f>
        <v>293342992.06</v>
      </c>
      <c r="C18" s="33">
        <f>293342992.06</f>
        <v>293342992.06</v>
      </c>
      <c r="D18" s="33">
        <f>15360983.88</f>
        <v>15360983.880000001</v>
      </c>
      <c r="E18" s="33">
        <f>12100427.43</f>
        <v>12100427.43</v>
      </c>
      <c r="F18" s="33">
        <f>1136000</f>
        <v>1136000</v>
      </c>
      <c r="G18" s="33">
        <f>2124556.45</f>
        <v>2124556.4500000002</v>
      </c>
      <c r="H18" s="33">
        <f>0</f>
        <v>0</v>
      </c>
      <c r="I18" s="33">
        <f>0</f>
        <v>0</v>
      </c>
      <c r="J18" s="33">
        <f>275741944.37</f>
        <v>275741944.37</v>
      </c>
      <c r="K18" s="33">
        <f>1000000</f>
        <v>1000000</v>
      </c>
      <c r="L18" s="33">
        <f>790063.81</f>
        <v>790063.81</v>
      </c>
      <c r="M18" s="33">
        <f>450000</f>
        <v>450000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5">
      <c r="A19" s="21" t="s">
        <v>52</v>
      </c>
      <c r="B19" s="33">
        <f>31144690419.32</f>
        <v>31144690419.32</v>
      </c>
      <c r="C19" s="33">
        <f>31144690419.32</f>
        <v>31144690419.32</v>
      </c>
      <c r="D19" s="33">
        <f>2415204155.87</f>
        <v>2415204155.8699999</v>
      </c>
      <c r="E19" s="33">
        <f>244046061.21</f>
        <v>244046061.21000001</v>
      </c>
      <c r="F19" s="33">
        <f>382898437.49</f>
        <v>382898437.49000001</v>
      </c>
      <c r="G19" s="33">
        <f>1788259657.17</f>
        <v>1788259657.1700001</v>
      </c>
      <c r="H19" s="33">
        <f>0</f>
        <v>0</v>
      </c>
      <c r="I19" s="33">
        <f>0</f>
        <v>0</v>
      </c>
      <c r="J19" s="33">
        <f>27053306802.56</f>
        <v>27053306802.560001</v>
      </c>
      <c r="K19" s="33">
        <f>1434693809.52</f>
        <v>1434693809.52</v>
      </c>
      <c r="L19" s="33">
        <f>217400574.15</f>
        <v>217400574.15000001</v>
      </c>
      <c r="M19" s="33">
        <f>12998218.21</f>
        <v>12998218.210000001</v>
      </c>
      <c r="N19" s="33">
        <f>11086859.01</f>
        <v>11086859.01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5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4.5" x14ac:dyDescent="0.25">
      <c r="A21" s="32" t="s">
        <v>54</v>
      </c>
      <c r="B21" s="28">
        <f>36860635.38</f>
        <v>36860635.380000003</v>
      </c>
      <c r="C21" s="28">
        <f>36857451.09</f>
        <v>36857451.090000004</v>
      </c>
      <c r="D21" s="28">
        <f>11649543.34</f>
        <v>11649543.34</v>
      </c>
      <c r="E21" s="28">
        <f>246380.2</f>
        <v>246380.2</v>
      </c>
      <c r="F21" s="28">
        <f>27192.33</f>
        <v>27192.33</v>
      </c>
      <c r="G21" s="28">
        <f>8867795.81</f>
        <v>8867795.8100000005</v>
      </c>
      <c r="H21" s="28">
        <f>2508175</f>
        <v>2508175</v>
      </c>
      <c r="I21" s="28">
        <f>0</f>
        <v>0</v>
      </c>
      <c r="J21" s="28">
        <f>415386.35</f>
        <v>415386.35</v>
      </c>
      <c r="K21" s="28">
        <f>34594.48</f>
        <v>34594.480000000003</v>
      </c>
      <c r="L21" s="28">
        <f>14951115.65</f>
        <v>14951115.65</v>
      </c>
      <c r="M21" s="28">
        <f>8020265.95</f>
        <v>8020265.9500000002</v>
      </c>
      <c r="N21" s="28">
        <f>1786545.32</f>
        <v>1786545.32</v>
      </c>
      <c r="O21" s="28">
        <f>3184.29</f>
        <v>3184.29</v>
      </c>
      <c r="P21" s="28">
        <f>2229.4</f>
        <v>2229.4</v>
      </c>
      <c r="Q21" s="28">
        <f>954.89</f>
        <v>954.89</v>
      </c>
    </row>
    <row r="22" spans="1:17" ht="27" customHeight="1" x14ac:dyDescent="0.25">
      <c r="A22" s="19" t="s">
        <v>55</v>
      </c>
      <c r="B22" s="33">
        <f>21035108.1</f>
        <v>21035108.100000001</v>
      </c>
      <c r="C22" s="33">
        <f>21032878.7</f>
        <v>21032878.699999999</v>
      </c>
      <c r="D22" s="33">
        <f>2261311.78</f>
        <v>2261311.7799999998</v>
      </c>
      <c r="E22" s="33">
        <f>100</f>
        <v>100</v>
      </c>
      <c r="F22" s="33">
        <f>25834.8</f>
        <v>25834.799999999999</v>
      </c>
      <c r="G22" s="33">
        <f>2235376.98</f>
        <v>2235376.98</v>
      </c>
      <c r="H22" s="33">
        <f>0</f>
        <v>0</v>
      </c>
      <c r="I22" s="33">
        <f>0</f>
        <v>0</v>
      </c>
      <c r="J22" s="33">
        <f>0</f>
        <v>0</v>
      </c>
      <c r="K22" s="33">
        <f>32176.59</f>
        <v>32176.59</v>
      </c>
      <c r="L22" s="33">
        <f>12810739.6</f>
        <v>12810739.6</v>
      </c>
      <c r="M22" s="33">
        <f>4577940.27</f>
        <v>4577940.2699999996</v>
      </c>
      <c r="N22" s="33">
        <f>1350710.46</f>
        <v>1350710.46</v>
      </c>
      <c r="O22" s="33">
        <f>2229.4</f>
        <v>2229.4</v>
      </c>
      <c r="P22" s="33">
        <f>2229.4</f>
        <v>2229.4</v>
      </c>
      <c r="Q22" s="33">
        <f>0</f>
        <v>0</v>
      </c>
    </row>
    <row r="23" spans="1:17" ht="31.5" customHeight="1" x14ac:dyDescent="0.25">
      <c r="A23" s="25" t="s">
        <v>56</v>
      </c>
      <c r="B23" s="33">
        <f>15825527.28</f>
        <v>15825527.279999999</v>
      </c>
      <c r="C23" s="33">
        <f>15824572.39</f>
        <v>15824572.390000001</v>
      </c>
      <c r="D23" s="33">
        <f>9388231.56</f>
        <v>9388231.5600000005</v>
      </c>
      <c r="E23" s="33">
        <f>246280.2</f>
        <v>246280.2</v>
      </c>
      <c r="F23" s="33">
        <f>1357.53</f>
        <v>1357.53</v>
      </c>
      <c r="G23" s="33">
        <f>6632418.83</f>
        <v>6632418.8300000001</v>
      </c>
      <c r="H23" s="33">
        <f>2508175</f>
        <v>2508175</v>
      </c>
      <c r="I23" s="33">
        <f>0</f>
        <v>0</v>
      </c>
      <c r="J23" s="33">
        <f>415386.35</f>
        <v>415386.35</v>
      </c>
      <c r="K23" s="33">
        <f>2417.89</f>
        <v>2417.89</v>
      </c>
      <c r="L23" s="33">
        <f>2140376.05</f>
        <v>2140376.0499999998</v>
      </c>
      <c r="M23" s="33">
        <f>3442325.68</f>
        <v>3442325.68</v>
      </c>
      <c r="N23" s="33">
        <f>435834.86</f>
        <v>435834.86</v>
      </c>
      <c r="O23" s="33">
        <f>954.89</f>
        <v>954.89</v>
      </c>
      <c r="P23" s="33">
        <f>0</f>
        <v>0</v>
      </c>
      <c r="Q23" s="33">
        <f>954.89</f>
        <v>954.89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5">
      <c r="A34" s="51" t="str">
        <f>CONCATENATE("Informacja z wykonania budżetów gmin za ",$C$104," ",$B$105," roku   ",$B$107,"")</f>
        <v xml:space="preserve">Informacja z wykonania budżetów gmin za III Kwartały 2022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5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5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5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5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5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5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5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5">
      <c r="A44" s="34" t="s">
        <v>41</v>
      </c>
      <c r="B44" s="35">
        <f>5414747.82</f>
        <v>5414747.8200000003</v>
      </c>
      <c r="C44" s="35">
        <f>5364747.82</f>
        <v>5364747.82</v>
      </c>
      <c r="D44" s="35">
        <f>4231556.11</f>
        <v>4231556.1100000003</v>
      </c>
      <c r="E44" s="35">
        <f>3011003.11</f>
        <v>3011003.11</v>
      </c>
      <c r="F44" s="35">
        <f>0</f>
        <v>0</v>
      </c>
      <c r="G44" s="35">
        <f>1220553</f>
        <v>1220553</v>
      </c>
      <c r="H44" s="35">
        <f>0</f>
        <v>0</v>
      </c>
      <c r="I44" s="35">
        <f>0</f>
        <v>0</v>
      </c>
      <c r="J44" s="35">
        <f>183554.8</f>
        <v>183554.8</v>
      </c>
      <c r="K44" s="35">
        <f>24305</f>
        <v>24305</v>
      </c>
      <c r="L44" s="35">
        <f>227710.48</f>
        <v>227710.48</v>
      </c>
      <c r="M44" s="35">
        <f>262723.17</f>
        <v>262723.17</v>
      </c>
      <c r="N44" s="35">
        <f>434898.26</f>
        <v>434898.26</v>
      </c>
      <c r="O44" s="35">
        <f>50000</f>
        <v>50000</v>
      </c>
      <c r="P44" s="35">
        <f>0</f>
        <v>0</v>
      </c>
      <c r="Q44" s="35">
        <f>50000</f>
        <v>50000</v>
      </c>
    </row>
    <row r="45" spans="1:17" ht="24.75" customHeight="1" x14ac:dyDescent="0.25">
      <c r="A45" s="23" t="s">
        <v>29</v>
      </c>
      <c r="B45" s="26">
        <f>3115323.3</f>
        <v>3115323.3</v>
      </c>
      <c r="C45" s="26">
        <f>3065323.3</f>
        <v>3065323.3</v>
      </c>
      <c r="D45" s="26">
        <f>3000281.11</f>
        <v>3000281.11</v>
      </c>
      <c r="E45" s="26">
        <f>3000281.11</f>
        <v>3000281.11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0</f>
        <v>0</v>
      </c>
      <c r="M45" s="26">
        <f>3143.93</f>
        <v>3143.93</v>
      </c>
      <c r="N45" s="26">
        <f>55898.26</f>
        <v>55898.26</v>
      </c>
      <c r="O45" s="15">
        <f>50000</f>
        <v>50000</v>
      </c>
      <c r="P45" s="15">
        <f>0</f>
        <v>0</v>
      </c>
      <c r="Q45" s="15">
        <f>50000</f>
        <v>50000</v>
      </c>
    </row>
    <row r="46" spans="1:17" ht="24.75" customHeight="1" x14ac:dyDescent="0.25">
      <c r="A46" s="23" t="s">
        <v>30</v>
      </c>
      <c r="B46" s="26">
        <f>2299424.52</f>
        <v>2299424.52</v>
      </c>
      <c r="C46" s="26">
        <f>2299424.52</f>
        <v>2299424.52</v>
      </c>
      <c r="D46" s="26">
        <f>1231275</f>
        <v>1231275</v>
      </c>
      <c r="E46" s="26">
        <f>10722</f>
        <v>10722</v>
      </c>
      <c r="F46" s="26">
        <f>0</f>
        <v>0</v>
      </c>
      <c r="G46" s="26">
        <f>1220553</f>
        <v>1220553</v>
      </c>
      <c r="H46" s="26">
        <f>0</f>
        <v>0</v>
      </c>
      <c r="I46" s="26">
        <f>0</f>
        <v>0</v>
      </c>
      <c r="J46" s="26">
        <f>177554.8</f>
        <v>177554.8</v>
      </c>
      <c r="K46" s="26">
        <f>24305</f>
        <v>24305</v>
      </c>
      <c r="L46" s="26">
        <f>227710.48</f>
        <v>227710.48</v>
      </c>
      <c r="M46" s="26">
        <f>259579.24</f>
        <v>259579.24</v>
      </c>
      <c r="N46" s="26">
        <f>379000</f>
        <v>379000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5">
      <c r="A47" s="24" t="s">
        <v>42</v>
      </c>
      <c r="B47" s="26">
        <f>409081452.86</f>
        <v>409081452.86000001</v>
      </c>
      <c r="C47" s="26">
        <f>409077569.2</f>
        <v>409077569.19999999</v>
      </c>
      <c r="D47" s="26">
        <f>39905112.06</f>
        <v>39905112.060000002</v>
      </c>
      <c r="E47" s="26">
        <f>7451.25</f>
        <v>7451.25</v>
      </c>
      <c r="F47" s="26">
        <f>63178</f>
        <v>63178</v>
      </c>
      <c r="G47" s="26">
        <f>24614255.6</f>
        <v>24614255.600000001</v>
      </c>
      <c r="H47" s="26">
        <f>15220227.21</f>
        <v>15220227.210000001</v>
      </c>
      <c r="I47" s="26">
        <f>0</f>
        <v>0</v>
      </c>
      <c r="J47" s="26">
        <f>47205.43</f>
        <v>47205.43</v>
      </c>
      <c r="K47" s="26">
        <f>163337.66</f>
        <v>163337.66</v>
      </c>
      <c r="L47" s="26">
        <f>155099088.84</f>
        <v>155099088.84</v>
      </c>
      <c r="M47" s="26">
        <f>174583960.66</f>
        <v>174583960.66</v>
      </c>
      <c r="N47" s="26">
        <f>39278864.55</f>
        <v>39278864.549999997</v>
      </c>
      <c r="O47" s="15">
        <f>3883.66</f>
        <v>3883.66</v>
      </c>
      <c r="P47" s="15">
        <f>3883.66</f>
        <v>3883.66</v>
      </c>
      <c r="Q47" s="15">
        <f>0</f>
        <v>0</v>
      </c>
    </row>
    <row r="48" spans="1:17" ht="24.75" customHeight="1" x14ac:dyDescent="0.25">
      <c r="A48" s="23" t="s">
        <v>31</v>
      </c>
      <c r="B48" s="26">
        <f>73670023.4</f>
        <v>73670023.400000006</v>
      </c>
      <c r="C48" s="26">
        <f>73670023.4</f>
        <v>73670023.400000006</v>
      </c>
      <c r="D48" s="26">
        <f>24876506.35</f>
        <v>24876506.350000001</v>
      </c>
      <c r="E48" s="26">
        <f>739.78</f>
        <v>739.78</v>
      </c>
      <c r="F48" s="26">
        <f>58762</f>
        <v>58762</v>
      </c>
      <c r="G48" s="26">
        <f>9717004.57</f>
        <v>9717004.5700000003</v>
      </c>
      <c r="H48" s="26">
        <f>15100000</f>
        <v>15100000</v>
      </c>
      <c r="I48" s="26">
        <f>0</f>
        <v>0</v>
      </c>
      <c r="J48" s="26">
        <f>0</f>
        <v>0</v>
      </c>
      <c r="K48" s="26">
        <f>0</f>
        <v>0</v>
      </c>
      <c r="L48" s="26">
        <f>31030506.47</f>
        <v>31030506.469999999</v>
      </c>
      <c r="M48" s="26">
        <f>2201076.16</f>
        <v>2201076.16</v>
      </c>
      <c r="N48" s="26">
        <f>15561934.42</f>
        <v>15561934.42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5">
      <c r="A49" s="23" t="s">
        <v>32</v>
      </c>
      <c r="B49" s="26">
        <f>335411429.46</f>
        <v>335411429.45999998</v>
      </c>
      <c r="C49" s="26">
        <f>335407545.8</f>
        <v>335407545.80000001</v>
      </c>
      <c r="D49" s="26">
        <f>15028605.71</f>
        <v>15028605.710000001</v>
      </c>
      <c r="E49" s="26">
        <f>6711.47</f>
        <v>6711.47</v>
      </c>
      <c r="F49" s="26">
        <f>4416</f>
        <v>4416</v>
      </c>
      <c r="G49" s="26">
        <f>14897251.03</f>
        <v>14897251.029999999</v>
      </c>
      <c r="H49" s="26">
        <f>120227.21</f>
        <v>120227.21</v>
      </c>
      <c r="I49" s="26">
        <f>0</f>
        <v>0</v>
      </c>
      <c r="J49" s="26">
        <f>47205.43</f>
        <v>47205.43</v>
      </c>
      <c r="K49" s="26">
        <f>163337.66</f>
        <v>163337.66</v>
      </c>
      <c r="L49" s="26">
        <f>124068582.37</f>
        <v>124068582.37</v>
      </c>
      <c r="M49" s="26">
        <f>172382884.5</f>
        <v>172382884.5</v>
      </c>
      <c r="N49" s="26">
        <f>23716930.13</f>
        <v>23716930.129999999</v>
      </c>
      <c r="O49" s="15">
        <f>3883.66</f>
        <v>3883.66</v>
      </c>
      <c r="P49" s="15">
        <f>3883.66</f>
        <v>3883.66</v>
      </c>
      <c r="Q49" s="15">
        <f>0</f>
        <v>0</v>
      </c>
    </row>
    <row r="50" spans="1:17" ht="24.75" customHeight="1" x14ac:dyDescent="0.25">
      <c r="A50" s="34" t="s">
        <v>43</v>
      </c>
      <c r="B50" s="35">
        <f>34028796199.39</f>
        <v>34028796199.389999</v>
      </c>
      <c r="C50" s="35">
        <f>34028796199.39</f>
        <v>34028796199.389999</v>
      </c>
      <c r="D50" s="35">
        <f>17292802.64</f>
        <v>17292802.640000001</v>
      </c>
      <c r="E50" s="35">
        <f>7720367.95</f>
        <v>7720367.9500000002</v>
      </c>
      <c r="F50" s="35">
        <f>8244.58</f>
        <v>8244.58</v>
      </c>
      <c r="G50" s="35">
        <f>9564190.11</f>
        <v>9564190.1099999994</v>
      </c>
      <c r="H50" s="35">
        <f>0</f>
        <v>0</v>
      </c>
      <c r="I50" s="35">
        <f>0</f>
        <v>0</v>
      </c>
      <c r="J50" s="35">
        <f>34003595277.84</f>
        <v>34003595277.84</v>
      </c>
      <c r="K50" s="35">
        <f>323634.42</f>
        <v>323634.42</v>
      </c>
      <c r="L50" s="35">
        <f>7481677.92</f>
        <v>7481677.9199999999</v>
      </c>
      <c r="M50" s="35">
        <f>102806.57</f>
        <v>102806.57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5">
      <c r="A51" s="23" t="s">
        <v>33</v>
      </c>
      <c r="B51" s="26">
        <f>9505864.91</f>
        <v>9505864.9100000001</v>
      </c>
      <c r="C51" s="26">
        <f>9505864.91</f>
        <v>9505864.9100000001</v>
      </c>
      <c r="D51" s="26">
        <f>9505864.91</f>
        <v>9505864.9100000001</v>
      </c>
      <c r="E51" s="26">
        <f>0</f>
        <v>0</v>
      </c>
      <c r="F51" s="26">
        <f>0</f>
        <v>0</v>
      </c>
      <c r="G51" s="26">
        <f>9505864.91</f>
        <v>9505864.9100000001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5">
      <c r="A52" s="23" t="s">
        <v>34</v>
      </c>
      <c r="B52" s="26">
        <f>26119509422</f>
        <v>26119509422</v>
      </c>
      <c r="C52" s="26">
        <f>26119509422</f>
        <v>26119509422</v>
      </c>
      <c r="D52" s="26">
        <f>7407470.39</f>
        <v>7407470.3899999997</v>
      </c>
      <c r="E52" s="26">
        <f>7399180.39</f>
        <v>7399180.3899999997</v>
      </c>
      <c r="F52" s="26">
        <f>6750</f>
        <v>6750</v>
      </c>
      <c r="G52" s="26">
        <f>1540</f>
        <v>1540</v>
      </c>
      <c r="H52" s="26">
        <f>0</f>
        <v>0</v>
      </c>
      <c r="I52" s="26">
        <f>0</f>
        <v>0</v>
      </c>
      <c r="J52" s="26">
        <f>26104601147.82</f>
        <v>26104601147.82</v>
      </c>
      <c r="K52" s="26">
        <f>122216.01</f>
        <v>122216.01</v>
      </c>
      <c r="L52" s="26">
        <f>7378172.78</f>
        <v>7378172.7800000003</v>
      </c>
      <c r="M52" s="26">
        <f>415</f>
        <v>415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5">
      <c r="A53" s="23" t="s">
        <v>35</v>
      </c>
      <c r="B53" s="26">
        <f>7899780912.48</f>
        <v>7899780912.4799995</v>
      </c>
      <c r="C53" s="26">
        <f>7899780912.48</f>
        <v>7899780912.4799995</v>
      </c>
      <c r="D53" s="26">
        <f>379467.34</f>
        <v>379467.34</v>
      </c>
      <c r="E53" s="26">
        <f>321187.56</f>
        <v>321187.56</v>
      </c>
      <c r="F53" s="26">
        <f>1494.58</f>
        <v>1494.58</v>
      </c>
      <c r="G53" s="26">
        <f>56785.2</f>
        <v>56785.2</v>
      </c>
      <c r="H53" s="26">
        <f>0</f>
        <v>0</v>
      </c>
      <c r="I53" s="26">
        <f>0</f>
        <v>0</v>
      </c>
      <c r="J53" s="26">
        <f>7898994130.02</f>
        <v>7898994130.0200005</v>
      </c>
      <c r="K53" s="26">
        <f>201418.41</f>
        <v>201418.41</v>
      </c>
      <c r="L53" s="26">
        <f>103505.14</f>
        <v>103505.14</v>
      </c>
      <c r="M53" s="26">
        <f>102391.57</f>
        <v>102391.57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5">
      <c r="A54" s="34" t="s">
        <v>44</v>
      </c>
      <c r="B54" s="35">
        <f>9992292251.12</f>
        <v>9992292251.1200008</v>
      </c>
      <c r="C54" s="35">
        <f>9966373472.18</f>
        <v>9966373472.1800003</v>
      </c>
      <c r="D54" s="35">
        <f>85063512.46</f>
        <v>85063512.459999993</v>
      </c>
      <c r="E54" s="35">
        <f>46947392.54</f>
        <v>46947392.539999999</v>
      </c>
      <c r="F54" s="35">
        <f>2941083.12</f>
        <v>2941083.12</v>
      </c>
      <c r="G54" s="35">
        <f>34941710.69</f>
        <v>34941710.689999998</v>
      </c>
      <c r="H54" s="35">
        <f>233326.11</f>
        <v>233326.11</v>
      </c>
      <c r="I54" s="35">
        <f>0</f>
        <v>0</v>
      </c>
      <c r="J54" s="35">
        <f>4566786.44</f>
        <v>4566786.4400000004</v>
      </c>
      <c r="K54" s="35">
        <f>15433126.24</f>
        <v>15433126.24</v>
      </c>
      <c r="L54" s="35">
        <f>2156832161.9</f>
        <v>2156832161.9000001</v>
      </c>
      <c r="M54" s="35">
        <f>7622485507.46</f>
        <v>7622485507.46</v>
      </c>
      <c r="N54" s="35">
        <f>81992377.68</f>
        <v>81992377.680000007</v>
      </c>
      <c r="O54" s="35">
        <f>25918778.94</f>
        <v>25918778.940000001</v>
      </c>
      <c r="P54" s="35">
        <f>17485671.81</f>
        <v>17485671.809999999</v>
      </c>
      <c r="Q54" s="35">
        <f>8433107.13</f>
        <v>8433107.1300000008</v>
      </c>
    </row>
    <row r="55" spans="1:17" ht="24.75" customHeight="1" x14ac:dyDescent="0.25">
      <c r="A55" s="22" t="s">
        <v>36</v>
      </c>
      <c r="B55" s="26">
        <f>1290569879.92</f>
        <v>1290569879.9200001</v>
      </c>
      <c r="C55" s="26">
        <f>1290096836.95</f>
        <v>1290096836.95</v>
      </c>
      <c r="D55" s="26">
        <f>4930310.39</f>
        <v>4930310.3899999997</v>
      </c>
      <c r="E55" s="26">
        <f>977246.08</f>
        <v>977246.08</v>
      </c>
      <c r="F55" s="26">
        <f>198023.07</f>
        <v>198023.07</v>
      </c>
      <c r="G55" s="26">
        <f>3614466.41</f>
        <v>3614466.41</v>
      </c>
      <c r="H55" s="26">
        <f>140574.83</f>
        <v>140574.82999999999</v>
      </c>
      <c r="I55" s="26">
        <f>0</f>
        <v>0</v>
      </c>
      <c r="J55" s="26">
        <f>33423.82</f>
        <v>33423.82</v>
      </c>
      <c r="K55" s="26">
        <f>209726.98</f>
        <v>209726.98</v>
      </c>
      <c r="L55" s="26">
        <f>219828202.19</f>
        <v>219828202.19</v>
      </c>
      <c r="M55" s="26">
        <f>1037173249.22</f>
        <v>1037173249.22</v>
      </c>
      <c r="N55" s="26">
        <f>27921924.35</f>
        <v>27921924.350000001</v>
      </c>
      <c r="O55" s="15">
        <f>473042.97</f>
        <v>473042.97</v>
      </c>
      <c r="P55" s="15">
        <f>343994.7</f>
        <v>343994.7</v>
      </c>
      <c r="Q55" s="15">
        <f>129048.27</f>
        <v>129048.27</v>
      </c>
    </row>
    <row r="56" spans="1:17" ht="24.75" customHeight="1" x14ac:dyDescent="0.25">
      <c r="A56" s="23" t="s">
        <v>37</v>
      </c>
      <c r="B56" s="26">
        <f>8701722371.2</f>
        <v>8701722371.2000008</v>
      </c>
      <c r="C56" s="26">
        <f>8676276635.23</f>
        <v>8676276635.2299995</v>
      </c>
      <c r="D56" s="26">
        <f>80133202.07</f>
        <v>80133202.069999993</v>
      </c>
      <c r="E56" s="26">
        <f>45970146.46</f>
        <v>45970146.460000001</v>
      </c>
      <c r="F56" s="26">
        <f>2743060.05</f>
        <v>2743060.05</v>
      </c>
      <c r="G56" s="26">
        <f>31327244.28</f>
        <v>31327244.280000001</v>
      </c>
      <c r="H56" s="26">
        <f>92751.28</f>
        <v>92751.28</v>
      </c>
      <c r="I56" s="26">
        <f>0</f>
        <v>0</v>
      </c>
      <c r="J56" s="26">
        <f>4533362.62</f>
        <v>4533362.62</v>
      </c>
      <c r="K56" s="26">
        <f>15223399.26</f>
        <v>15223399.26</v>
      </c>
      <c r="L56" s="26">
        <f>1937003959.71</f>
        <v>1937003959.71</v>
      </c>
      <c r="M56" s="26">
        <f>6585312258.24</f>
        <v>6585312258.2399998</v>
      </c>
      <c r="N56" s="26">
        <f>54070453.33</f>
        <v>54070453.329999998</v>
      </c>
      <c r="O56" s="15">
        <f>25445735.97</f>
        <v>25445735.969999999</v>
      </c>
      <c r="P56" s="15">
        <f>17141677.11</f>
        <v>17141677.109999999</v>
      </c>
      <c r="Q56" s="15">
        <f>8304058.86</f>
        <v>8304058.8600000003</v>
      </c>
    </row>
    <row r="57" spans="1:17" ht="24.75" customHeight="1" x14ac:dyDescent="0.25">
      <c r="A57" s="34" t="s">
        <v>45</v>
      </c>
      <c r="B57" s="35">
        <f>7714942655.42</f>
        <v>7714942655.4200001</v>
      </c>
      <c r="C57" s="35">
        <f>7713908867.22</f>
        <v>7713908867.2200003</v>
      </c>
      <c r="D57" s="35">
        <f>520602548.2</f>
        <v>520602548.19999999</v>
      </c>
      <c r="E57" s="35">
        <f>275949628.17</f>
        <v>275949628.17000002</v>
      </c>
      <c r="F57" s="35">
        <f>26412109.95</f>
        <v>26412109.949999999</v>
      </c>
      <c r="G57" s="35">
        <f>214416257.51</f>
        <v>214416257.50999999</v>
      </c>
      <c r="H57" s="35">
        <f>3824552.57</f>
        <v>3824552.57</v>
      </c>
      <c r="I57" s="35">
        <f>112425</f>
        <v>112425</v>
      </c>
      <c r="J57" s="35">
        <f>5830129.15</f>
        <v>5830129.1500000004</v>
      </c>
      <c r="K57" s="35">
        <f>13657686.05</f>
        <v>13657686.050000001</v>
      </c>
      <c r="L57" s="35">
        <f>3990533340.26</f>
        <v>3990533340.2600002</v>
      </c>
      <c r="M57" s="35">
        <f>3088310286.48</f>
        <v>3088310286.48</v>
      </c>
      <c r="N57" s="35">
        <f>94862452.08</f>
        <v>94862452.079999998</v>
      </c>
      <c r="O57" s="35">
        <f>1033788.2</f>
        <v>1033788.2</v>
      </c>
      <c r="P57" s="35">
        <f>810237.48</f>
        <v>810237.48</v>
      </c>
      <c r="Q57" s="35">
        <f>223550.72</f>
        <v>223550.72</v>
      </c>
    </row>
    <row r="58" spans="1:17" ht="30" customHeight="1" x14ac:dyDescent="0.25">
      <c r="A58" s="22" t="s">
        <v>38</v>
      </c>
      <c r="B58" s="26">
        <f>652093632.16</f>
        <v>652093632.15999997</v>
      </c>
      <c r="C58" s="26">
        <f>651795379.82</f>
        <v>651795379.82000005</v>
      </c>
      <c r="D58" s="26">
        <f>45838962.14</f>
        <v>45838962.140000001</v>
      </c>
      <c r="E58" s="26">
        <f>2721528.28</f>
        <v>2721528.28</v>
      </c>
      <c r="F58" s="26">
        <f>1211482.71</f>
        <v>1211482.71</v>
      </c>
      <c r="G58" s="26">
        <f>41323759.72</f>
        <v>41323759.719999999</v>
      </c>
      <c r="H58" s="26">
        <f>582191.43</f>
        <v>582191.43000000005</v>
      </c>
      <c r="I58" s="26">
        <f>0</f>
        <v>0</v>
      </c>
      <c r="J58" s="26">
        <f>822852.06</f>
        <v>822852.06</v>
      </c>
      <c r="K58" s="26">
        <f>2268651.14</f>
        <v>2268651.14</v>
      </c>
      <c r="L58" s="26">
        <f>202117584.24</f>
        <v>202117584.24000001</v>
      </c>
      <c r="M58" s="26">
        <f>393352762.4</f>
        <v>393352762.39999998</v>
      </c>
      <c r="N58" s="26">
        <f>7394567.84</f>
        <v>7394567.8399999999</v>
      </c>
      <c r="O58" s="15">
        <f>298252.34</f>
        <v>298252.34000000003</v>
      </c>
      <c r="P58" s="15">
        <f>259935.03</f>
        <v>259935.03</v>
      </c>
      <c r="Q58" s="15">
        <f>38317.31</f>
        <v>38317.31</v>
      </c>
    </row>
    <row r="59" spans="1:17" ht="34.5" x14ac:dyDescent="0.25">
      <c r="A59" s="22" t="s">
        <v>39</v>
      </c>
      <c r="B59" s="26">
        <f>4257879774.95</f>
        <v>4257879774.9499998</v>
      </c>
      <c r="C59" s="26">
        <f>4257265007.59</f>
        <v>4257265007.5900002</v>
      </c>
      <c r="D59" s="26">
        <f>176758160.32</f>
        <v>176758160.31999999</v>
      </c>
      <c r="E59" s="26">
        <f>106693386.72</f>
        <v>106693386.72</v>
      </c>
      <c r="F59" s="26">
        <f>15423597.47</f>
        <v>15423597.470000001</v>
      </c>
      <c r="G59" s="26">
        <f>52855532.14</f>
        <v>52855532.140000001</v>
      </c>
      <c r="H59" s="26">
        <f>1785643.99</f>
        <v>1785643.99</v>
      </c>
      <c r="I59" s="26">
        <f>112425</f>
        <v>112425</v>
      </c>
      <c r="J59" s="26">
        <f>3930991.91</f>
        <v>3930991.91</v>
      </c>
      <c r="K59" s="26">
        <f>4651599.91</f>
        <v>4651599.91</v>
      </c>
      <c r="L59" s="26">
        <f>2719441186.31</f>
        <v>2719441186.3099999</v>
      </c>
      <c r="M59" s="26">
        <f>1333518568.8</f>
        <v>1333518568.8</v>
      </c>
      <c r="N59" s="26">
        <f>18852075.34</f>
        <v>18852075.34</v>
      </c>
      <c r="O59" s="15">
        <f>614767.36</f>
        <v>614767.35999999999</v>
      </c>
      <c r="P59" s="15">
        <f>501550.53</f>
        <v>501550.53</v>
      </c>
      <c r="Q59" s="15">
        <f>113216.83</f>
        <v>113216.83</v>
      </c>
    </row>
    <row r="60" spans="1:17" ht="30.75" customHeight="1" x14ac:dyDescent="0.25">
      <c r="A60" s="22" t="s">
        <v>40</v>
      </c>
      <c r="B60" s="26">
        <f>2804969248.31</f>
        <v>2804969248.3099999</v>
      </c>
      <c r="C60" s="26">
        <f>2804848479.81</f>
        <v>2804848479.8099999</v>
      </c>
      <c r="D60" s="26">
        <f>298005425.74</f>
        <v>298005425.74000001</v>
      </c>
      <c r="E60" s="26">
        <f>166534713.17</f>
        <v>166534713.16999999</v>
      </c>
      <c r="F60" s="26">
        <f>9777029.77</f>
        <v>9777029.7699999996</v>
      </c>
      <c r="G60" s="26">
        <f>120236965.65</f>
        <v>120236965.65000001</v>
      </c>
      <c r="H60" s="26">
        <f>1456717.15</f>
        <v>1456717.15</v>
      </c>
      <c r="I60" s="26">
        <f>0</f>
        <v>0</v>
      </c>
      <c r="J60" s="26">
        <f>1076285.18</f>
        <v>1076285.18</v>
      </c>
      <c r="K60" s="26">
        <f>6737435</f>
        <v>6737435</v>
      </c>
      <c r="L60" s="26">
        <f>1068974569.71</f>
        <v>1068974569.71</v>
      </c>
      <c r="M60" s="26">
        <f>1361438955.28</f>
        <v>1361438955.28</v>
      </c>
      <c r="N60" s="26">
        <f>68615808.9</f>
        <v>68615808.900000006</v>
      </c>
      <c r="O60" s="15">
        <f>120768.5</f>
        <v>120768.5</v>
      </c>
      <c r="P60" s="15">
        <f>48751.92</f>
        <v>48751.92</v>
      </c>
      <c r="Q60" s="15">
        <f>72016.58</f>
        <v>72016.58</v>
      </c>
    </row>
    <row r="77" spans="1:13" ht="75" customHeight="1" x14ac:dyDescent="0.25">
      <c r="A77" s="51" t="str">
        <f>CONCATENATE("Informacja z wykonania budżetów gmin za ",$C$104," ",$B$105," roku   ",$B$107,"")</f>
        <v xml:space="preserve">Informacja z wykonania budżetów gmin za III Kwartały 2022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5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5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5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5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5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5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5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5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5">
      <c r="B87" s="73" t="s">
        <v>57</v>
      </c>
      <c r="C87" s="74"/>
      <c r="D87" s="74"/>
      <c r="E87" s="75"/>
      <c r="F87" s="33">
        <f>1007886093.62</f>
        <v>1007886093.62</v>
      </c>
      <c r="G87" s="33">
        <f>405804501.15</f>
        <v>405804501.14999998</v>
      </c>
      <c r="H87" s="33">
        <f>21604816.96</f>
        <v>21604816.960000001</v>
      </c>
      <c r="I87" s="33">
        <f>167102661.25</f>
        <v>167102661.25</v>
      </c>
      <c r="J87" s="33">
        <f>215467227.08</f>
        <v>215467227.08000001</v>
      </c>
      <c r="K87" s="33">
        <f>1629795.86</f>
        <v>1629795.86</v>
      </c>
      <c r="L87" s="33">
        <f>602081592.47</f>
        <v>602081592.47000003</v>
      </c>
    </row>
    <row r="88" spans="1:13" ht="33.75" customHeight="1" x14ac:dyDescent="0.25">
      <c r="B88" s="73" t="s">
        <v>58</v>
      </c>
      <c r="C88" s="74"/>
      <c r="D88" s="74"/>
      <c r="E88" s="75"/>
      <c r="F88" s="33">
        <f>1263059.37</f>
        <v>1263059.3700000001</v>
      </c>
      <c r="G88" s="33">
        <f>1262085.91</f>
        <v>1262085.9099999999</v>
      </c>
      <c r="H88" s="33">
        <f>440491.91</f>
        <v>440491.91</v>
      </c>
      <c r="I88" s="33">
        <f>0</f>
        <v>0</v>
      </c>
      <c r="J88" s="33">
        <f>821594</f>
        <v>821594</v>
      </c>
      <c r="K88" s="33">
        <f>0</f>
        <v>0</v>
      </c>
      <c r="L88" s="33">
        <f>973.46</f>
        <v>973.46</v>
      </c>
    </row>
    <row r="89" spans="1:13" ht="33.75" customHeight="1" x14ac:dyDescent="0.25">
      <c r="B89" s="73" t="s">
        <v>59</v>
      </c>
      <c r="C89" s="74"/>
      <c r="D89" s="74"/>
      <c r="E89" s="75"/>
      <c r="F89" s="33">
        <f>30912637.32</f>
        <v>30912637.32</v>
      </c>
      <c r="G89" s="33">
        <f>11806051.59</f>
        <v>11806051.59</v>
      </c>
      <c r="H89" s="33">
        <f>1256851</f>
        <v>1256851</v>
      </c>
      <c r="I89" s="33">
        <f>5000000</f>
        <v>5000000</v>
      </c>
      <c r="J89" s="33">
        <f>5439614.55</f>
        <v>5439614.5499999998</v>
      </c>
      <c r="K89" s="33">
        <f>109586.04</f>
        <v>109586.04</v>
      </c>
      <c r="L89" s="33">
        <f>19106585.73</f>
        <v>19106585.73</v>
      </c>
    </row>
    <row r="90" spans="1:13" ht="22.5" customHeight="1" x14ac:dyDescent="0.25">
      <c r="B90" s="73" t="s">
        <v>60</v>
      </c>
      <c r="C90" s="74"/>
      <c r="D90" s="74"/>
      <c r="E90" s="75"/>
      <c r="F90" s="33">
        <f>13853399.42</f>
        <v>13853399.42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13853399.42</f>
        <v>13853399.42</v>
      </c>
    </row>
    <row r="91" spans="1:13" ht="33.75" customHeight="1" x14ac:dyDescent="0.25">
      <c r="B91" s="73" t="s">
        <v>61</v>
      </c>
      <c r="C91" s="74"/>
      <c r="D91" s="74"/>
      <c r="E91" s="75"/>
      <c r="F91" s="33">
        <f>21824.18</f>
        <v>21824.18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21824.18</f>
        <v>21824.18</v>
      </c>
    </row>
    <row r="92" spans="1:13" ht="33.75" customHeight="1" x14ac:dyDescent="0.25">
      <c r="B92" s="73" t="s">
        <v>62</v>
      </c>
      <c r="C92" s="74"/>
      <c r="D92" s="74"/>
      <c r="E92" s="75"/>
      <c r="F92" s="33">
        <f>3361967.89</f>
        <v>3361967.89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3361967.89</f>
        <v>3361967.89</v>
      </c>
    </row>
    <row r="93" spans="1:13" ht="22.5" customHeight="1" x14ac:dyDescent="0.25">
      <c r="B93" s="73" t="s">
        <v>63</v>
      </c>
      <c r="C93" s="74"/>
      <c r="D93" s="74"/>
      <c r="E93" s="75"/>
      <c r="F93" s="33">
        <f>147000</f>
        <v>147000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147000</f>
        <v>147000</v>
      </c>
    </row>
    <row r="96" spans="1:13" ht="75" customHeight="1" x14ac:dyDescent="0.25">
      <c r="A96" s="51" t="str">
        <f>CONCATENATE("Informacja z wykonania budżetów gmin za ",$C$104," ",$B$105," roku   ",$B$107,"")</f>
        <v xml:space="preserve">Informacja z wykonania budżetów gmin za III Kwartały 2022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5">
      <c r="B97" s="4"/>
    </row>
    <row r="98" spans="1:11" ht="13.5" customHeight="1" x14ac:dyDescent="0.25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5">
      <c r="B99" s="6"/>
      <c r="C99" s="70" t="s">
        <v>5</v>
      </c>
      <c r="D99" s="71"/>
      <c r="E99" s="71"/>
      <c r="F99" s="72"/>
      <c r="G99" s="66">
        <f>1932</f>
        <v>1932</v>
      </c>
      <c r="H99" s="67"/>
      <c r="I99" s="68">
        <f>9635337889.82</f>
        <v>9635337889.8199997</v>
      </c>
      <c r="J99" s="69"/>
      <c r="K99" s="7"/>
    </row>
    <row r="100" spans="1:11" ht="13.5" customHeight="1" x14ac:dyDescent="0.25">
      <c r="B100" s="6"/>
      <c r="C100" s="73" t="s">
        <v>6</v>
      </c>
      <c r="D100" s="74"/>
      <c r="E100" s="74"/>
      <c r="F100" s="75"/>
      <c r="G100" s="76">
        <f>479</f>
        <v>479</v>
      </c>
      <c r="H100" s="77"/>
      <c r="I100" s="78">
        <f>-1364204442.98</f>
        <v>-1364204442.98</v>
      </c>
      <c r="J100" s="79"/>
      <c r="K100" s="7"/>
    </row>
    <row r="101" spans="1:11" ht="13.5" customHeight="1" x14ac:dyDescent="0.25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5">
      <c r="A104" s="8" t="s">
        <v>8</v>
      </c>
      <c r="B104" s="8">
        <f>3</f>
        <v>3</v>
      </c>
      <c r="C104" s="8" t="str">
        <f>IF(B104=1,"I Kwartał",IF(B104=2,"II Kwartały",IF(B104=3,"III Kwartały",IF(B104=4,"IV Kwartały","-"))))</f>
        <v>III Kwartały</v>
      </c>
    </row>
    <row r="105" spans="1:11" ht="13.5" customHeight="1" x14ac:dyDescent="0.25">
      <c r="A105" s="8" t="s">
        <v>9</v>
      </c>
      <c r="B105" s="8">
        <f>2022</f>
        <v>2022</v>
      </c>
      <c r="C105" s="9"/>
    </row>
    <row r="106" spans="1:11" ht="13.5" customHeight="1" x14ac:dyDescent="0.25">
      <c r="A106" s="8" t="s">
        <v>10</v>
      </c>
      <c r="B106" s="10" t="str">
        <f>"Nov 18 2022 12:00AM"</f>
        <v>Nov 18 2022 12:00AM</v>
      </c>
      <c r="C106" s="9"/>
    </row>
    <row r="107" spans="1:11" ht="13.5" customHeight="1" x14ac:dyDescent="0.25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2022-11-29T14:28:45Z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2022-11-29T15:28:41.0421736+01:00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GRN-5cd43efd-87ed-4ef6-959b-e4a80636141e</vt:lpwstr>
  </property>
  <property fmtid="{D5CDD505-2E9C-101B-9397-08002B2CF9AE}" pid="7" name="MFHash">
    <vt:lpwstr>91H4P5E3UcIgOLVzWmLHwYB93NiNkB5zvy9J/e4hzxE=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