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.babraj\Desktop\Publikacja\Plany NFZ - 20.04.2018\"/>
    </mc:Choice>
  </mc:AlternateContent>
  <bookViews>
    <workbookView xWindow="-15" yWindow="705" windowWidth="19440" windowHeight="11760" tabRatio="915"/>
  </bookViews>
  <sheets>
    <sheet name="NFZ" sheetId="23" r:id="rId1"/>
    <sheet name="CENTRALA" sheetId="22" r:id="rId2"/>
    <sheet name="Razem OW" sheetId="20" r:id="rId3"/>
    <sheet name="Dolnośląski" sheetId="19" r:id="rId4"/>
    <sheet name="KujawskoPomorski" sheetId="18" r:id="rId5"/>
    <sheet name="Lubelski" sheetId="17" r:id="rId6"/>
    <sheet name="Lubuski" sheetId="16" r:id="rId7"/>
    <sheet name="Łódzki" sheetId="15" r:id="rId8"/>
    <sheet name="Małopolski" sheetId="14" r:id="rId9"/>
    <sheet name="Mazowiecki" sheetId="13" r:id="rId10"/>
    <sheet name="Opolski" sheetId="12" r:id="rId11"/>
    <sheet name="Podkarpacki" sheetId="11" r:id="rId12"/>
    <sheet name="Podlaski" sheetId="10" r:id="rId13"/>
    <sheet name="Pomorski" sheetId="9" r:id="rId14"/>
    <sheet name="Śląski" sheetId="8" r:id="rId15"/>
    <sheet name="Świętokrzyski" sheetId="7" r:id="rId16"/>
    <sheet name="WarmińskoMazurski" sheetId="6" r:id="rId17"/>
    <sheet name="Wielkopolski" sheetId="5" r:id="rId18"/>
    <sheet name="Zachodniopomorski" sheetId="3" r:id="rId19"/>
  </sheets>
  <externalReferences>
    <externalReference r:id="rId20"/>
    <externalReference r:id="rId21"/>
    <externalReference r:id="rId22"/>
  </externalReferences>
  <definedNames>
    <definedName name="___C">[0]!___C</definedName>
    <definedName name="__C">[0]!__C</definedName>
    <definedName name="_1_0_0kos">[1]plan!#REF!</definedName>
    <definedName name="_2_0_0ra">[1]plan!#REF!</definedName>
    <definedName name="_C" localSheetId="2">'Razem OW'!_C</definedName>
    <definedName name="_C" localSheetId="18">Zachodniopomorski!_C</definedName>
    <definedName name="_C">'Razem OW'!_C</definedName>
    <definedName name="_xlnm._FilterDatabase" localSheetId="16" hidden="1">WarmińskoMazurski!$A$6:$C$65</definedName>
    <definedName name="A" localSheetId="2">'Razem OW'!A</definedName>
    <definedName name="A" localSheetId="18">Zachodniopomorski!A</definedName>
    <definedName name="A">'Razem OW'!A</definedName>
    <definedName name="A_2">[0]!A_2</definedName>
    <definedName name="aa" localSheetId="2">'Razem OW'!aa</definedName>
    <definedName name="aa" localSheetId="18">Zachodniopomorski!aa</definedName>
    <definedName name="aa">'Razem OW'!aa</definedName>
    <definedName name="aa_2">[0]!aa_2</definedName>
    <definedName name="B">[0]!B</definedName>
    <definedName name="BILANS">[2]plan!#REF!</definedName>
    <definedName name="BILANSSPZ">[2]plan!#REF!</definedName>
    <definedName name="BV" localSheetId="2">'Razem OW'!BV</definedName>
    <definedName name="BV" localSheetId="18">Zachodniopomorski!BV</definedName>
    <definedName name="BV">'Razem OW'!BV</definedName>
    <definedName name="cr" localSheetId="2">'Razem OW'!cr</definedName>
    <definedName name="cr" localSheetId="18">Zachodniopomorski!cr</definedName>
    <definedName name="cr">'Razem OW'!cr</definedName>
    <definedName name="d" localSheetId="2">'Razem OW'!d</definedName>
    <definedName name="d" localSheetId="18">Zachodniopomorski!d</definedName>
    <definedName name="d">'Razem OW'!d</definedName>
    <definedName name="depozyty">#REF!</definedName>
    <definedName name="g">[0]!g</definedName>
    <definedName name="koszty">[1]plan!#REF!</definedName>
    <definedName name="licznikn">#REF!</definedName>
    <definedName name="licznikr">#REF!</definedName>
    <definedName name="licznikz">#REF!</definedName>
    <definedName name="mn" localSheetId="2">'Razem OW'!mn</definedName>
    <definedName name="mn" localSheetId="18">Zachodniopomorski!mn</definedName>
    <definedName name="mn">'Razem OW'!mn</definedName>
    <definedName name="mon" localSheetId="2">'Razem OW'!mon</definedName>
    <definedName name="mon" localSheetId="18">Zachodniopomorski!mon</definedName>
    <definedName name="mon">'Razem OW'!mon</definedName>
    <definedName name="naleznosci">#REF!</definedName>
    <definedName name="_xlnm.Print_Area" localSheetId="1">CENTRALA!$A$1:$F$66</definedName>
    <definedName name="_xlnm.Print_Area" localSheetId="3">Dolnośląski!$A$1:$F$66</definedName>
    <definedName name="_xlnm.Print_Area" localSheetId="4">KujawskoPomorski!$A$1:$F$66</definedName>
    <definedName name="_xlnm.Print_Area" localSheetId="5">Lubelski!$A$1:$F$66</definedName>
    <definedName name="_xlnm.Print_Area" localSheetId="6">Lubuski!$A$1:$F$66</definedName>
    <definedName name="_xlnm.Print_Area" localSheetId="7">Łódzki!$A$1:$F$66</definedName>
    <definedName name="_xlnm.Print_Area" localSheetId="8">Małopolski!$A$1:$F$66</definedName>
    <definedName name="_xlnm.Print_Area" localSheetId="9">Mazowiecki!$A$1:$F$66</definedName>
    <definedName name="_xlnm.Print_Area" localSheetId="0">NFZ!$A$1:$F$94</definedName>
    <definedName name="_xlnm.Print_Area" localSheetId="10">Opolski!$A$1:$F$66</definedName>
    <definedName name="_xlnm.Print_Area" localSheetId="11">Podkarpacki!$A$1:$F$66</definedName>
    <definedName name="_xlnm.Print_Area" localSheetId="12">Podlaski!$A$1:$F$66</definedName>
    <definedName name="_xlnm.Print_Area" localSheetId="13">Pomorski!$A$1:$F$66</definedName>
    <definedName name="_xlnm.Print_Area" localSheetId="2">'Razem OW'!$A$1:$F$66</definedName>
    <definedName name="_xlnm.Print_Area" localSheetId="14">Śląski!$A$1:$F$66</definedName>
    <definedName name="_xlnm.Print_Area" localSheetId="15">Świętokrzyski!$A$1:$F$66</definedName>
    <definedName name="_xlnm.Print_Area" localSheetId="16">WarmińskoMazurski!$A$1:$F$66</definedName>
    <definedName name="_xlnm.Print_Area" localSheetId="17">Wielkopolski!$A$1:$F$66</definedName>
    <definedName name="_xlnm.Print_Area" localSheetId="18">Zachodniopomorski!$A$1:$F$66</definedName>
    <definedName name="PETLA">[3]!PETLA</definedName>
    <definedName name="rach1">#REF!</definedName>
    <definedName name="rach2">#REF!</definedName>
    <definedName name="rach3">#REF!</definedName>
    <definedName name="rgds" localSheetId="2">'Razem OW'!rgds</definedName>
    <definedName name="rgds" localSheetId="18">Zachodniopomorski!rgds</definedName>
    <definedName name="rgds">'Razem OW'!rgds</definedName>
    <definedName name="_xlnm.Print_Titles" localSheetId="0">NFZ!$1:$5</definedName>
    <definedName name="wybkosz1">#REF!</definedName>
    <definedName name="wybkosz2">#REF!</definedName>
    <definedName name="za" localSheetId="2">'Razem OW'!za</definedName>
    <definedName name="za" localSheetId="18">Zachodniopomorski!za</definedName>
    <definedName name="za">'Razem OW'!za</definedName>
  </definedNames>
  <calcPr calcId="152511" calcMode="manual" fullPrecision="0"/>
</workbook>
</file>

<file path=xl/calcChain.xml><?xml version="1.0" encoding="utf-8"?>
<calcChain xmlns="http://schemas.openxmlformats.org/spreadsheetml/2006/main">
  <c r="D9" i="3" l="1"/>
  <c r="D8" i="3"/>
  <c r="D9" i="5"/>
  <c r="D8" i="5"/>
  <c r="D9" i="6"/>
  <c r="D8" i="6"/>
  <c r="D9" i="7"/>
  <c r="D8" i="7"/>
  <c r="D9" i="8"/>
  <c r="D8" i="8"/>
  <c r="D9" i="9"/>
  <c r="D8" i="9"/>
  <c r="D9" i="10"/>
  <c r="D8" i="10"/>
  <c r="D9" i="11"/>
  <c r="D8" i="11"/>
  <c r="D9" i="12"/>
  <c r="D8" i="12"/>
  <c r="D9" i="13"/>
  <c r="D8" i="13"/>
  <c r="D9" i="14"/>
  <c r="D8" i="14"/>
  <c r="D9" i="15"/>
  <c r="D8" i="15"/>
  <c r="D9" i="16"/>
  <c r="D8" i="16"/>
  <c r="D9" i="17"/>
  <c r="D8" i="17"/>
  <c r="D9" i="18"/>
  <c r="D8" i="18"/>
  <c r="D9" i="19"/>
  <c r="D8" i="19"/>
  <c r="D25" i="23"/>
  <c r="D35" i="3" l="1"/>
  <c r="D14" i="3"/>
  <c r="D10" i="3"/>
  <c r="D35" i="5"/>
  <c r="D14" i="5"/>
  <c r="D10" i="5"/>
  <c r="D35" i="6"/>
  <c r="D14" i="6"/>
  <c r="D10" i="6"/>
  <c r="D35" i="7"/>
  <c r="D14" i="7"/>
  <c r="D10" i="7"/>
  <c r="D35" i="8"/>
  <c r="D14" i="8"/>
  <c r="D10" i="8"/>
  <c r="D35" i="9"/>
  <c r="D14" i="9"/>
  <c r="D10" i="9"/>
  <c r="D35" i="10"/>
  <c r="D14" i="10"/>
  <c r="D10" i="10"/>
  <c r="D35" i="11"/>
  <c r="D14" i="11"/>
  <c r="D10" i="11"/>
  <c r="D35" i="12"/>
  <c r="D14" i="12"/>
  <c r="D10" i="12"/>
  <c r="D35" i="13"/>
  <c r="D14" i="13"/>
  <c r="D10" i="13"/>
  <c r="D35" i="14"/>
  <c r="D14" i="14"/>
  <c r="D10" i="14"/>
  <c r="D35" i="15"/>
  <c r="D14" i="15"/>
  <c r="D10" i="15"/>
  <c r="D35" i="16"/>
  <c r="D14" i="16"/>
  <c r="D10" i="16"/>
  <c r="D35" i="17"/>
  <c r="D14" i="17"/>
  <c r="D35" i="18"/>
  <c r="D14" i="18"/>
  <c r="D35" i="19"/>
  <c r="D14" i="19"/>
  <c r="F35" i="18" l="1"/>
  <c r="F35" i="17"/>
  <c r="E35" i="16"/>
  <c r="F35" i="14"/>
  <c r="F35" i="12"/>
  <c r="F35" i="10"/>
  <c r="F35" i="8"/>
  <c r="F35" i="6"/>
  <c r="E35" i="6"/>
  <c r="F35" i="3"/>
  <c r="E35" i="19"/>
  <c r="E35" i="17" l="1"/>
  <c r="F35" i="16"/>
  <c r="E35" i="10"/>
  <c r="E35" i="14"/>
  <c r="F35" i="15"/>
  <c r="E35" i="18"/>
  <c r="E35" i="3"/>
  <c r="E35" i="8"/>
  <c r="E35" i="12"/>
  <c r="F35" i="19"/>
  <c r="E35" i="11" l="1"/>
  <c r="F35" i="11"/>
  <c r="E35" i="9"/>
  <c r="F35" i="9"/>
  <c r="E35" i="7"/>
  <c r="F35" i="7"/>
  <c r="E35" i="13"/>
  <c r="F35" i="13"/>
  <c r="E35" i="5"/>
  <c r="F35" i="5"/>
  <c r="E35" i="15"/>
  <c r="C35" i="20"/>
  <c r="C55" i="23" s="1"/>
  <c r="F35" i="22" l="1"/>
  <c r="D35" i="20"/>
  <c r="E35" i="20" s="1"/>
  <c r="D35" i="22"/>
  <c r="F35" i="20" l="1"/>
  <c r="D55" i="23"/>
  <c r="F55" i="23" s="1"/>
  <c r="E35" i="22"/>
  <c r="C6" i="5"/>
  <c r="C6" i="7"/>
  <c r="C6" i="9"/>
  <c r="C6" i="11"/>
  <c r="C6" i="13"/>
  <c r="C6" i="15"/>
  <c r="C6" i="17"/>
  <c r="C6" i="19"/>
  <c r="F36" i="17" l="1"/>
  <c r="C6" i="18"/>
  <c r="F36" i="18"/>
  <c r="C6" i="16"/>
  <c r="F36" i="16"/>
  <c r="C6" i="14"/>
  <c r="C6" i="12"/>
  <c r="C6" i="10"/>
  <c r="C6" i="8"/>
  <c r="C6" i="6"/>
  <c r="F36" i="6"/>
  <c r="C6" i="3"/>
  <c r="C6" i="22"/>
  <c r="E55" i="23"/>
  <c r="D10" i="17"/>
  <c r="D11" i="17"/>
  <c r="D12" i="17"/>
  <c r="D13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11" i="16"/>
  <c r="D12" i="16"/>
  <c r="D13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11" i="15"/>
  <c r="D12" i="15"/>
  <c r="D13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11" i="14"/>
  <c r="D12" i="14"/>
  <c r="D13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11" i="13"/>
  <c r="D12" i="13"/>
  <c r="D13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11" i="12"/>
  <c r="D12" i="12"/>
  <c r="D13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11" i="11"/>
  <c r="D12" i="11"/>
  <c r="D13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11" i="10"/>
  <c r="D12" i="10"/>
  <c r="D13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11" i="9"/>
  <c r="D12" i="9"/>
  <c r="D13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11" i="8"/>
  <c r="D12" i="8"/>
  <c r="D13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11" i="7"/>
  <c r="D12" i="7"/>
  <c r="D13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11" i="6"/>
  <c r="D12" i="6"/>
  <c r="D13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11" i="5"/>
  <c r="D12" i="5"/>
  <c r="D13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11" i="3"/>
  <c r="D12" i="3"/>
  <c r="D13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10" i="18"/>
  <c r="D11" i="18"/>
  <c r="D12" i="18"/>
  <c r="D13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31" i="18"/>
  <c r="D32" i="18"/>
  <c r="D33" i="18"/>
  <c r="D34" i="18"/>
  <c r="D10" i="19"/>
  <c r="D11" i="19"/>
  <c r="D12" i="19"/>
  <c r="D13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7" i="18" l="1"/>
  <c r="D6" i="18" s="1"/>
  <c r="D7" i="17"/>
  <c r="D6" i="17" s="1"/>
  <c r="D7" i="16"/>
  <c r="D6" i="16" s="1"/>
  <c r="D7" i="15"/>
  <c r="D6" i="15" s="1"/>
  <c r="D7" i="14"/>
  <c r="D6" i="14" s="1"/>
  <c r="D7" i="13"/>
  <c r="D6" i="13" s="1"/>
  <c r="D7" i="12"/>
  <c r="D6" i="12" s="1"/>
  <c r="D7" i="11"/>
  <c r="D6" i="11" s="1"/>
  <c r="D7" i="10"/>
  <c r="D6" i="10" s="1"/>
  <c r="D7" i="9"/>
  <c r="D6" i="9" s="1"/>
  <c r="D7" i="8"/>
  <c r="D6" i="8" s="1"/>
  <c r="D7" i="7"/>
  <c r="D6" i="7" s="1"/>
  <c r="D7" i="6"/>
  <c r="D6" i="6" s="1"/>
  <c r="D7" i="5"/>
  <c r="D6" i="5" s="1"/>
  <c r="D7" i="3"/>
  <c r="D6" i="3" s="1"/>
  <c r="D7" i="19"/>
  <c r="D6" i="19" s="1"/>
  <c r="D23" i="23"/>
  <c r="D37" i="8" l="1"/>
  <c r="D37" i="13"/>
  <c r="D37" i="15"/>
  <c r="D37" i="18"/>
  <c r="D23" i="22"/>
  <c r="D23" i="20" l="1"/>
  <c r="D82" i="23"/>
  <c r="D22" i="23"/>
  <c r="D60" i="3"/>
  <c r="D57" i="3"/>
  <c r="D56" i="3"/>
  <c r="D52" i="3"/>
  <c r="D48" i="3"/>
  <c r="D44" i="3"/>
  <c r="D42" i="3"/>
  <c r="D37" i="3"/>
  <c r="D36" i="3"/>
  <c r="D66" i="5"/>
  <c r="D64" i="5"/>
  <c r="D63" i="5"/>
  <c r="D62" i="5"/>
  <c r="D58" i="5"/>
  <c r="D57" i="5"/>
  <c r="D55" i="5"/>
  <c r="D52" i="5"/>
  <c r="D50" i="5"/>
  <c r="D49" i="5"/>
  <c r="D48" i="5"/>
  <c r="D44" i="5"/>
  <c r="D37" i="5"/>
  <c r="D65" i="6"/>
  <c r="D60" i="6"/>
  <c r="D56" i="6"/>
  <c r="D52" i="6"/>
  <c r="D48" i="6"/>
  <c r="D47" i="6"/>
  <c r="D44" i="6"/>
  <c r="D42" i="6"/>
  <c r="D37" i="6"/>
  <c r="C39" i="6"/>
  <c r="D66" i="7"/>
  <c r="D63" i="7"/>
  <c r="D62" i="7"/>
  <c r="D59" i="7"/>
  <c r="D57" i="7"/>
  <c r="D55" i="7"/>
  <c r="D54" i="7"/>
  <c r="D52" i="7"/>
  <c r="D49" i="7"/>
  <c r="D48" i="7"/>
  <c r="D45" i="7"/>
  <c r="D44" i="7"/>
  <c r="D41" i="7"/>
  <c r="D37" i="7"/>
  <c r="D66" i="8"/>
  <c r="D65" i="8"/>
  <c r="D62" i="8"/>
  <c r="D60" i="8"/>
  <c r="D57" i="8"/>
  <c r="D52" i="8"/>
  <c r="D51" i="8"/>
  <c r="D48" i="8"/>
  <c r="D47" i="8"/>
  <c r="D44" i="8"/>
  <c r="D42" i="8"/>
  <c r="D36" i="8"/>
  <c r="D64" i="9"/>
  <c r="D63" i="9"/>
  <c r="D59" i="9"/>
  <c r="D55" i="9"/>
  <c r="D50" i="9"/>
  <c r="D49" i="9"/>
  <c r="D45" i="9"/>
  <c r="D41" i="9"/>
  <c r="D38" i="9"/>
  <c r="D66" i="10"/>
  <c r="D65" i="10"/>
  <c r="D63" i="10"/>
  <c r="D60" i="10"/>
  <c r="D58" i="10"/>
  <c r="D57" i="10"/>
  <c r="D56" i="10"/>
  <c r="D54" i="10"/>
  <c r="D51" i="10"/>
  <c r="D45" i="10"/>
  <c r="D44" i="10"/>
  <c r="D38" i="10"/>
  <c r="D36" i="10"/>
  <c r="D66" i="11"/>
  <c r="D64" i="11"/>
  <c r="D63" i="11"/>
  <c r="D62" i="11"/>
  <c r="D59" i="11"/>
  <c r="D58" i="11"/>
  <c r="D55" i="11"/>
  <c r="D54" i="11"/>
  <c r="D52" i="11"/>
  <c r="D50" i="11"/>
  <c r="D49" i="11"/>
  <c r="D48" i="11"/>
  <c r="D45" i="11"/>
  <c r="D44" i="11"/>
  <c r="D38" i="11"/>
  <c r="D66" i="12"/>
  <c r="D65" i="12"/>
  <c r="D62" i="12"/>
  <c r="D60" i="12"/>
  <c r="D57" i="12"/>
  <c r="D56" i="12"/>
  <c r="D52" i="12"/>
  <c r="D51" i="12"/>
  <c r="D48" i="12"/>
  <c r="D47" i="12"/>
  <c r="D44" i="12"/>
  <c r="D42" i="12"/>
  <c r="D37" i="12"/>
  <c r="D36" i="12"/>
  <c r="D66" i="13"/>
  <c r="D63" i="13"/>
  <c r="D58" i="13"/>
  <c r="D57" i="13"/>
  <c r="D55" i="13"/>
  <c r="D50" i="13"/>
  <c r="D49" i="13"/>
  <c r="D46" i="13"/>
  <c r="D45" i="13"/>
  <c r="D38" i="13"/>
  <c r="D66" i="14"/>
  <c r="D65" i="14"/>
  <c r="D60" i="14"/>
  <c r="D57" i="14"/>
  <c r="D56" i="14"/>
  <c r="D52" i="14"/>
  <c r="D51" i="14"/>
  <c r="D48" i="14"/>
  <c r="D47" i="14"/>
  <c r="D63" i="15"/>
  <c r="D62" i="15"/>
  <c r="D59" i="15"/>
  <c r="D58" i="15"/>
  <c r="D57" i="15"/>
  <c r="D54" i="15"/>
  <c r="D49" i="15"/>
  <c r="D45" i="15"/>
  <c r="D41" i="15"/>
  <c r="D38" i="15"/>
  <c r="D66" i="16"/>
  <c r="D65" i="16"/>
  <c r="D64" i="16"/>
  <c r="D62" i="16"/>
  <c r="D60" i="16"/>
  <c r="D59" i="16"/>
  <c r="D57" i="16"/>
  <c r="D56" i="16"/>
  <c r="D55" i="16"/>
  <c r="D42" i="16"/>
  <c r="D36" i="16"/>
  <c r="E36" i="16" s="1"/>
  <c r="D64" i="17"/>
  <c r="D63" i="17"/>
  <c r="D59" i="17"/>
  <c r="D58" i="17"/>
  <c r="D57" i="17"/>
  <c r="D55" i="17"/>
  <c r="D52" i="17"/>
  <c r="D50" i="17"/>
  <c r="D49" i="17"/>
  <c r="D48" i="17"/>
  <c r="D45" i="17"/>
  <c r="D44" i="17"/>
  <c r="D41" i="17"/>
  <c r="D38" i="17"/>
  <c r="D37" i="17"/>
  <c r="D36" i="17"/>
  <c r="E36" i="17" s="1"/>
  <c r="D65" i="18"/>
  <c r="D60" i="18"/>
  <c r="D59" i="18"/>
  <c r="D50" i="18"/>
  <c r="D48" i="18"/>
  <c r="D47" i="18"/>
  <c r="D46" i="18"/>
  <c r="D42" i="18"/>
  <c r="D41" i="18"/>
  <c r="C39" i="18"/>
  <c r="D64" i="22"/>
  <c r="D59" i="22"/>
  <c r="D55" i="22"/>
  <c r="D54" i="22"/>
  <c r="D41" i="22"/>
  <c r="D38" i="22"/>
  <c r="D34" i="22"/>
  <c r="D33" i="22"/>
  <c r="D30" i="22"/>
  <c r="D29" i="22"/>
  <c r="D26" i="22"/>
  <c r="D25" i="22"/>
  <c r="D22" i="22"/>
  <c r="D21" i="22"/>
  <c r="D20" i="22"/>
  <c r="D19" i="22"/>
  <c r="D17" i="22"/>
  <c r="D15" i="22"/>
  <c r="D14" i="22"/>
  <c r="D13" i="22"/>
  <c r="D12" i="22"/>
  <c r="D11" i="22"/>
  <c r="D10" i="22"/>
  <c r="D9" i="22"/>
  <c r="D66" i="22"/>
  <c r="D65" i="22"/>
  <c r="D62" i="22"/>
  <c r="D60" i="22"/>
  <c r="D58" i="22"/>
  <c r="D57" i="22"/>
  <c r="D56" i="22"/>
  <c r="C53" i="22"/>
  <c r="D52" i="22"/>
  <c r="D51" i="22"/>
  <c r="D50" i="22"/>
  <c r="D49" i="22"/>
  <c r="D48" i="22"/>
  <c r="D47" i="22"/>
  <c r="D46" i="22"/>
  <c r="D45" i="22"/>
  <c r="D42" i="22"/>
  <c r="D37" i="22"/>
  <c r="D36" i="22"/>
  <c r="D32" i="22"/>
  <c r="D31" i="22"/>
  <c r="D28" i="22"/>
  <c r="D27" i="22"/>
  <c r="D18" i="22"/>
  <c r="D16" i="22"/>
  <c r="D8" i="22"/>
  <c r="D66" i="17"/>
  <c r="D65" i="17"/>
  <c r="D62" i="17"/>
  <c r="D60" i="17"/>
  <c r="D56" i="17"/>
  <c r="D54" i="17"/>
  <c r="D51" i="17"/>
  <c r="D47" i="17"/>
  <c r="D46" i="17"/>
  <c r="D42" i="17"/>
  <c r="D63" i="16"/>
  <c r="D58" i="16"/>
  <c r="D54" i="16"/>
  <c r="D52" i="16"/>
  <c r="D51" i="16"/>
  <c r="D50" i="16"/>
  <c r="D49" i="16"/>
  <c r="D48" i="16"/>
  <c r="D47" i="16"/>
  <c r="D46" i="16"/>
  <c r="D45" i="16"/>
  <c r="D38" i="16"/>
  <c r="D37" i="16"/>
  <c r="D66" i="15"/>
  <c r="D65" i="15"/>
  <c r="D60" i="15"/>
  <c r="D56" i="15"/>
  <c r="D55" i="15"/>
  <c r="D52" i="15"/>
  <c r="D51" i="15"/>
  <c r="D50" i="15"/>
  <c r="D48" i="15"/>
  <c r="D47" i="15"/>
  <c r="D46" i="15"/>
  <c r="D44" i="15"/>
  <c r="D42" i="15"/>
  <c r="D36" i="15"/>
  <c r="D64" i="14"/>
  <c r="D63" i="14"/>
  <c r="D59" i="14"/>
  <c r="D58" i="14"/>
  <c r="D55" i="14"/>
  <c r="D50" i="14"/>
  <c r="D49" i="14"/>
  <c r="D46" i="14"/>
  <c r="D45" i="14"/>
  <c r="D42" i="14"/>
  <c r="D41" i="14"/>
  <c r="D38" i="14"/>
  <c r="D37" i="14"/>
  <c r="D36" i="14"/>
  <c r="D65" i="13"/>
  <c r="D64" i="13"/>
  <c r="D60" i="13"/>
  <c r="D59" i="13"/>
  <c r="D56" i="13"/>
  <c r="D52" i="13"/>
  <c r="D51" i="13"/>
  <c r="D48" i="13"/>
  <c r="D47" i="13"/>
  <c r="D42" i="13"/>
  <c r="D41" i="13"/>
  <c r="D36" i="13"/>
  <c r="D64" i="12"/>
  <c r="D63" i="12"/>
  <c r="D59" i="12"/>
  <c r="D58" i="12"/>
  <c r="D55" i="12"/>
  <c r="D54" i="12"/>
  <c r="D50" i="12"/>
  <c r="D46" i="12"/>
  <c r="D45" i="12"/>
  <c r="D38" i="12"/>
  <c r="D65" i="11"/>
  <c r="C61" i="11"/>
  <c r="D60" i="11"/>
  <c r="D57" i="11"/>
  <c r="D56" i="11"/>
  <c r="C53" i="11"/>
  <c r="D51" i="11"/>
  <c r="D47" i="11"/>
  <c r="D46" i="11"/>
  <c r="D42" i="11"/>
  <c r="D37" i="11"/>
  <c r="D36" i="11"/>
  <c r="D64" i="10"/>
  <c r="D62" i="10"/>
  <c r="D59" i="10"/>
  <c r="D55" i="10"/>
  <c r="C53" i="10"/>
  <c r="D52" i="10"/>
  <c r="D50" i="10"/>
  <c r="D48" i="10"/>
  <c r="D47" i="10"/>
  <c r="D46" i="10"/>
  <c r="D41" i="10"/>
  <c r="D37" i="10"/>
  <c r="D66" i="9"/>
  <c r="D65" i="9"/>
  <c r="D60" i="9"/>
  <c r="D58" i="9"/>
  <c r="D57" i="9"/>
  <c r="D56" i="9"/>
  <c r="D52" i="9"/>
  <c r="D51" i="9"/>
  <c r="D48" i="9"/>
  <c r="D47" i="9"/>
  <c r="D46" i="9"/>
  <c r="D42" i="9"/>
  <c r="D37" i="9"/>
  <c r="D36" i="9"/>
  <c r="D64" i="8"/>
  <c r="D63" i="8"/>
  <c r="D59" i="8"/>
  <c r="D58" i="8"/>
  <c r="D55" i="8"/>
  <c r="D54" i="8"/>
  <c r="D50" i="8"/>
  <c r="D49" i="8"/>
  <c r="D46" i="8"/>
  <c r="D45" i="8"/>
  <c r="D41" i="8"/>
  <c r="D38" i="8"/>
  <c r="D65" i="7"/>
  <c r="D64" i="7"/>
  <c r="D60" i="7"/>
  <c r="D58" i="7"/>
  <c r="D56" i="7"/>
  <c r="D51" i="7"/>
  <c r="D50" i="7"/>
  <c r="D47" i="7"/>
  <c r="D46" i="7"/>
  <c r="D42" i="7"/>
  <c r="D38" i="7"/>
  <c r="D36" i="7"/>
  <c r="D66" i="6"/>
  <c r="D64" i="6"/>
  <c r="D63" i="6"/>
  <c r="C61" i="6"/>
  <c r="D59" i="6"/>
  <c r="D58" i="6"/>
  <c r="D57" i="6"/>
  <c r="D55" i="6"/>
  <c r="D51" i="6"/>
  <c r="D50" i="6"/>
  <c r="D49" i="6"/>
  <c r="D46" i="6"/>
  <c r="D45" i="6"/>
  <c r="D41" i="6"/>
  <c r="D38" i="6"/>
  <c r="D36" i="6"/>
  <c r="E36" i="6" s="1"/>
  <c r="D65" i="5"/>
  <c r="D60" i="5"/>
  <c r="D59" i="5"/>
  <c r="D56" i="5"/>
  <c r="D54" i="5"/>
  <c r="D51" i="5"/>
  <c r="D47" i="5"/>
  <c r="D46" i="5"/>
  <c r="D45" i="5"/>
  <c r="D42" i="5"/>
  <c r="D41" i="5"/>
  <c r="D38" i="5"/>
  <c r="D36" i="5"/>
  <c r="D66" i="3"/>
  <c r="D65" i="3"/>
  <c r="D64" i="3"/>
  <c r="D63" i="3"/>
  <c r="D59" i="3"/>
  <c r="D58" i="3"/>
  <c r="D55" i="3"/>
  <c r="C53" i="3"/>
  <c r="D51" i="3"/>
  <c r="D50" i="3"/>
  <c r="D49" i="3"/>
  <c r="D47" i="3"/>
  <c r="D46" i="3"/>
  <c r="D45" i="3"/>
  <c r="D41" i="3"/>
  <c r="D38" i="3"/>
  <c r="D66" i="18"/>
  <c r="D64" i="18"/>
  <c r="D63" i="18"/>
  <c r="D62" i="18"/>
  <c r="D58" i="18"/>
  <c r="D57" i="18"/>
  <c r="D56" i="18"/>
  <c r="D54" i="18"/>
  <c r="D52" i="18"/>
  <c r="D51" i="18"/>
  <c r="D49" i="18"/>
  <c r="D45" i="18"/>
  <c r="D44" i="18"/>
  <c r="D38" i="18"/>
  <c r="D36" i="18"/>
  <c r="E36" i="18" s="1"/>
  <c r="D38" i="19"/>
  <c r="C34" i="20"/>
  <c r="E36" i="12" l="1"/>
  <c r="F36" i="12"/>
  <c r="E36" i="3"/>
  <c r="F36" i="3"/>
  <c r="E36" i="7"/>
  <c r="F36" i="7"/>
  <c r="E36" i="9"/>
  <c r="F36" i="9"/>
  <c r="E36" i="13"/>
  <c r="F36" i="13"/>
  <c r="E36" i="14"/>
  <c r="F36" i="14"/>
  <c r="E36" i="10"/>
  <c r="F36" i="10"/>
  <c r="E36" i="5"/>
  <c r="F36" i="5"/>
  <c r="E36" i="11"/>
  <c r="F36" i="11"/>
  <c r="E36" i="15"/>
  <c r="F36" i="15"/>
  <c r="E36" i="8"/>
  <c r="F36" i="8"/>
  <c r="D63" i="22"/>
  <c r="D61" i="22" s="1"/>
  <c r="C61" i="22"/>
  <c r="C53" i="8"/>
  <c r="D56" i="8"/>
  <c r="D53" i="8" s="1"/>
  <c r="C61" i="10"/>
  <c r="C39" i="8"/>
  <c r="D43" i="8"/>
  <c r="D43" i="6"/>
  <c r="C43" i="22"/>
  <c r="C40" i="22" s="1"/>
  <c r="D39" i="13"/>
  <c r="C53" i="6"/>
  <c r="C39" i="3"/>
  <c r="C61" i="3"/>
  <c r="C53" i="18"/>
  <c r="C61" i="18"/>
  <c r="C39" i="17"/>
  <c r="C61" i="17"/>
  <c r="C43" i="5"/>
  <c r="C43" i="7"/>
  <c r="D39" i="7"/>
  <c r="C39" i="9"/>
  <c r="C53" i="15"/>
  <c r="D53" i="15"/>
  <c r="D53" i="16"/>
  <c r="C53" i="16"/>
  <c r="D61" i="16"/>
  <c r="D53" i="17"/>
  <c r="C43" i="18"/>
  <c r="D55" i="18"/>
  <c r="D53" i="18" s="1"/>
  <c r="D24" i="22"/>
  <c r="D39" i="22" s="1"/>
  <c r="D53" i="22"/>
  <c r="D7" i="22"/>
  <c r="C39" i="22"/>
  <c r="D44" i="22"/>
  <c r="D43" i="22" s="1"/>
  <c r="D43" i="18"/>
  <c r="D43" i="3"/>
  <c r="D61" i="18"/>
  <c r="C43" i="3"/>
  <c r="D43" i="7"/>
  <c r="C43" i="8"/>
  <c r="D54" i="3"/>
  <c r="D53" i="3" s="1"/>
  <c r="D62" i="3"/>
  <c r="D61" i="3" s="1"/>
  <c r="C61" i="5"/>
  <c r="C53" i="7"/>
  <c r="C61" i="7"/>
  <c r="C43" i="9"/>
  <c r="D49" i="10"/>
  <c r="D43" i="10" s="1"/>
  <c r="C43" i="10"/>
  <c r="C39" i="5"/>
  <c r="D43" i="5"/>
  <c r="C43" i="6"/>
  <c r="C39" i="7"/>
  <c r="C53" i="9"/>
  <c r="D54" i="9"/>
  <c r="D53" i="9" s="1"/>
  <c r="C53" i="5"/>
  <c r="D54" i="6"/>
  <c r="D53" i="6" s="1"/>
  <c r="D62" i="6"/>
  <c r="D61" i="6" s="1"/>
  <c r="C61" i="8"/>
  <c r="D44" i="9"/>
  <c r="D43" i="9" s="1"/>
  <c r="C61" i="9"/>
  <c r="D62" i="9"/>
  <c r="D61" i="9" s="1"/>
  <c r="D41" i="11"/>
  <c r="D49" i="12"/>
  <c r="D43" i="12" s="1"/>
  <c r="C43" i="12"/>
  <c r="C43" i="14"/>
  <c r="D44" i="14"/>
  <c r="D43" i="14" s="1"/>
  <c r="C39" i="15"/>
  <c r="D53" i="5"/>
  <c r="D61" i="5"/>
  <c r="D53" i="7"/>
  <c r="D61" i="7"/>
  <c r="D61" i="8"/>
  <c r="C39" i="10"/>
  <c r="D42" i="10"/>
  <c r="D39" i="11"/>
  <c r="D43" i="11"/>
  <c r="D41" i="12"/>
  <c r="D53" i="10"/>
  <c r="D61" i="10"/>
  <c r="D53" i="11"/>
  <c r="D61" i="11"/>
  <c r="D53" i="12"/>
  <c r="D61" i="12"/>
  <c r="C61" i="13"/>
  <c r="D62" i="13"/>
  <c r="D61" i="13" s="1"/>
  <c r="C39" i="11"/>
  <c r="C43" i="11"/>
  <c r="C39" i="12"/>
  <c r="C53" i="12"/>
  <c r="C61" i="12"/>
  <c r="D64" i="15"/>
  <c r="D61" i="15" s="1"/>
  <c r="C61" i="15"/>
  <c r="C43" i="13"/>
  <c r="D44" i="13"/>
  <c r="D43" i="13" s="1"/>
  <c r="C61" i="14"/>
  <c r="D62" i="14"/>
  <c r="D61" i="14" s="1"/>
  <c r="D41" i="16"/>
  <c r="C53" i="17"/>
  <c r="C53" i="13"/>
  <c r="D54" i="13"/>
  <c r="D53" i="13" s="1"/>
  <c r="C53" i="14"/>
  <c r="D54" i="14"/>
  <c r="D53" i="14" s="1"/>
  <c r="C39" i="16"/>
  <c r="C43" i="16"/>
  <c r="D44" i="16"/>
  <c r="D43" i="16" s="1"/>
  <c r="C61" i="16"/>
  <c r="D61" i="17"/>
  <c r="C39" i="13"/>
  <c r="C39" i="14"/>
  <c r="C43" i="15"/>
  <c r="C43" i="17"/>
  <c r="D43" i="15"/>
  <c r="D43" i="17"/>
  <c r="D40" i="22" l="1"/>
  <c r="D6" i="22"/>
  <c r="C40" i="11"/>
  <c r="C40" i="10"/>
  <c r="C40" i="3"/>
  <c r="C40" i="13"/>
  <c r="D40" i="17"/>
  <c r="D39" i="5"/>
  <c r="C40" i="17"/>
  <c r="D39" i="12"/>
  <c r="D40" i="6"/>
  <c r="C40" i="6"/>
  <c r="D39" i="9"/>
  <c r="D39" i="15"/>
  <c r="D40" i="14"/>
  <c r="D40" i="8"/>
  <c r="D40" i="15"/>
  <c r="D39" i="16"/>
  <c r="D40" i="7"/>
  <c r="D39" i="14"/>
  <c r="D40" i="13"/>
  <c r="C40" i="16"/>
  <c r="C40" i="12"/>
  <c r="C40" i="8"/>
  <c r="C40" i="18"/>
  <c r="C40" i="7"/>
  <c r="D39" i="17"/>
  <c r="D40" i="9"/>
  <c r="D39" i="6"/>
  <c r="C40" i="5"/>
  <c r="D39" i="3"/>
  <c r="D40" i="5"/>
  <c r="C40" i="9"/>
  <c r="D39" i="10"/>
  <c r="D40" i="10"/>
  <c r="C40" i="15"/>
  <c r="D39" i="18"/>
  <c r="D40" i="18"/>
  <c r="D40" i="11"/>
  <c r="D40" i="3"/>
  <c r="D40" i="16"/>
  <c r="D40" i="12"/>
  <c r="C40" i="14"/>
  <c r="D39" i="8"/>
  <c r="C38" i="20" l="1"/>
  <c r="C54" i="23"/>
  <c r="F38" i="19"/>
  <c r="F38" i="18"/>
  <c r="F38" i="17"/>
  <c r="F38" i="16"/>
  <c r="F38" i="15"/>
  <c r="F38" i="14"/>
  <c r="F38" i="13"/>
  <c r="F38" i="12"/>
  <c r="F38" i="11"/>
  <c r="F38" i="10"/>
  <c r="F38" i="9"/>
  <c r="F38" i="8"/>
  <c r="F38" i="7"/>
  <c r="F38" i="6"/>
  <c r="F38" i="5"/>
  <c r="F38" i="3"/>
  <c r="F38" i="22"/>
  <c r="E38" i="18"/>
  <c r="E38" i="17"/>
  <c r="E38" i="16"/>
  <c r="E38" i="15"/>
  <c r="E38" i="14"/>
  <c r="E38" i="13"/>
  <c r="E38" i="12"/>
  <c r="E38" i="11"/>
  <c r="E38" i="10"/>
  <c r="E38" i="9"/>
  <c r="E38" i="8"/>
  <c r="E38" i="7"/>
  <c r="E38" i="6"/>
  <c r="E38" i="5"/>
  <c r="E38" i="3"/>
  <c r="F34" i="7"/>
  <c r="F34" i="16"/>
  <c r="F34" i="15"/>
  <c r="F34" i="12"/>
  <c r="F34" i="11"/>
  <c r="F34" i="8"/>
  <c r="F34" i="3"/>
  <c r="F34" i="19"/>
  <c r="E34" i="16"/>
  <c r="E34" i="15"/>
  <c r="E34" i="12"/>
  <c r="E34" i="11"/>
  <c r="E34" i="8"/>
  <c r="E34" i="7"/>
  <c r="E34" i="3"/>
  <c r="C58" i="23" l="1"/>
  <c r="D38" i="20"/>
  <c r="D58" i="23" s="1"/>
  <c r="E38" i="19"/>
  <c r="E38" i="22"/>
  <c r="E34" i="5"/>
  <c r="E34" i="9"/>
  <c r="E34" i="6"/>
  <c r="E34" i="10"/>
  <c r="E34" i="14"/>
  <c r="E34" i="18"/>
  <c r="F34" i="6"/>
  <c r="F34" i="10"/>
  <c r="F34" i="14"/>
  <c r="F34" i="18"/>
  <c r="E34" i="22"/>
  <c r="E34" i="13"/>
  <c r="E34" i="17"/>
  <c r="F34" i="22"/>
  <c r="F34" i="5"/>
  <c r="F34" i="9"/>
  <c r="F34" i="13"/>
  <c r="F34" i="17"/>
  <c r="E34" i="19"/>
  <c r="E58" i="23" l="1"/>
  <c r="F58" i="23"/>
  <c r="F38" i="20"/>
  <c r="E38" i="20"/>
  <c r="D34" i="20"/>
  <c r="F25" i="13"/>
  <c r="F14" i="12"/>
  <c r="E10" i="17"/>
  <c r="E10" i="13"/>
  <c r="E14" i="9"/>
  <c r="E12" i="19"/>
  <c r="E59" i="8"/>
  <c r="F23" i="23"/>
  <c r="F37" i="10"/>
  <c r="F82" i="23"/>
  <c r="E54" i="22"/>
  <c r="E42" i="22"/>
  <c r="F29" i="6"/>
  <c r="F11" i="6"/>
  <c r="E11" i="15"/>
  <c r="E10" i="15"/>
  <c r="E29" i="7"/>
  <c r="F29" i="8"/>
  <c r="F29" i="9"/>
  <c r="E29" i="13"/>
  <c r="E29" i="18"/>
  <c r="E29" i="19"/>
  <c r="E30" i="5"/>
  <c r="F30" i="9"/>
  <c r="E30" i="12"/>
  <c r="F30" i="16"/>
  <c r="E30" i="18"/>
  <c r="F30" i="19"/>
  <c r="F9" i="6"/>
  <c r="E9" i="7"/>
  <c r="E9" i="8"/>
  <c r="E9" i="11"/>
  <c r="E9" i="13"/>
  <c r="F9" i="17"/>
  <c r="F10" i="5"/>
  <c r="F10" i="7"/>
  <c r="F10" i="8"/>
  <c r="F10" i="9"/>
  <c r="E10" i="10"/>
  <c r="F10" i="11"/>
  <c r="F10" i="12"/>
  <c r="E10" i="14"/>
  <c r="F10" i="16"/>
  <c r="F10" i="18"/>
  <c r="D10" i="23"/>
  <c r="E10" i="23" s="1"/>
  <c r="F11" i="3"/>
  <c r="E11" i="8"/>
  <c r="F11" i="11"/>
  <c r="E11" i="13"/>
  <c r="F11" i="18"/>
  <c r="D11" i="23"/>
  <c r="E11" i="23" s="1"/>
  <c r="F9" i="15"/>
  <c r="F29" i="15"/>
  <c r="D37" i="19"/>
  <c r="E37" i="19" s="1"/>
  <c r="E59" i="22"/>
  <c r="F18" i="19"/>
  <c r="F8" i="19"/>
  <c r="F16" i="17"/>
  <c r="F12" i="13"/>
  <c r="E22" i="12"/>
  <c r="F21" i="12"/>
  <c r="E13" i="12"/>
  <c r="E22" i="11"/>
  <c r="E12" i="11"/>
  <c r="E32" i="7"/>
  <c r="E20" i="7"/>
  <c r="E13" i="7"/>
  <c r="E22" i="5"/>
  <c r="E12" i="5"/>
  <c r="F13" i="5"/>
  <c r="E22" i="3"/>
  <c r="E12" i="3"/>
  <c r="E12" i="13"/>
  <c r="E15" i="19"/>
  <c r="F14" i="16"/>
  <c r="E17" i="16"/>
  <c r="F21" i="16"/>
  <c r="E19" i="15"/>
  <c r="F21" i="15"/>
  <c r="F25" i="15"/>
  <c r="E27" i="15"/>
  <c r="E28" i="15"/>
  <c r="E32" i="15"/>
  <c r="F14" i="8"/>
  <c r="F15" i="8"/>
  <c r="F17" i="8"/>
  <c r="E20" i="8"/>
  <c r="E22" i="8"/>
  <c r="E25" i="8"/>
  <c r="F26" i="8"/>
  <c r="E32" i="8"/>
  <c r="F23" i="6"/>
  <c r="F26" i="6"/>
  <c r="E27" i="6"/>
  <c r="E31" i="6"/>
  <c r="E32" i="6"/>
  <c r="E8" i="18"/>
  <c r="F17" i="18"/>
  <c r="E18" i="18"/>
  <c r="F19" i="18"/>
  <c r="E21" i="18"/>
  <c r="E22" i="18"/>
  <c r="E23" i="18"/>
  <c r="F26" i="18"/>
  <c r="F27" i="18"/>
  <c r="C53" i="19"/>
  <c r="C43" i="19"/>
  <c r="F42" i="18"/>
  <c r="E45" i="18"/>
  <c r="F50" i="18"/>
  <c r="E52" i="18"/>
  <c r="F55" i="18"/>
  <c r="E60" i="18"/>
  <c r="F42" i="17"/>
  <c r="E44" i="17"/>
  <c r="E45" i="17"/>
  <c r="E49" i="17"/>
  <c r="F54" i="17"/>
  <c r="E58" i="17"/>
  <c r="F59" i="17"/>
  <c r="F60" i="17"/>
  <c r="E42" i="16"/>
  <c r="E45" i="16"/>
  <c r="E47" i="16"/>
  <c r="E50" i="16"/>
  <c r="F52" i="16"/>
  <c r="E54" i="16"/>
  <c r="E57" i="16"/>
  <c r="F42" i="15"/>
  <c r="E46" i="15"/>
  <c r="E48" i="15"/>
  <c r="F50" i="15"/>
  <c r="E52" i="15"/>
  <c r="E54" i="15"/>
  <c r="F55" i="15"/>
  <c r="E58" i="15"/>
  <c r="E60" i="15"/>
  <c r="F44" i="14"/>
  <c r="E47" i="14"/>
  <c r="E51" i="14"/>
  <c r="E54" i="14"/>
  <c r="E55" i="14"/>
  <c r="E58" i="14"/>
  <c r="E59" i="14"/>
  <c r="E44" i="13"/>
  <c r="F45" i="13"/>
  <c r="F49" i="13"/>
  <c r="F50" i="13"/>
  <c r="E51" i="13"/>
  <c r="E52" i="13"/>
  <c r="E54" i="13"/>
  <c r="F55" i="13"/>
  <c r="E57" i="13"/>
  <c r="F60" i="13"/>
  <c r="E44" i="12"/>
  <c r="F45" i="12"/>
  <c r="E46" i="12"/>
  <c r="E47" i="12"/>
  <c r="F49" i="12"/>
  <c r="F54" i="12"/>
  <c r="F57" i="12"/>
  <c r="E58" i="12"/>
  <c r="E59" i="12"/>
  <c r="F44" i="11"/>
  <c r="E46" i="11"/>
  <c r="E48" i="11"/>
  <c r="F49" i="11"/>
  <c r="E52" i="11"/>
  <c r="E54" i="11"/>
  <c r="E56" i="11"/>
  <c r="F59" i="11"/>
  <c r="F42" i="10"/>
  <c r="F45" i="10"/>
  <c r="F46" i="10"/>
  <c r="F47" i="10"/>
  <c r="E49" i="10"/>
  <c r="E52" i="10"/>
  <c r="E54" i="10"/>
  <c r="F55" i="10"/>
  <c r="F57" i="10"/>
  <c r="E60" i="10"/>
  <c r="E42" i="9"/>
  <c r="E44" i="9"/>
  <c r="E48" i="9"/>
  <c r="F49" i="9"/>
  <c r="E55" i="9"/>
  <c r="E56" i="9"/>
  <c r="F57" i="9"/>
  <c r="E59" i="9"/>
  <c r="F44" i="8"/>
  <c r="E45" i="8"/>
  <c r="E47" i="8"/>
  <c r="E49" i="8"/>
  <c r="F50" i="8"/>
  <c r="E51" i="8"/>
  <c r="F52" i="8"/>
  <c r="E54" i="8"/>
  <c r="E55" i="8"/>
  <c r="E60" i="8"/>
  <c r="F42" i="7"/>
  <c r="E46" i="7"/>
  <c r="F49" i="7"/>
  <c r="E54" i="7"/>
  <c r="E55" i="7"/>
  <c r="E57" i="7"/>
  <c r="F59" i="7"/>
  <c r="F60" i="7"/>
  <c r="F42" i="6"/>
  <c r="E44" i="6"/>
  <c r="F45" i="6"/>
  <c r="F46" i="6"/>
  <c r="F51" i="6"/>
  <c r="E55" i="6"/>
  <c r="E57" i="6"/>
  <c r="F59" i="6"/>
  <c r="E42" i="5"/>
  <c r="E44" i="5"/>
  <c r="E45" i="5"/>
  <c r="F46" i="5"/>
  <c r="F49" i="5"/>
  <c r="E50" i="5"/>
  <c r="E52" i="5"/>
  <c r="E56" i="5"/>
  <c r="F57" i="5"/>
  <c r="F59" i="5"/>
  <c r="F60" i="5"/>
  <c r="E42" i="3"/>
  <c r="E45" i="3"/>
  <c r="E47" i="3"/>
  <c r="F49" i="3"/>
  <c r="E50" i="3"/>
  <c r="E56" i="3"/>
  <c r="E58" i="3"/>
  <c r="D42" i="19"/>
  <c r="D44" i="19"/>
  <c r="D45" i="19"/>
  <c r="F45" i="19" s="1"/>
  <c r="D46" i="19"/>
  <c r="E46" i="19" s="1"/>
  <c r="D47" i="19"/>
  <c r="D48" i="19"/>
  <c r="D49" i="19"/>
  <c r="F49" i="19" s="1"/>
  <c r="D50" i="19"/>
  <c r="D51" i="19"/>
  <c r="D52" i="19"/>
  <c r="D54" i="19"/>
  <c r="D55" i="19"/>
  <c r="D56" i="19"/>
  <c r="D57" i="19"/>
  <c r="F57" i="19" s="1"/>
  <c r="D58" i="19"/>
  <c r="E58" i="19" s="1"/>
  <c r="D59" i="19"/>
  <c r="D60" i="19"/>
  <c r="E60" i="19" s="1"/>
  <c r="F41" i="17"/>
  <c r="E41" i="16"/>
  <c r="E41" i="15"/>
  <c r="F41" i="13"/>
  <c r="E41" i="12"/>
  <c r="E41" i="9"/>
  <c r="E41" i="8"/>
  <c r="E41" i="7"/>
  <c r="F41" i="3"/>
  <c r="D41" i="19"/>
  <c r="E41" i="19" s="1"/>
  <c r="F42" i="22"/>
  <c r="E32" i="19"/>
  <c r="D36" i="19"/>
  <c r="F36" i="19" s="1"/>
  <c r="D62" i="19"/>
  <c r="E62" i="19" s="1"/>
  <c r="D63" i="19"/>
  <c r="F63" i="19" s="1"/>
  <c r="D64" i="19"/>
  <c r="E64" i="19" s="1"/>
  <c r="D65" i="19"/>
  <c r="F65" i="19" s="1"/>
  <c r="D66" i="19"/>
  <c r="E8" i="13"/>
  <c r="E13" i="13"/>
  <c r="E19" i="13"/>
  <c r="E31" i="13"/>
  <c r="E32" i="13"/>
  <c r="F14" i="5"/>
  <c r="E16" i="5"/>
  <c r="F17" i="5"/>
  <c r="E18" i="5"/>
  <c r="F19" i="5"/>
  <c r="E20" i="5"/>
  <c r="E21" i="5"/>
  <c r="E23" i="5"/>
  <c r="F25" i="5"/>
  <c r="F27" i="5"/>
  <c r="F13" i="14"/>
  <c r="F14" i="14"/>
  <c r="F20" i="14"/>
  <c r="F22" i="14"/>
  <c r="E23" i="14"/>
  <c r="E25" i="14"/>
  <c r="F27" i="14"/>
  <c r="E28" i="14"/>
  <c r="F8" i="11"/>
  <c r="E14" i="11"/>
  <c r="E17" i="11"/>
  <c r="F19" i="11"/>
  <c r="E21" i="11"/>
  <c r="E23" i="11"/>
  <c r="E27" i="11"/>
  <c r="E28" i="11"/>
  <c r="F32" i="11"/>
  <c r="E25" i="3"/>
  <c r="E14" i="17"/>
  <c r="E18" i="17"/>
  <c r="E20" i="17"/>
  <c r="F22" i="17"/>
  <c r="E23" i="17"/>
  <c r="E26" i="17"/>
  <c r="E31" i="17"/>
  <c r="F14" i="10"/>
  <c r="F19" i="10"/>
  <c r="E20" i="10"/>
  <c r="E22" i="10"/>
  <c r="F23" i="10"/>
  <c r="F25" i="10"/>
  <c r="F26" i="10"/>
  <c r="E28" i="10"/>
  <c r="E33" i="10"/>
  <c r="F15" i="7"/>
  <c r="E17" i="7"/>
  <c r="E21" i="7"/>
  <c r="E22" i="7"/>
  <c r="E33" i="7"/>
  <c r="E13" i="19"/>
  <c r="E19" i="19"/>
  <c r="E21" i="19"/>
  <c r="F23" i="19"/>
  <c r="E27" i="19"/>
  <c r="E28" i="19"/>
  <c r="F29" i="13"/>
  <c r="E20" i="12"/>
  <c r="E23" i="12"/>
  <c r="F25" i="12"/>
  <c r="E26" i="12"/>
  <c r="E33" i="12"/>
  <c r="F8" i="9"/>
  <c r="E23" i="9"/>
  <c r="E28" i="9"/>
  <c r="E31" i="9"/>
  <c r="F9" i="18"/>
  <c r="E13" i="18"/>
  <c r="E9" i="15"/>
  <c r="E22" i="23"/>
  <c r="C22" i="20"/>
  <c r="F22" i="9"/>
  <c r="F16" i="12"/>
  <c r="E18" i="12"/>
  <c r="E16" i="9"/>
  <c r="E20" i="9"/>
  <c r="E22" i="9"/>
  <c r="E16" i="6"/>
  <c r="E37" i="17"/>
  <c r="F37" i="16"/>
  <c r="E37" i="15"/>
  <c r="F37" i="12"/>
  <c r="F37" i="11"/>
  <c r="F37" i="7"/>
  <c r="F32" i="3"/>
  <c r="E33" i="3"/>
  <c r="F18" i="15"/>
  <c r="F12" i="9"/>
  <c r="E15" i="6"/>
  <c r="F14" i="3"/>
  <c r="F23" i="3"/>
  <c r="E27" i="3"/>
  <c r="E28" i="3"/>
  <c r="F13" i="18"/>
  <c r="F31" i="18"/>
  <c r="F31" i="16"/>
  <c r="F31" i="14"/>
  <c r="F31" i="12"/>
  <c r="F31" i="10"/>
  <c r="F31" i="8"/>
  <c r="E12" i="18"/>
  <c r="F26" i="9"/>
  <c r="F32" i="18"/>
  <c r="F59" i="22"/>
  <c r="F48" i="9"/>
  <c r="F18" i="3"/>
  <c r="F28" i="3"/>
  <c r="F31" i="3"/>
  <c r="F33" i="3"/>
  <c r="F47" i="3"/>
  <c r="F48" i="3"/>
  <c r="F56" i="3"/>
  <c r="F58" i="3"/>
  <c r="E62" i="3"/>
  <c r="F62" i="3"/>
  <c r="F64" i="3"/>
  <c r="F65" i="3"/>
  <c r="F28" i="5"/>
  <c r="F33" i="5"/>
  <c r="F47" i="5"/>
  <c r="F48" i="5"/>
  <c r="F51" i="5"/>
  <c r="F56" i="5"/>
  <c r="F58" i="5"/>
  <c r="F63" i="5"/>
  <c r="E64" i="5"/>
  <c r="F64" i="5"/>
  <c r="F66" i="5"/>
  <c r="F28" i="6"/>
  <c r="F33" i="6"/>
  <c r="F47" i="6"/>
  <c r="F48" i="6"/>
  <c r="F56" i="6"/>
  <c r="F58" i="6"/>
  <c r="F62" i="6"/>
  <c r="F64" i="6"/>
  <c r="F28" i="7"/>
  <c r="F31" i="7"/>
  <c r="F33" i="7"/>
  <c r="F47" i="7"/>
  <c r="F48" i="7"/>
  <c r="F56" i="7"/>
  <c r="F58" i="7"/>
  <c r="F62" i="7"/>
  <c r="F64" i="7"/>
  <c r="F28" i="8"/>
  <c r="F33" i="8"/>
  <c r="F45" i="8"/>
  <c r="F48" i="8"/>
  <c r="F56" i="8"/>
  <c r="F58" i="8"/>
  <c r="F63" i="8"/>
  <c r="F64" i="8"/>
  <c r="E66" i="8"/>
  <c r="F28" i="9"/>
  <c r="F33" i="9"/>
  <c r="F56" i="9"/>
  <c r="F58" i="9"/>
  <c r="E64" i="9"/>
  <c r="F64" i="9"/>
  <c r="F28" i="10"/>
  <c r="F30" i="10"/>
  <c r="F33" i="10"/>
  <c r="F48" i="10"/>
  <c r="F52" i="10"/>
  <c r="F56" i="10"/>
  <c r="F58" i="10"/>
  <c r="F62" i="10"/>
  <c r="E63" i="10"/>
  <c r="F64" i="10"/>
  <c r="F28" i="11"/>
  <c r="F33" i="11"/>
  <c r="F47" i="11"/>
  <c r="F48" i="11"/>
  <c r="F56" i="11"/>
  <c r="F58" i="11"/>
  <c r="F62" i="11"/>
  <c r="F64" i="11"/>
  <c r="F66" i="11"/>
  <c r="F28" i="12"/>
  <c r="F33" i="12"/>
  <c r="F44" i="12"/>
  <c r="F47" i="12"/>
  <c r="F48" i="12"/>
  <c r="F56" i="12"/>
  <c r="F58" i="12"/>
  <c r="E60" i="12"/>
  <c r="F62" i="12"/>
  <c r="F63" i="12"/>
  <c r="F64" i="12"/>
  <c r="E16" i="13"/>
  <c r="F16" i="13"/>
  <c r="F28" i="13"/>
  <c r="F30" i="13"/>
  <c r="F33" i="13"/>
  <c r="F48" i="13"/>
  <c r="F56" i="13"/>
  <c r="F58" i="13"/>
  <c r="F62" i="13"/>
  <c r="E63" i="13"/>
  <c r="F64" i="13"/>
  <c r="F28" i="14"/>
  <c r="F33" i="14"/>
  <c r="F47" i="14"/>
  <c r="F48" i="14"/>
  <c r="E50" i="14"/>
  <c r="F56" i="14"/>
  <c r="F58" i="14"/>
  <c r="F62" i="14"/>
  <c r="E63" i="14"/>
  <c r="F64" i="14"/>
  <c r="F28" i="15"/>
  <c r="F30" i="15"/>
  <c r="F31" i="15"/>
  <c r="F33" i="15"/>
  <c r="F47" i="15"/>
  <c r="F48" i="15"/>
  <c r="F56" i="15"/>
  <c r="F58" i="15"/>
  <c r="F62" i="15"/>
  <c r="F64" i="15"/>
  <c r="F65" i="15"/>
  <c r="F28" i="16"/>
  <c r="F33" i="16"/>
  <c r="F46" i="16"/>
  <c r="F48" i="16"/>
  <c r="F56" i="16"/>
  <c r="F58" i="16"/>
  <c r="F62" i="16"/>
  <c r="F64" i="16"/>
  <c r="F28" i="17"/>
  <c r="F33" i="17"/>
  <c r="F47" i="17"/>
  <c r="F48" i="17"/>
  <c r="F56" i="17"/>
  <c r="F58" i="17"/>
  <c r="F62" i="17"/>
  <c r="E63" i="17"/>
  <c r="E64" i="17"/>
  <c r="F64" i="17"/>
  <c r="F28" i="18"/>
  <c r="E32" i="18"/>
  <c r="F33" i="18"/>
  <c r="F48" i="18"/>
  <c r="F52" i="18"/>
  <c r="F56" i="18"/>
  <c r="F58" i="18"/>
  <c r="F62" i="18"/>
  <c r="F64" i="18"/>
  <c r="F65" i="18"/>
  <c r="F28" i="19"/>
  <c r="F31" i="19"/>
  <c r="F33" i="19"/>
  <c r="F48" i="19"/>
  <c r="F56" i="19"/>
  <c r="F58" i="19"/>
  <c r="C61" i="19"/>
  <c r="F62" i="19"/>
  <c r="F64" i="19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3" i="20"/>
  <c r="C26" i="20"/>
  <c r="C27" i="20"/>
  <c r="C28" i="20"/>
  <c r="C29" i="20"/>
  <c r="C30" i="20"/>
  <c r="C31" i="20"/>
  <c r="C32" i="20"/>
  <c r="C33" i="20"/>
  <c r="C36" i="20"/>
  <c r="C37" i="20"/>
  <c r="C41" i="20"/>
  <c r="C42" i="20"/>
  <c r="C44" i="20"/>
  <c r="C45" i="20"/>
  <c r="C46" i="20"/>
  <c r="C47" i="20"/>
  <c r="C48" i="20"/>
  <c r="C49" i="20"/>
  <c r="C50" i="20"/>
  <c r="C51" i="20"/>
  <c r="C52" i="20"/>
  <c r="C54" i="20"/>
  <c r="C55" i="20"/>
  <c r="C56" i="20"/>
  <c r="C57" i="20"/>
  <c r="C58" i="20"/>
  <c r="C59" i="20"/>
  <c r="C60" i="20"/>
  <c r="C62" i="20"/>
  <c r="C63" i="20"/>
  <c r="C64" i="20"/>
  <c r="C65" i="20"/>
  <c r="C66" i="20"/>
  <c r="F17" i="22"/>
  <c r="E18" i="22"/>
  <c r="F18" i="22"/>
  <c r="F19" i="22"/>
  <c r="F20" i="22"/>
  <c r="F21" i="22"/>
  <c r="E23" i="22"/>
  <c r="F23" i="22"/>
  <c r="F25" i="22"/>
  <c r="F26" i="22"/>
  <c r="E27" i="22"/>
  <c r="F27" i="22"/>
  <c r="F29" i="22"/>
  <c r="F30" i="22"/>
  <c r="F31" i="22"/>
  <c r="F32" i="22"/>
  <c r="F33" i="22"/>
  <c r="F36" i="22"/>
  <c r="E37" i="22"/>
  <c r="F37" i="22"/>
  <c r="E46" i="22"/>
  <c r="F46" i="22"/>
  <c r="F48" i="22"/>
  <c r="E49" i="22"/>
  <c r="E56" i="22"/>
  <c r="F56" i="22"/>
  <c r="F58" i="22"/>
  <c r="E60" i="22"/>
  <c r="F62" i="22"/>
  <c r="E63" i="22"/>
  <c r="F64" i="22"/>
  <c r="F65" i="22"/>
  <c r="E66" i="22"/>
  <c r="F66" i="22"/>
  <c r="C6" i="23"/>
  <c r="D7" i="23"/>
  <c r="E7" i="23" s="1"/>
  <c r="D8" i="23"/>
  <c r="E8" i="23" s="1"/>
  <c r="C9" i="23"/>
  <c r="F10" i="23"/>
  <c r="F11" i="23"/>
  <c r="C12" i="23"/>
  <c r="D13" i="23"/>
  <c r="F13" i="23" s="1"/>
  <c r="D14" i="23"/>
  <c r="E14" i="23" s="1"/>
  <c r="C15" i="23"/>
  <c r="D16" i="23"/>
  <c r="E16" i="23" s="1"/>
  <c r="D17" i="23"/>
  <c r="F17" i="23" s="1"/>
  <c r="D18" i="23"/>
  <c r="E18" i="23" s="1"/>
  <c r="D20" i="23"/>
  <c r="E20" i="23" s="1"/>
  <c r="D21" i="23"/>
  <c r="E21" i="23" s="1"/>
  <c r="C88" i="23"/>
  <c r="D89" i="23"/>
  <c r="E89" i="23" s="1"/>
  <c r="D90" i="23"/>
  <c r="E90" i="23" s="1"/>
  <c r="C25" i="20"/>
  <c r="F50" i="9"/>
  <c r="F47" i="9"/>
  <c r="F16" i="15"/>
  <c r="F18" i="12"/>
  <c r="F54" i="22"/>
  <c r="F12" i="18"/>
  <c r="E26" i="9"/>
  <c r="F14" i="15"/>
  <c r="E14" i="15"/>
  <c r="F15" i="15"/>
  <c r="E18" i="15"/>
  <c r="F63" i="22"/>
  <c r="F41" i="22"/>
  <c r="F47" i="22"/>
  <c r="E41" i="22"/>
  <c r="E64" i="22"/>
  <c r="E62" i="22"/>
  <c r="E50" i="22"/>
  <c r="E45" i="22"/>
  <c r="E31" i="22"/>
  <c r="E30" i="22"/>
  <c r="E29" i="22"/>
  <c r="E48" i="12"/>
  <c r="E47" i="6"/>
  <c r="F31" i="5"/>
  <c r="E13" i="6"/>
  <c r="F31" i="13"/>
  <c r="E15" i="15"/>
  <c r="F31" i="17"/>
  <c r="F31" i="11"/>
  <c r="F31" i="9"/>
  <c r="E19" i="3"/>
  <c r="F19" i="3"/>
  <c r="F31" i="6"/>
  <c r="E15" i="10"/>
  <c r="F15" i="6"/>
  <c r="E19" i="9"/>
  <c r="E49" i="7"/>
  <c r="E15" i="12"/>
  <c r="E18" i="3"/>
  <c r="E12" i="9"/>
  <c r="F7" i="16"/>
  <c r="F11" i="15"/>
  <c r="F21" i="6"/>
  <c r="E21" i="6"/>
  <c r="F17" i="15"/>
  <c r="E17" i="15"/>
  <c r="E13" i="15"/>
  <c r="F12" i="15"/>
  <c r="E25" i="9"/>
  <c r="F13" i="15"/>
  <c r="F16" i="6"/>
  <c r="E12" i="15"/>
  <c r="F30" i="8"/>
  <c r="F20" i="9"/>
  <c r="E16" i="15"/>
  <c r="E16" i="12"/>
  <c r="F13" i="6"/>
  <c r="F16" i="9"/>
  <c r="E20" i="6"/>
  <c r="F20" i="6"/>
  <c r="E12" i="17"/>
  <c r="F12" i="6"/>
  <c r="E12" i="6"/>
  <c r="F32" i="9"/>
  <c r="F17" i="6"/>
  <c r="E32" i="9"/>
  <c r="E17" i="6"/>
  <c r="F8" i="6"/>
  <c r="E8" i="6"/>
  <c r="E14" i="6"/>
  <c r="F14" i="6"/>
  <c r="E19" i="6"/>
  <c r="F19" i="6"/>
  <c r="F30" i="12"/>
  <c r="E12" i="8"/>
  <c r="F18" i="6"/>
  <c r="E18" i="6"/>
  <c r="F14" i="9"/>
  <c r="F18" i="9"/>
  <c r="E18" i="9"/>
  <c r="F22" i="22"/>
  <c r="E22" i="22"/>
  <c r="F45" i="22"/>
  <c r="F49" i="22"/>
  <c r="E58" i="22"/>
  <c r="F50" i="22"/>
  <c r="F21" i="9"/>
  <c r="E21" i="9"/>
  <c r="E17" i="9"/>
  <c r="F13" i="9"/>
  <c r="E13" i="9"/>
  <c r="F19" i="12"/>
  <c r="E19" i="12"/>
  <c r="F15" i="12"/>
  <c r="F17" i="13"/>
  <c r="F17" i="9"/>
  <c r="F15" i="18"/>
  <c r="E15" i="18"/>
  <c r="E11" i="18"/>
  <c r="F27" i="9"/>
  <c r="E27" i="9"/>
  <c r="F23" i="9"/>
  <c r="E15" i="9"/>
  <c r="E11" i="9"/>
  <c r="F25" i="9"/>
  <c r="F15" i="9"/>
  <c r="F14" i="18"/>
  <c r="E14" i="18"/>
  <c r="F10" i="17"/>
  <c r="F18" i="13"/>
  <c r="E10" i="9"/>
  <c r="F14" i="13"/>
  <c r="E14" i="13"/>
  <c r="F19" i="9"/>
  <c r="F12" i="17"/>
  <c r="E11" i="17"/>
  <c r="F11" i="17"/>
  <c r="F15" i="13"/>
  <c r="E18" i="13"/>
  <c r="F13" i="17"/>
  <c r="E13" i="17"/>
  <c r="E22" i="14"/>
  <c r="F20" i="13"/>
  <c r="E15" i="13"/>
  <c r="F21" i="13"/>
  <c r="E21" i="13"/>
  <c r="F19" i="13"/>
  <c r="F13" i="13"/>
  <c r="E20" i="13"/>
  <c r="F23" i="13"/>
  <c r="E23" i="13"/>
  <c r="E17" i="13"/>
  <c r="F22" i="13"/>
  <c r="E22" i="13"/>
  <c r="F9" i="13"/>
  <c r="F9" i="19"/>
  <c r="E55" i="10"/>
  <c r="F59" i="14"/>
  <c r="F44" i="16"/>
  <c r="F42" i="11"/>
  <c r="E50" i="10"/>
  <c r="F50" i="10"/>
  <c r="F15" i="17"/>
  <c r="E14" i="12"/>
  <c r="E17" i="12"/>
  <c r="F17" i="12"/>
  <c r="F26" i="7"/>
  <c r="E26" i="7"/>
  <c r="E25" i="7"/>
  <c r="F25" i="7"/>
  <c r="E9" i="18"/>
  <c r="F10" i="19"/>
  <c r="F10" i="13"/>
  <c r="E10" i="18"/>
  <c r="E10" i="19"/>
  <c r="F11" i="9"/>
  <c r="F11" i="13"/>
  <c r="F11" i="19"/>
  <c r="E11" i="19"/>
  <c r="F10" i="15"/>
  <c r="E9" i="6"/>
  <c r="E9" i="19"/>
  <c r="E30" i="6"/>
  <c r="E11" i="6"/>
  <c r="E10" i="6"/>
  <c r="F10" i="6"/>
  <c r="F52" i="22"/>
  <c r="F12" i="19"/>
  <c r="F21" i="23" l="1"/>
  <c r="E36" i="19"/>
  <c r="C91" i="23"/>
  <c r="C84" i="23"/>
  <c r="C78" i="23"/>
  <c r="C73" i="23"/>
  <c r="C65" i="23"/>
  <c r="C50" i="23"/>
  <c r="C46" i="23"/>
  <c r="C39" i="23"/>
  <c r="C45" i="23"/>
  <c r="C87" i="23"/>
  <c r="C81" i="23"/>
  <c r="C77" i="23"/>
  <c r="C72" i="23"/>
  <c r="C68" i="23"/>
  <c r="C63" i="23"/>
  <c r="C49" i="23"/>
  <c r="C43" i="23"/>
  <c r="C38" i="23"/>
  <c r="C86" i="23"/>
  <c r="C80" i="23"/>
  <c r="C76" i="23"/>
  <c r="C71" i="23"/>
  <c r="C67" i="23"/>
  <c r="C62" i="23"/>
  <c r="C52" i="23"/>
  <c r="C41" i="23"/>
  <c r="C37" i="23"/>
  <c r="C42" i="23"/>
  <c r="C85" i="23"/>
  <c r="C79" i="23"/>
  <c r="C66" i="23"/>
  <c r="C57" i="23"/>
  <c r="C51" i="23"/>
  <c r="C47" i="23"/>
  <c r="C40" i="23"/>
  <c r="D54" i="23"/>
  <c r="F34" i="20"/>
  <c r="F25" i="19"/>
  <c r="E24" i="19"/>
  <c r="F60" i="10"/>
  <c r="E46" i="3"/>
  <c r="E58" i="8"/>
  <c r="E19" i="14"/>
  <c r="F12" i="8"/>
  <c r="E50" i="18"/>
  <c r="F9" i="23"/>
  <c r="E7" i="14"/>
  <c r="F27" i="7"/>
  <c r="E7" i="17"/>
  <c r="E44" i="7"/>
  <c r="E7" i="15"/>
  <c r="E7" i="10"/>
  <c r="E7" i="16"/>
  <c r="E7" i="6"/>
  <c r="E7" i="19"/>
  <c r="F59" i="18"/>
  <c r="F50" i="19"/>
  <c r="F25" i="8"/>
  <c r="F29" i="18"/>
  <c r="E26" i="18"/>
  <c r="E54" i="17"/>
  <c r="C40" i="19"/>
  <c r="E34" i="20"/>
  <c r="E11" i="11"/>
  <c r="E57" i="12"/>
  <c r="F41" i="8"/>
  <c r="E55" i="18"/>
  <c r="E42" i="15"/>
  <c r="F44" i="6"/>
  <c r="F8" i="14"/>
  <c r="E8" i="14"/>
  <c r="E15" i="17"/>
  <c r="E21" i="16"/>
  <c r="E48" i="8"/>
  <c r="E48" i="16"/>
  <c r="F13" i="8"/>
  <c r="F90" i="23"/>
  <c r="F37" i="15"/>
  <c r="F29" i="11"/>
  <c r="F17" i="16"/>
  <c r="F29" i="7"/>
  <c r="F25" i="11"/>
  <c r="F26" i="14"/>
  <c r="E66" i="11"/>
  <c r="E29" i="14"/>
  <c r="F55" i="7"/>
  <c r="F59" i="8"/>
  <c r="F11" i="8"/>
  <c r="E59" i="16"/>
  <c r="D6" i="23"/>
  <c r="E6" i="23" s="1"/>
  <c r="E19" i="11"/>
  <c r="F29" i="14"/>
  <c r="E11" i="12"/>
  <c r="F13" i="16"/>
  <c r="E49" i="11"/>
  <c r="E14" i="14"/>
  <c r="E37" i="11"/>
  <c r="F7" i="15"/>
  <c r="E58" i="9"/>
  <c r="E45" i="9"/>
  <c r="F59" i="12"/>
  <c r="F55" i="11"/>
  <c r="E33" i="5"/>
  <c r="E8" i="11"/>
  <c r="F27" i="13"/>
  <c r="E33" i="9"/>
  <c r="E42" i="17"/>
  <c r="F37" i="6"/>
  <c r="F65" i="10"/>
  <c r="F57" i="18"/>
  <c r="F22" i="3"/>
  <c r="F42" i="12"/>
  <c r="F54" i="9"/>
  <c r="F22" i="10"/>
  <c r="E62" i="17"/>
  <c r="E37" i="6"/>
  <c r="E49" i="3"/>
  <c r="F66" i="10"/>
  <c r="F25" i="23"/>
  <c r="F20" i="23"/>
  <c r="E54" i="9"/>
  <c r="E42" i="6"/>
  <c r="F44" i="7"/>
  <c r="F57" i="8"/>
  <c r="F57" i="7"/>
  <c r="E46" i="5"/>
  <c r="E23" i="6"/>
  <c r="F45" i="9"/>
  <c r="E51" i="12"/>
  <c r="E45" i="10"/>
  <c r="E55" i="11"/>
  <c r="E45" i="19"/>
  <c r="F25" i="14"/>
  <c r="E27" i="13"/>
  <c r="E15" i="11"/>
  <c r="F7" i="6"/>
  <c r="E25" i="11"/>
  <c r="E52" i="7"/>
  <c r="E52" i="8"/>
  <c r="F52" i="7"/>
  <c r="F12" i="11"/>
  <c r="F19" i="14"/>
  <c r="E44" i="8"/>
  <c r="E41" i="3"/>
  <c r="E56" i="6"/>
  <c r="E21" i="14"/>
  <c r="E29" i="16"/>
  <c r="F9" i="14"/>
  <c r="E41" i="13"/>
  <c r="E55" i="16"/>
  <c r="E51" i="16"/>
  <c r="E49" i="9"/>
  <c r="E54" i="3"/>
  <c r="F26" i="5"/>
  <c r="F29" i="16"/>
  <c r="F23" i="17"/>
  <c r="E33" i="8"/>
  <c r="E57" i="8"/>
  <c r="F51" i="13"/>
  <c r="E56" i="12"/>
  <c r="F11" i="10"/>
  <c r="E48" i="5"/>
  <c r="F65" i="8"/>
  <c r="E9" i="10"/>
  <c r="E46" i="10"/>
  <c r="E52" i="6"/>
  <c r="F41" i="7"/>
  <c r="F51" i="3"/>
  <c r="F49" i="17"/>
  <c r="E59" i="18"/>
  <c r="E49" i="13"/>
  <c r="E47" i="15"/>
  <c r="E33" i="14"/>
  <c r="E13" i="5"/>
  <c r="F20" i="8"/>
  <c r="E31" i="15"/>
  <c r="E58" i="7"/>
  <c r="F19" i="15"/>
  <c r="F50" i="14"/>
  <c r="E65" i="8"/>
  <c r="E53" i="22"/>
  <c r="E11" i="10"/>
  <c r="E44" i="15"/>
  <c r="E12" i="10"/>
  <c r="E25" i="16"/>
  <c r="E55" i="13"/>
  <c r="E66" i="5"/>
  <c r="F9" i="10"/>
  <c r="E30" i="15"/>
  <c r="E32" i="5"/>
  <c r="E42" i="11"/>
  <c r="F54" i="13"/>
  <c r="E44" i="11"/>
  <c r="E45" i="12"/>
  <c r="F60" i="9"/>
  <c r="F15" i="14"/>
  <c r="E17" i="18"/>
  <c r="E31" i="8"/>
  <c r="E56" i="15"/>
  <c r="E65" i="18"/>
  <c r="E66" i="10"/>
  <c r="F37" i="17"/>
  <c r="E64" i="7"/>
  <c r="E51" i="5"/>
  <c r="F9" i="11"/>
  <c r="F55" i="6"/>
  <c r="F7" i="13"/>
  <c r="E23" i="7"/>
  <c r="F26" i="16"/>
  <c r="E47" i="17"/>
  <c r="E13" i="3"/>
  <c r="E32" i="3"/>
  <c r="E37" i="16"/>
  <c r="E22" i="6"/>
  <c r="F30" i="14"/>
  <c r="E10" i="5"/>
  <c r="E32" i="12"/>
  <c r="F59" i="13"/>
  <c r="F52" i="14"/>
  <c r="E44" i="3"/>
  <c r="F46" i="13"/>
  <c r="F42" i="3"/>
  <c r="F44" i="5"/>
  <c r="F46" i="12"/>
  <c r="F51" i="7"/>
  <c r="E14" i="5"/>
  <c r="E27" i="5"/>
  <c r="E29" i="11"/>
  <c r="F8" i="7"/>
  <c r="F23" i="7"/>
  <c r="F12" i="10"/>
  <c r="F18" i="5"/>
  <c r="E15" i="14"/>
  <c r="F17" i="7"/>
  <c r="E18" i="7"/>
  <c r="E26" i="6"/>
  <c r="F19" i="16"/>
  <c r="E46" i="13"/>
  <c r="E56" i="19"/>
  <c r="E21" i="8"/>
  <c r="F17" i="3"/>
  <c r="F41" i="11"/>
  <c r="F49" i="15"/>
  <c r="E8" i="7"/>
  <c r="F52" i="15"/>
  <c r="E37" i="10"/>
  <c r="E48" i="14"/>
  <c r="F8" i="18"/>
  <c r="E18" i="8"/>
  <c r="E30" i="19"/>
  <c r="F10" i="14"/>
  <c r="F52" i="3"/>
  <c r="F46" i="7"/>
  <c r="E48" i="18"/>
  <c r="E54" i="12"/>
  <c r="E17" i="5"/>
  <c r="E8" i="5"/>
  <c r="F21" i="5"/>
  <c r="F17" i="11"/>
  <c r="F8" i="5"/>
  <c r="F13" i="19"/>
  <c r="E17" i="8"/>
  <c r="F23" i="18"/>
  <c r="F26" i="12"/>
  <c r="E19" i="10"/>
  <c r="E50" i="13"/>
  <c r="E62" i="10"/>
  <c r="F22" i="6"/>
  <c r="F20" i="10"/>
  <c r="F21" i="11"/>
  <c r="E41" i="11"/>
  <c r="E65" i="3"/>
  <c r="E26" i="16"/>
  <c r="E24" i="13"/>
  <c r="F32" i="12"/>
  <c r="E63" i="18"/>
  <c r="F66" i="14"/>
  <c r="E37" i="3"/>
  <c r="F37" i="9"/>
  <c r="E37" i="9"/>
  <c r="E45" i="14"/>
  <c r="E56" i="16"/>
  <c r="F42" i="16"/>
  <c r="E54" i="18"/>
  <c r="F54" i="18"/>
  <c r="F25" i="18"/>
  <c r="E25" i="18"/>
  <c r="F20" i="18"/>
  <c r="E16" i="18"/>
  <c r="E28" i="8"/>
  <c r="E19" i="8"/>
  <c r="F8" i="8"/>
  <c r="F22" i="15"/>
  <c r="E22" i="15"/>
  <c r="F15" i="16"/>
  <c r="E15" i="16"/>
  <c r="E12" i="12"/>
  <c r="F12" i="12"/>
  <c r="F46" i="15"/>
  <c r="F44" i="17"/>
  <c r="F45" i="18"/>
  <c r="E63" i="19"/>
  <c r="E15" i="8"/>
  <c r="F20" i="16"/>
  <c r="E26" i="19"/>
  <c r="F26" i="19"/>
  <c r="F21" i="7"/>
  <c r="F16" i="7"/>
  <c r="E16" i="7"/>
  <c r="E60" i="13"/>
  <c r="F47" i="13"/>
  <c r="E47" i="13"/>
  <c r="E42" i="13"/>
  <c r="F42" i="13"/>
  <c r="F54" i="15"/>
  <c r="F45" i="15"/>
  <c r="E51" i="17"/>
  <c r="E7" i="18"/>
  <c r="F7" i="18"/>
  <c r="E28" i="18"/>
  <c r="F27" i="8"/>
  <c r="E27" i="8"/>
  <c r="E14" i="8"/>
  <c r="E52" i="3"/>
  <c r="E54" i="5"/>
  <c r="F51" i="8"/>
  <c r="F51" i="16"/>
  <c r="F50" i="12"/>
  <c r="E55" i="15"/>
  <c r="E44" i="18"/>
  <c r="E32" i="17"/>
  <c r="F16" i="18"/>
  <c r="F27" i="6"/>
  <c r="F32" i="15"/>
  <c r="E28" i="6"/>
  <c r="E49" i="5"/>
  <c r="E52" i="14"/>
  <c r="E58" i="5"/>
  <c r="E50" i="12"/>
  <c r="E60" i="17"/>
  <c r="F44" i="18"/>
  <c r="F59" i="15"/>
  <c r="E57" i="9"/>
  <c r="E14" i="10"/>
  <c r="F20" i="19"/>
  <c r="F32" i="7"/>
  <c r="F21" i="17"/>
  <c r="E31" i="7"/>
  <c r="E19" i="16"/>
  <c r="E56" i="17"/>
  <c r="E50" i="15"/>
  <c r="E57" i="18"/>
  <c r="E62" i="12"/>
  <c r="F27" i="3"/>
  <c r="F49" i="18"/>
  <c r="F65" i="12"/>
  <c r="F62" i="9"/>
  <c r="E62" i="9"/>
  <c r="E33" i="19"/>
  <c r="F22" i="12"/>
  <c r="E22" i="16"/>
  <c r="F22" i="16"/>
  <c r="E10" i="8"/>
  <c r="E30" i="17"/>
  <c r="F30" i="17"/>
  <c r="E30" i="8"/>
  <c r="E29" i="5"/>
  <c r="E29" i="15"/>
  <c r="F52" i="13"/>
  <c r="E48" i="13"/>
  <c r="E60" i="16"/>
  <c r="E58" i="18"/>
  <c r="F27" i="15"/>
  <c r="E8" i="15"/>
  <c r="F8" i="15"/>
  <c r="F27" i="16"/>
  <c r="E27" i="16"/>
  <c r="F57" i="13"/>
  <c r="E19" i="5"/>
  <c r="E31" i="5"/>
  <c r="F32" i="13"/>
  <c r="E23" i="8"/>
  <c r="F45" i="14"/>
  <c r="E28" i="5"/>
  <c r="F41" i="5"/>
  <c r="E41" i="5"/>
  <c r="E48" i="19"/>
  <c r="F45" i="11"/>
  <c r="E45" i="11"/>
  <c r="F55" i="12"/>
  <c r="E55" i="12"/>
  <c r="F57" i="14"/>
  <c r="E57" i="14"/>
  <c r="E19" i="18"/>
  <c r="F22" i="8"/>
  <c r="F26" i="15"/>
  <c r="E26" i="15"/>
  <c r="E32" i="16"/>
  <c r="F32" i="16"/>
  <c r="F44" i="10"/>
  <c r="F22" i="11"/>
  <c r="F16" i="19"/>
  <c r="F18" i="8"/>
  <c r="E41" i="18"/>
  <c r="F51" i="17"/>
  <c r="E20" i="16"/>
  <c r="F66" i="17"/>
  <c r="E66" i="17"/>
  <c r="F60" i="16"/>
  <c r="F63" i="3"/>
  <c r="E63" i="3"/>
  <c r="E19" i="7"/>
  <c r="F19" i="7"/>
  <c r="E13" i="10"/>
  <c r="E25" i="17"/>
  <c r="F20" i="17"/>
  <c r="C39" i="19"/>
  <c r="E32" i="11"/>
  <c r="E27" i="14"/>
  <c r="E59" i="7"/>
  <c r="F57" i="11"/>
  <c r="E57" i="11"/>
  <c r="F52" i="11"/>
  <c r="E33" i="6"/>
  <c r="E7" i="5"/>
  <c r="F17" i="14"/>
  <c r="F46" i="8"/>
  <c r="E47" i="9"/>
  <c r="F51" i="10"/>
  <c r="E12" i="7"/>
  <c r="E7" i="12"/>
  <c r="F41" i="10"/>
  <c r="E41" i="10"/>
  <c r="F9" i="3"/>
  <c r="E24" i="22"/>
  <c r="F13" i="3"/>
  <c r="E50" i="8"/>
  <c r="E60" i="9"/>
  <c r="E55" i="19"/>
  <c r="E56" i="10"/>
  <c r="E65" i="19"/>
  <c r="E18" i="10"/>
  <c r="E31" i="3"/>
  <c r="E37" i="8"/>
  <c r="F37" i="13"/>
  <c r="E42" i="14"/>
  <c r="F45" i="16"/>
  <c r="E59" i="17"/>
  <c r="F51" i="18"/>
  <c r="E7" i="8"/>
  <c r="F7" i="8"/>
  <c r="E27" i="18"/>
  <c r="E31" i="16"/>
  <c r="F30" i="5"/>
  <c r="F30" i="6"/>
  <c r="E30" i="10"/>
  <c r="E11" i="5"/>
  <c r="F11" i="5"/>
  <c r="F12" i="5"/>
  <c r="E9" i="12"/>
  <c r="F47" i="19"/>
  <c r="F44" i="15"/>
  <c r="E51" i="10"/>
  <c r="E50" i="19"/>
  <c r="E47" i="19"/>
  <c r="E20" i="14"/>
  <c r="F15" i="11"/>
  <c r="E20" i="15"/>
  <c r="F32" i="6"/>
  <c r="E8" i="16"/>
  <c r="E33" i="16"/>
  <c r="E13" i="16"/>
  <c r="F25" i="16"/>
  <c r="E25" i="15"/>
  <c r="E46" i="8"/>
  <c r="E57" i="15"/>
  <c r="E13" i="14"/>
  <c r="E51" i="3"/>
  <c r="F42" i="9"/>
  <c r="E55" i="17"/>
  <c r="F42" i="14"/>
  <c r="E64" i="11"/>
  <c r="F60" i="8"/>
  <c r="F55" i="8"/>
  <c r="F15" i="19"/>
  <c r="E15" i="7"/>
  <c r="E7" i="7"/>
  <c r="F7" i="7"/>
  <c r="E8" i="10"/>
  <c r="F8" i="10"/>
  <c r="F55" i="19"/>
  <c r="E50" i="6"/>
  <c r="F50" i="6"/>
  <c r="E42" i="7"/>
  <c r="E56" i="8"/>
  <c r="E48" i="10"/>
  <c r="E64" i="13"/>
  <c r="F7" i="11"/>
  <c r="E21" i="10"/>
  <c r="F42" i="19"/>
  <c r="E42" i="19"/>
  <c r="E51" i="9"/>
  <c r="E7" i="9"/>
  <c r="F7" i="9"/>
  <c r="F23" i="11"/>
  <c r="F21" i="10"/>
  <c r="E26" i="10"/>
  <c r="E41" i="17"/>
  <c r="E63" i="12"/>
  <c r="E16" i="3"/>
  <c r="F16" i="3"/>
  <c r="E58" i="16"/>
  <c r="F20" i="7"/>
  <c r="F13" i="11"/>
  <c r="E30" i="14"/>
  <c r="E30" i="16"/>
  <c r="F12" i="7"/>
  <c r="F9" i="12"/>
  <c r="E21" i="12"/>
  <c r="E9" i="17"/>
  <c r="F20" i="5"/>
  <c r="F15" i="5"/>
  <c r="F27" i="11"/>
  <c r="E17" i="14"/>
  <c r="F9" i="8"/>
  <c r="E26" i="8"/>
  <c r="E9" i="3"/>
  <c r="F20" i="15"/>
  <c r="E13" i="11"/>
  <c r="E37" i="13"/>
  <c r="E45" i="6"/>
  <c r="E58" i="6"/>
  <c r="F18" i="10"/>
  <c r="E62" i="14"/>
  <c r="F63" i="10"/>
  <c r="E66" i="9"/>
  <c r="F66" i="9"/>
  <c r="F63" i="9"/>
  <c r="E63" i="9"/>
  <c r="F51" i="9"/>
  <c r="F52" i="5"/>
  <c r="F21" i="3"/>
  <c r="F15" i="3"/>
  <c r="E15" i="3"/>
  <c r="F37" i="14"/>
  <c r="E37" i="14"/>
  <c r="F37" i="18"/>
  <c r="E37" i="18"/>
  <c r="F21" i="8"/>
  <c r="E23" i="19"/>
  <c r="E31" i="11"/>
  <c r="E59" i="11"/>
  <c r="E50" i="11"/>
  <c r="F50" i="11"/>
  <c r="F60" i="12"/>
  <c r="F55" i="14"/>
  <c r="E52" i="16"/>
  <c r="F45" i="17"/>
  <c r="F46" i="18"/>
  <c r="E46" i="18"/>
  <c r="F21" i="18"/>
  <c r="F25" i="6"/>
  <c r="E25" i="6"/>
  <c r="F16" i="8"/>
  <c r="E16" i="8"/>
  <c r="F23" i="15"/>
  <c r="E16" i="16"/>
  <c r="F16" i="16"/>
  <c r="F8" i="17"/>
  <c r="E8" i="17"/>
  <c r="F53" i="22"/>
  <c r="E10" i="3"/>
  <c r="F8" i="23"/>
  <c r="F89" i="23"/>
  <c r="F7" i="23"/>
  <c r="D88" i="23"/>
  <c r="E88" i="23" s="1"/>
  <c r="E82" i="23"/>
  <c r="E23" i="23"/>
  <c r="F22" i="23"/>
  <c r="F18" i="23"/>
  <c r="F14" i="23"/>
  <c r="C19" i="23"/>
  <c r="F24" i="22"/>
  <c r="F54" i="3"/>
  <c r="F45" i="3"/>
  <c r="E23" i="3"/>
  <c r="E17" i="3"/>
  <c r="F37" i="3"/>
  <c r="E21" i="3"/>
  <c r="F50" i="3"/>
  <c r="D55" i="20"/>
  <c r="E55" i="20" s="1"/>
  <c r="E59" i="5"/>
  <c r="F54" i="5"/>
  <c r="F45" i="5"/>
  <c r="E26" i="5"/>
  <c r="E15" i="5"/>
  <c r="D10" i="20"/>
  <c r="E57" i="5"/>
  <c r="F7" i="5"/>
  <c r="E63" i="5"/>
  <c r="F23" i="5"/>
  <c r="F57" i="6"/>
  <c r="E59" i="6"/>
  <c r="F52" i="6"/>
  <c r="E48" i="6"/>
  <c r="E41" i="6"/>
  <c r="F41" i="6"/>
  <c r="F54" i="7"/>
  <c r="F13" i="7"/>
  <c r="F18" i="7"/>
  <c r="E51" i="7"/>
  <c r="E47" i="7"/>
  <c r="F32" i="8"/>
  <c r="E8" i="8"/>
  <c r="F19" i="8"/>
  <c r="F54" i="8"/>
  <c r="F37" i="8"/>
  <c r="E13" i="8"/>
  <c r="F23" i="8"/>
  <c r="F65" i="9"/>
  <c r="E65" i="9"/>
  <c r="F13" i="10"/>
  <c r="E65" i="10"/>
  <c r="E58" i="10"/>
  <c r="F10" i="10"/>
  <c r="E44" i="10"/>
  <c r="F49" i="10"/>
  <c r="E18" i="11"/>
  <c r="E7" i="11"/>
  <c r="F14" i="11"/>
  <c r="F18" i="11"/>
  <c r="E33" i="11"/>
  <c r="F51" i="12"/>
  <c r="F7" i="12"/>
  <c r="E28" i="12"/>
  <c r="E37" i="12"/>
  <c r="E65" i="12"/>
  <c r="E42" i="12"/>
  <c r="E49" i="12"/>
  <c r="D11" i="20"/>
  <c r="E59" i="13"/>
  <c r="E45" i="13"/>
  <c r="E56" i="14"/>
  <c r="E66" i="14"/>
  <c r="F63" i="14"/>
  <c r="F65" i="14"/>
  <c r="F12" i="14"/>
  <c r="D12" i="20"/>
  <c r="E9" i="14"/>
  <c r="F21" i="14"/>
  <c r="E12" i="14"/>
  <c r="E51" i="15"/>
  <c r="E21" i="15"/>
  <c r="E49" i="15"/>
  <c r="E23" i="15"/>
  <c r="D54" i="20"/>
  <c r="D75" i="23" s="1"/>
  <c r="D60" i="20"/>
  <c r="D81" i="23" s="1"/>
  <c r="E59" i="15"/>
  <c r="F51" i="15"/>
  <c r="E33" i="15"/>
  <c r="E45" i="15"/>
  <c r="F55" i="16"/>
  <c r="E44" i="16"/>
  <c r="F57" i="16"/>
  <c r="F59" i="16"/>
  <c r="E14" i="16"/>
  <c r="E46" i="16"/>
  <c r="D48" i="20"/>
  <c r="E48" i="20" s="1"/>
  <c r="F8" i="16"/>
  <c r="D52" i="20"/>
  <c r="E52" i="20" s="1"/>
  <c r="F25" i="17"/>
  <c r="F14" i="17"/>
  <c r="F7" i="17"/>
  <c r="E33" i="17"/>
  <c r="F55" i="17"/>
  <c r="D37" i="20"/>
  <c r="F37" i="20" s="1"/>
  <c r="E57" i="17"/>
  <c r="D47" i="20"/>
  <c r="D68" i="23" s="1"/>
  <c r="F68" i="23" s="1"/>
  <c r="D58" i="20"/>
  <c r="D79" i="23" s="1"/>
  <c r="F79" i="23" s="1"/>
  <c r="F18" i="18"/>
  <c r="E42" i="18"/>
  <c r="E62" i="18"/>
  <c r="E20" i="18"/>
  <c r="E31" i="18"/>
  <c r="F66" i="18"/>
  <c r="F60" i="18"/>
  <c r="D56" i="20"/>
  <c r="D77" i="23" s="1"/>
  <c r="D63" i="20"/>
  <c r="F22" i="18"/>
  <c r="E66" i="18"/>
  <c r="F63" i="18"/>
  <c r="F41" i="18"/>
  <c r="F65" i="16"/>
  <c r="E65" i="16"/>
  <c r="E62" i="13"/>
  <c r="E64" i="10"/>
  <c r="E61" i="10"/>
  <c r="E65" i="5"/>
  <c r="F65" i="5"/>
  <c r="E7" i="3"/>
  <c r="E26" i="3"/>
  <c r="F26" i="3"/>
  <c r="E25" i="12"/>
  <c r="F37" i="5"/>
  <c r="E37" i="5"/>
  <c r="E20" i="11"/>
  <c r="F20" i="11"/>
  <c r="F16" i="11"/>
  <c r="E16" i="11"/>
  <c r="E32" i="14"/>
  <c r="F32" i="14"/>
  <c r="E18" i="14"/>
  <c r="F18" i="14"/>
  <c r="F41" i="16"/>
  <c r="F57" i="3"/>
  <c r="E57" i="3"/>
  <c r="F50" i="7"/>
  <c r="F47" i="8"/>
  <c r="E52" i="9"/>
  <c r="F52" i="9"/>
  <c r="E57" i="10"/>
  <c r="F51" i="11"/>
  <c r="E51" i="11"/>
  <c r="F47" i="16"/>
  <c r="F52" i="17"/>
  <c r="E52" i="17"/>
  <c r="F9" i="7"/>
  <c r="E30" i="11"/>
  <c r="F30" i="11"/>
  <c r="F30" i="7"/>
  <c r="E29" i="10"/>
  <c r="F29" i="10"/>
  <c r="F9" i="16"/>
  <c r="F11" i="14"/>
  <c r="E30" i="7"/>
  <c r="F29" i="5"/>
  <c r="F59" i="3"/>
  <c r="E10" i="12"/>
  <c r="F41" i="9"/>
  <c r="D41" i="20"/>
  <c r="F41" i="20" s="1"/>
  <c r="F41" i="12"/>
  <c r="F54" i="11"/>
  <c r="E56" i="18"/>
  <c r="D45" i="20"/>
  <c r="D66" i="23" s="1"/>
  <c r="E60" i="5"/>
  <c r="F46" i="3"/>
  <c r="F44" i="9"/>
  <c r="E51" i="6"/>
  <c r="F42" i="8"/>
  <c r="F60" i="14"/>
  <c r="E60" i="14"/>
  <c r="D42" i="20"/>
  <c r="F42" i="20" s="1"/>
  <c r="F7" i="14"/>
  <c r="F32" i="17"/>
  <c r="E26" i="14"/>
  <c r="E28" i="17"/>
  <c r="E21" i="17"/>
  <c r="F29" i="12"/>
  <c r="F7" i="3"/>
  <c r="E10" i="16"/>
  <c r="E48" i="17"/>
  <c r="F22" i="7"/>
  <c r="F14" i="7"/>
  <c r="E14" i="7"/>
  <c r="E64" i="12"/>
  <c r="E63" i="11"/>
  <c r="F63" i="11"/>
  <c r="E8" i="9"/>
  <c r="F27" i="12"/>
  <c r="F20" i="12"/>
  <c r="F26" i="17"/>
  <c r="F25" i="3"/>
  <c r="F16" i="14"/>
  <c r="E16" i="14"/>
  <c r="E25" i="5"/>
  <c r="F8" i="13"/>
  <c r="F41" i="14"/>
  <c r="E41" i="14"/>
  <c r="E60" i="6"/>
  <c r="F60" i="6"/>
  <c r="F49" i="8"/>
  <c r="E50" i="9"/>
  <c r="F46" i="9"/>
  <c r="E46" i="9"/>
  <c r="F44" i="13"/>
  <c r="F49" i="14"/>
  <c r="E49" i="14"/>
  <c r="E46" i="14"/>
  <c r="F46" i="14"/>
  <c r="E49" i="16"/>
  <c r="F49" i="16"/>
  <c r="F50" i="17"/>
  <c r="E50" i="17"/>
  <c r="F46" i="17"/>
  <c r="E46" i="17"/>
  <c r="F47" i="18"/>
  <c r="E47" i="18"/>
  <c r="E23" i="16"/>
  <c r="F18" i="16"/>
  <c r="E18" i="16"/>
  <c r="E16" i="17"/>
  <c r="F9" i="9"/>
  <c r="E9" i="9"/>
  <c r="D30" i="20"/>
  <c r="E30" i="20" s="1"/>
  <c r="F30" i="18"/>
  <c r="D9" i="20"/>
  <c r="E9" i="20" s="1"/>
  <c r="F11" i="7"/>
  <c r="E11" i="14"/>
  <c r="F59" i="10"/>
  <c r="F10" i="3"/>
  <c r="F12" i="3"/>
  <c r="E11" i="7"/>
  <c r="D26" i="20"/>
  <c r="D46" i="23" s="1"/>
  <c r="E9" i="16"/>
  <c r="E59" i="3"/>
  <c r="F54" i="14"/>
  <c r="F60" i="15"/>
  <c r="F51" i="14"/>
  <c r="F57" i="17"/>
  <c r="D50" i="20"/>
  <c r="F50" i="20" s="1"/>
  <c r="E42" i="8"/>
  <c r="E51" i="18"/>
  <c r="D28" i="20"/>
  <c r="E28" i="20" s="1"/>
  <c r="E7" i="13"/>
  <c r="E23" i="20"/>
  <c r="F16" i="5"/>
  <c r="E33" i="13"/>
  <c r="E27" i="12"/>
  <c r="F23" i="16"/>
  <c r="E28" i="13"/>
  <c r="E50" i="7"/>
  <c r="E49" i="18"/>
  <c r="E59" i="10"/>
  <c r="F57" i="15"/>
  <c r="E66" i="13"/>
  <c r="E62" i="15"/>
  <c r="F66" i="7"/>
  <c r="E66" i="7"/>
  <c r="E28" i="7"/>
  <c r="E27" i="10"/>
  <c r="F27" i="10"/>
  <c r="F15" i="10"/>
  <c r="D15" i="20"/>
  <c r="F63" i="17"/>
  <c r="F63" i="16"/>
  <c r="E63" i="16"/>
  <c r="E65" i="15"/>
  <c r="E66" i="3"/>
  <c r="F66" i="3"/>
  <c r="E28" i="16"/>
  <c r="F12" i="16"/>
  <c r="E12" i="16"/>
  <c r="F65" i="13"/>
  <c r="E65" i="13"/>
  <c r="E63" i="8"/>
  <c r="E33" i="18"/>
  <c r="F46" i="11"/>
  <c r="F50" i="16"/>
  <c r="F22" i="5"/>
  <c r="F66" i="19"/>
  <c r="C56" i="23"/>
  <c r="D57" i="20"/>
  <c r="F57" i="20" s="1"/>
  <c r="E57" i="19"/>
  <c r="F56" i="20"/>
  <c r="E59" i="19"/>
  <c r="F58" i="20"/>
  <c r="D44" i="20"/>
  <c r="F44" i="20" s="1"/>
  <c r="F44" i="19"/>
  <c r="F29" i="19"/>
  <c r="D14" i="20"/>
  <c r="D51" i="20"/>
  <c r="D72" i="23" s="1"/>
  <c r="F41" i="19"/>
  <c r="F7" i="19"/>
  <c r="F14" i="19"/>
  <c r="E44" i="19"/>
  <c r="D46" i="20"/>
  <c r="F46" i="20" s="1"/>
  <c r="F59" i="19"/>
  <c r="D33" i="20"/>
  <c r="D53" i="23" s="1"/>
  <c r="F27" i="19"/>
  <c r="F64" i="20"/>
  <c r="E66" i="19"/>
  <c r="D59" i="20"/>
  <c r="D80" i="23" s="1"/>
  <c r="F51" i="19"/>
  <c r="E51" i="19"/>
  <c r="E49" i="19"/>
  <c r="F46" i="19"/>
  <c r="F32" i="19"/>
  <c r="C53" i="23"/>
  <c r="C24" i="20"/>
  <c r="C6" i="20" s="1"/>
  <c r="D32" i="20"/>
  <c r="D52" i="23" s="1"/>
  <c r="D21" i="20"/>
  <c r="F21" i="20" s="1"/>
  <c r="F19" i="19"/>
  <c r="E14" i="19"/>
  <c r="F21" i="19"/>
  <c r="D8" i="20"/>
  <c r="E8" i="20" s="1"/>
  <c r="C75" i="23"/>
  <c r="C53" i="20"/>
  <c r="F28" i="20"/>
  <c r="C48" i="23"/>
  <c r="F65" i="17"/>
  <c r="E65" i="17"/>
  <c r="E64" i="16"/>
  <c r="F66" i="12"/>
  <c r="E62" i="7"/>
  <c r="E62" i="5"/>
  <c r="E31" i="10"/>
  <c r="F17" i="10"/>
  <c r="D19" i="20"/>
  <c r="F19" i="20" s="1"/>
  <c r="E19" i="17"/>
  <c r="F29" i="3"/>
  <c r="E29" i="3"/>
  <c r="E52" i="22"/>
  <c r="D25" i="20"/>
  <c r="D45" i="23" s="1"/>
  <c r="C70" i="23"/>
  <c r="E26" i="13"/>
  <c r="E31" i="12"/>
  <c r="E64" i="6"/>
  <c r="F13" i="12"/>
  <c r="E22" i="19"/>
  <c r="F22" i="19"/>
  <c r="E11" i="16"/>
  <c r="F9" i="5"/>
  <c r="E30" i="9"/>
  <c r="E30" i="3"/>
  <c r="F30" i="3"/>
  <c r="F29" i="17"/>
  <c r="E29" i="17"/>
  <c r="E29" i="8"/>
  <c r="E29" i="6"/>
  <c r="F55" i="22"/>
  <c r="F51" i="22"/>
  <c r="E51" i="22"/>
  <c r="E10" i="7"/>
  <c r="F11" i="16"/>
  <c r="E11" i="3"/>
  <c r="F32" i="5"/>
  <c r="E27" i="7"/>
  <c r="F11" i="12"/>
  <c r="F26" i="13"/>
  <c r="D62" i="20"/>
  <c r="F65" i="11"/>
  <c r="E65" i="11"/>
  <c r="E64" i="8"/>
  <c r="F65" i="7"/>
  <c r="E65" i="7"/>
  <c r="E63" i="7"/>
  <c r="F63" i="7"/>
  <c r="E63" i="6"/>
  <c r="F63" i="6"/>
  <c r="E57" i="22"/>
  <c r="F57" i="22"/>
  <c r="E48" i="22"/>
  <c r="E29" i="12"/>
  <c r="F54" i="19"/>
  <c r="E54" i="19"/>
  <c r="D49" i="20"/>
  <c r="D70" i="23" s="1"/>
  <c r="F60" i="3"/>
  <c r="E60" i="3"/>
  <c r="E55" i="3"/>
  <c r="F55" i="3"/>
  <c r="E48" i="3"/>
  <c r="F44" i="3"/>
  <c r="E55" i="5"/>
  <c r="F55" i="5"/>
  <c r="F50" i="5"/>
  <c r="E47" i="5"/>
  <c r="F42" i="5"/>
  <c r="E54" i="6"/>
  <c r="F54" i="6"/>
  <c r="E49" i="6"/>
  <c r="F49" i="6"/>
  <c r="E46" i="6"/>
  <c r="E60" i="7"/>
  <c r="E56" i="7"/>
  <c r="E48" i="7"/>
  <c r="F45" i="7"/>
  <c r="E45" i="7"/>
  <c r="F59" i="9"/>
  <c r="F55" i="9"/>
  <c r="E47" i="10"/>
  <c r="E42" i="10"/>
  <c r="E47" i="11"/>
  <c r="E52" i="12"/>
  <c r="F52" i="12"/>
  <c r="E58" i="13"/>
  <c r="F54" i="16"/>
  <c r="E17" i="19"/>
  <c r="F17" i="19"/>
  <c r="E32" i="22"/>
  <c r="F28" i="22"/>
  <c r="E28" i="22"/>
  <c r="F66" i="16"/>
  <c r="E66" i="16"/>
  <c r="E62" i="16"/>
  <c r="E25" i="10"/>
  <c r="E8" i="12"/>
  <c r="F8" i="12"/>
  <c r="E18" i="19"/>
  <c r="E29" i="9"/>
  <c r="F32" i="10"/>
  <c r="E32" i="10"/>
  <c r="C43" i="20"/>
  <c r="E17" i="10"/>
  <c r="D66" i="20"/>
  <c r="E65" i="22"/>
  <c r="D36" i="20"/>
  <c r="E36" i="20" s="1"/>
  <c r="E56" i="13"/>
  <c r="E9" i="5"/>
  <c r="D13" i="20"/>
  <c r="E13" i="20" s="1"/>
  <c r="D27" i="20"/>
  <c r="D17" i="20"/>
  <c r="F17" i="20" s="1"/>
  <c r="D22" i="20"/>
  <c r="F19" i="17"/>
  <c r="E55" i="22"/>
  <c r="D7" i="20"/>
  <c r="D18" i="20"/>
  <c r="D38" i="23" s="1"/>
  <c r="E38" i="23" s="1"/>
  <c r="E65" i="14"/>
  <c r="D64" i="20"/>
  <c r="D86" i="23" s="1"/>
  <c r="E64" i="14"/>
  <c r="F8" i="3"/>
  <c r="E8" i="3"/>
  <c r="E30" i="13"/>
  <c r="F7" i="10"/>
  <c r="E20" i="19"/>
  <c r="D20" i="20"/>
  <c r="E20" i="20" s="1"/>
  <c r="E27" i="17"/>
  <c r="F27" i="17"/>
  <c r="E22" i="17"/>
  <c r="F17" i="17"/>
  <c r="E17" i="17"/>
  <c r="F26" i="11"/>
  <c r="E26" i="11"/>
  <c r="E31" i="14"/>
  <c r="D31" i="20"/>
  <c r="F31" i="20" s="1"/>
  <c r="E33" i="22"/>
  <c r="C61" i="20"/>
  <c r="F48" i="20"/>
  <c r="C69" i="23"/>
  <c r="E66" i="15"/>
  <c r="F66" i="15"/>
  <c r="E62" i="11"/>
  <c r="E62" i="8"/>
  <c r="F62" i="8"/>
  <c r="F61" i="8"/>
  <c r="E37" i="7"/>
  <c r="E47" i="22"/>
  <c r="E44" i="22"/>
  <c r="F44" i="22"/>
  <c r="F23" i="12"/>
  <c r="E23" i="10"/>
  <c r="E16" i="10"/>
  <c r="F16" i="10"/>
  <c r="F41" i="15"/>
  <c r="F60" i="19"/>
  <c r="F52" i="19"/>
  <c r="E52" i="19"/>
  <c r="F54" i="10"/>
  <c r="F60" i="11"/>
  <c r="E60" i="11"/>
  <c r="E58" i="11"/>
  <c r="E44" i="14"/>
  <c r="D16" i="20"/>
  <c r="E19" i="22"/>
  <c r="F63" i="13"/>
  <c r="F66" i="8"/>
  <c r="F66" i="6"/>
  <c r="E62" i="6"/>
  <c r="E64" i="3"/>
  <c r="E20" i="3"/>
  <c r="F20" i="3"/>
  <c r="E14" i="3"/>
  <c r="F18" i="17"/>
  <c r="F60" i="22"/>
  <c r="D61" i="19"/>
  <c r="F61" i="19" s="1"/>
  <c r="E31" i="19"/>
  <c r="E65" i="6"/>
  <c r="F65" i="6"/>
  <c r="F23" i="14"/>
  <c r="D65" i="20"/>
  <c r="D87" i="23" s="1"/>
  <c r="E53" i="15"/>
  <c r="D43" i="19"/>
  <c r="E43" i="7"/>
  <c r="E53" i="9"/>
  <c r="D53" i="19"/>
  <c r="E13" i="23"/>
  <c r="D12" i="23"/>
  <c r="F12" i="23" s="1"/>
  <c r="D9" i="23"/>
  <c r="C93" i="23"/>
  <c r="D15" i="23"/>
  <c r="E17" i="23"/>
  <c r="E25" i="23"/>
  <c r="F16" i="23"/>
  <c r="E25" i="22"/>
  <c r="E20" i="22"/>
  <c r="E64" i="15"/>
  <c r="E63" i="15"/>
  <c r="F66" i="13"/>
  <c r="E66" i="12"/>
  <c r="E36" i="22"/>
  <c r="E26" i="22"/>
  <c r="E21" i="22"/>
  <c r="E17" i="22"/>
  <c r="E64" i="18"/>
  <c r="F63" i="15"/>
  <c r="E66" i="6"/>
  <c r="F62" i="5"/>
  <c r="E16" i="19"/>
  <c r="D29" i="20"/>
  <c r="E25" i="19"/>
  <c r="E8" i="19"/>
  <c r="E10" i="11"/>
  <c r="E25" i="13"/>
  <c r="E53" i="13"/>
  <c r="F37" i="19"/>
  <c r="E77" i="23" l="1"/>
  <c r="F45" i="23"/>
  <c r="F36" i="20"/>
  <c r="E7" i="20"/>
  <c r="F80" i="23"/>
  <c r="E66" i="23"/>
  <c r="E46" i="23"/>
  <c r="F81" i="23"/>
  <c r="F69" i="23"/>
  <c r="F77" i="23"/>
  <c r="E54" i="23"/>
  <c r="F54" i="23"/>
  <c r="F62" i="20"/>
  <c r="D84" i="23"/>
  <c r="F84" i="23" s="1"/>
  <c r="D85" i="23"/>
  <c r="F85" i="23" s="1"/>
  <c r="F33" i="20"/>
  <c r="F6" i="23"/>
  <c r="E9" i="23"/>
  <c r="E6" i="9"/>
  <c r="E61" i="9"/>
  <c r="E61" i="16"/>
  <c r="E10" i="20"/>
  <c r="F52" i="20"/>
  <c r="F61" i="9"/>
  <c r="E61" i="15"/>
  <c r="F10" i="20"/>
  <c r="F61" i="16"/>
  <c r="F61" i="18"/>
  <c r="F61" i="15"/>
  <c r="F88" i="23"/>
  <c r="F11" i="20"/>
  <c r="F55" i="20"/>
  <c r="E12" i="23"/>
  <c r="D76" i="23"/>
  <c r="F76" i="23" s="1"/>
  <c r="E79" i="23"/>
  <c r="E12" i="20"/>
  <c r="F14" i="20"/>
  <c r="D50" i="23"/>
  <c r="E50" i="23" s="1"/>
  <c r="F26" i="20"/>
  <c r="F54" i="20"/>
  <c r="F63" i="20"/>
  <c r="E68" i="23"/>
  <c r="E11" i="20"/>
  <c r="D69" i="23"/>
  <c r="E69" i="23" s="1"/>
  <c r="E37" i="20"/>
  <c r="E58" i="20"/>
  <c r="D57" i="23"/>
  <c r="E57" i="23" s="1"/>
  <c r="F12" i="20"/>
  <c r="E15" i="20"/>
  <c r="E75" i="23"/>
  <c r="E63" i="20"/>
  <c r="E54" i="20"/>
  <c r="F15" i="20"/>
  <c r="E47" i="20"/>
  <c r="D73" i="23"/>
  <c r="E73" i="23" s="1"/>
  <c r="E60" i="20"/>
  <c r="F60" i="20"/>
  <c r="D43" i="23"/>
  <c r="F43" i="23" s="1"/>
  <c r="E56" i="20"/>
  <c r="F18" i="20"/>
  <c r="F47" i="20"/>
  <c r="E19" i="20"/>
  <c r="E45" i="20"/>
  <c r="E50" i="20"/>
  <c r="F38" i="23"/>
  <c r="F66" i="23"/>
  <c r="F9" i="20"/>
  <c r="E61" i="18"/>
  <c r="D48" i="23"/>
  <c r="F48" i="23" s="1"/>
  <c r="F30" i="20"/>
  <c r="F46" i="23"/>
  <c r="E59" i="20"/>
  <c r="E24" i="5"/>
  <c r="F24" i="5"/>
  <c r="E24" i="9"/>
  <c r="E18" i="20"/>
  <c r="F23" i="20"/>
  <c r="F61" i="10"/>
  <c r="D65" i="23"/>
  <c r="E65" i="23" s="1"/>
  <c r="D78" i="23"/>
  <c r="E44" i="20"/>
  <c r="D62" i="23"/>
  <c r="E62" i="23" s="1"/>
  <c r="D71" i="23"/>
  <c r="E71" i="23" s="1"/>
  <c r="E26" i="20"/>
  <c r="E24" i="16"/>
  <c r="F24" i="16"/>
  <c r="F61" i="13"/>
  <c r="E61" i="13"/>
  <c r="D63" i="23"/>
  <c r="E42" i="20"/>
  <c r="E39" i="5"/>
  <c r="F45" i="20"/>
  <c r="F53" i="23"/>
  <c r="E41" i="20"/>
  <c r="F24" i="9"/>
  <c r="F25" i="20"/>
  <c r="D56" i="23"/>
  <c r="E56" i="23" s="1"/>
  <c r="E14" i="20"/>
  <c r="E57" i="20"/>
  <c r="E33" i="20"/>
  <c r="F59" i="20"/>
  <c r="D53" i="20"/>
  <c r="F53" i="20" s="1"/>
  <c r="E45" i="23"/>
  <c r="F20" i="20"/>
  <c r="E53" i="23"/>
  <c r="C44" i="23"/>
  <c r="E46" i="20"/>
  <c r="D67" i="23"/>
  <c r="D40" i="23"/>
  <c r="E40" i="23" s="1"/>
  <c r="E80" i="23"/>
  <c r="F51" i="20"/>
  <c r="E51" i="20"/>
  <c r="F75" i="23"/>
  <c r="E70" i="23"/>
  <c r="F32" i="20"/>
  <c r="E32" i="20"/>
  <c r="E25" i="20"/>
  <c r="D41" i="23"/>
  <c r="F13" i="20"/>
  <c r="E21" i="20"/>
  <c r="E16" i="20"/>
  <c r="D39" i="23"/>
  <c r="F39" i="23" s="1"/>
  <c r="F8" i="20"/>
  <c r="E6" i="10"/>
  <c r="F6" i="10"/>
  <c r="F6" i="12"/>
  <c r="E6" i="12"/>
  <c r="E53" i="10"/>
  <c r="F53" i="10"/>
  <c r="E24" i="3"/>
  <c r="F24" i="3"/>
  <c r="E24" i="8"/>
  <c r="F24" i="8"/>
  <c r="F6" i="8"/>
  <c r="C83" i="23"/>
  <c r="D51" i="23"/>
  <c r="E31" i="20"/>
  <c r="D91" i="23"/>
  <c r="F66" i="20"/>
  <c r="E66" i="20"/>
  <c r="F43" i="22"/>
  <c r="E43" i="22"/>
  <c r="E24" i="7"/>
  <c r="F24" i="7"/>
  <c r="F43" i="15"/>
  <c r="E43" i="15"/>
  <c r="F24" i="18"/>
  <c r="E24" i="18"/>
  <c r="F24" i="11"/>
  <c r="E24" i="11"/>
  <c r="F61" i="12"/>
  <c r="E61" i="12"/>
  <c r="E53" i="6"/>
  <c r="F53" i="6"/>
  <c r="E53" i="3"/>
  <c r="F53" i="3"/>
  <c r="F61" i="6"/>
  <c r="E61" i="6"/>
  <c r="C74" i="23"/>
  <c r="D37" i="23"/>
  <c r="D40" i="19"/>
  <c r="E43" i="19"/>
  <c r="F43" i="19"/>
  <c r="F53" i="15"/>
  <c r="F65" i="20"/>
  <c r="E65" i="20"/>
  <c r="E43" i="9"/>
  <c r="F43" i="9"/>
  <c r="E61" i="19"/>
  <c r="E53" i="11"/>
  <c r="F53" i="11"/>
  <c r="E61" i="8"/>
  <c r="F53" i="5"/>
  <c r="E53" i="5"/>
  <c r="F70" i="23"/>
  <c r="E62" i="20"/>
  <c r="E49" i="20"/>
  <c r="F61" i="17"/>
  <c r="E61" i="17"/>
  <c r="D43" i="20"/>
  <c r="C39" i="20"/>
  <c r="F43" i="7"/>
  <c r="F43" i="11"/>
  <c r="F61" i="11"/>
  <c r="E61" i="22"/>
  <c r="F61" i="22"/>
  <c r="D47" i="23"/>
  <c r="E27" i="20"/>
  <c r="F43" i="3"/>
  <c r="E43" i="3"/>
  <c r="F27" i="20"/>
  <c r="E53" i="19"/>
  <c r="F53" i="19"/>
  <c r="F53" i="7"/>
  <c r="E53" i="7"/>
  <c r="F43" i="14"/>
  <c r="E43" i="14"/>
  <c r="E64" i="20"/>
  <c r="E43" i="11"/>
  <c r="D61" i="20"/>
  <c r="F61" i="20" s="1"/>
  <c r="E81" i="23"/>
  <c r="E17" i="20"/>
  <c r="F16" i="20"/>
  <c r="F53" i="9"/>
  <c r="F24" i="12"/>
  <c r="E24" i="12"/>
  <c r="E53" i="12"/>
  <c r="F53" i="12"/>
  <c r="F61" i="3"/>
  <c r="E61" i="3"/>
  <c r="E61" i="11"/>
  <c r="E39" i="16"/>
  <c r="F39" i="16"/>
  <c r="F61" i="14"/>
  <c r="E61" i="14"/>
  <c r="E61" i="5"/>
  <c r="F61" i="5"/>
  <c r="F7" i="20"/>
  <c r="F72" i="23"/>
  <c r="E72" i="23"/>
  <c r="E22" i="20"/>
  <c r="D42" i="23"/>
  <c r="F22" i="20"/>
  <c r="C40" i="20"/>
  <c r="F24" i="10"/>
  <c r="E24" i="10"/>
  <c r="C64" i="23"/>
  <c r="E61" i="7"/>
  <c r="F61" i="7"/>
  <c r="F49" i="20"/>
  <c r="F6" i="9"/>
  <c r="D93" i="23"/>
  <c r="F93" i="23" s="1"/>
  <c r="D19" i="23"/>
  <c r="E15" i="23"/>
  <c r="F15" i="23"/>
  <c r="E52" i="23"/>
  <c r="F52" i="23"/>
  <c r="E43" i="18"/>
  <c r="F43" i="18"/>
  <c r="F43" i="13"/>
  <c r="E43" i="13"/>
  <c r="F43" i="12"/>
  <c r="E43" i="12"/>
  <c r="E53" i="16"/>
  <c r="F53" i="16"/>
  <c r="F43" i="10"/>
  <c r="E43" i="10"/>
  <c r="F24" i="17"/>
  <c r="E24" i="17"/>
  <c r="F53" i="8"/>
  <c r="E53" i="8"/>
  <c r="E24" i="15"/>
  <c r="F24" i="15"/>
  <c r="F43" i="8"/>
  <c r="E43" i="8"/>
  <c r="F53" i="13"/>
  <c r="F24" i="13"/>
  <c r="F43" i="6"/>
  <c r="E43" i="6"/>
  <c r="F24" i="19"/>
  <c r="D39" i="19"/>
  <c r="D24" i="20"/>
  <c r="D6" i="20" s="1"/>
  <c r="D49" i="23"/>
  <c r="F29" i="20"/>
  <c r="E29" i="20"/>
  <c r="F24" i="6"/>
  <c r="E24" i="6"/>
  <c r="E53" i="18"/>
  <c r="F53" i="18"/>
  <c r="F24" i="14"/>
  <c r="E24" i="14"/>
  <c r="F43" i="16"/>
  <c r="E43" i="16"/>
  <c r="F53" i="17"/>
  <c r="E53" i="17"/>
  <c r="F43" i="5"/>
  <c r="E43" i="5"/>
  <c r="F53" i="14"/>
  <c r="E53" i="14"/>
  <c r="E43" i="17"/>
  <c r="F43" i="17"/>
  <c r="F56" i="23" l="1"/>
  <c r="E51" i="23"/>
  <c r="F51" i="23"/>
  <c r="E85" i="23"/>
  <c r="E76" i="23"/>
  <c r="F39" i="5"/>
  <c r="F6" i="5"/>
  <c r="E6" i="5"/>
  <c r="E93" i="23"/>
  <c r="F50" i="23"/>
  <c r="E43" i="23"/>
  <c r="F57" i="23"/>
  <c r="E39" i="8"/>
  <c r="F65" i="23"/>
  <c r="F73" i="23"/>
  <c r="E48" i="23"/>
  <c r="C61" i="23"/>
  <c r="F62" i="23"/>
  <c r="E78" i="23"/>
  <c r="F78" i="23"/>
  <c r="D64" i="23"/>
  <c r="F64" i="23" s="1"/>
  <c r="D74" i="23"/>
  <c r="E74" i="23" s="1"/>
  <c r="E6" i="16"/>
  <c r="F6" i="16"/>
  <c r="E63" i="23"/>
  <c r="F63" i="23"/>
  <c r="F39" i="8"/>
  <c r="F71" i="23"/>
  <c r="E39" i="9"/>
  <c r="F39" i="9"/>
  <c r="E53" i="20"/>
  <c r="D40" i="20"/>
  <c r="E40" i="20" s="1"/>
  <c r="E39" i="23"/>
  <c r="F40" i="23"/>
  <c r="F67" i="23"/>
  <c r="E67" i="23"/>
  <c r="E61" i="20"/>
  <c r="E43" i="20"/>
  <c r="F43" i="20"/>
  <c r="E41" i="23"/>
  <c r="F41" i="23"/>
  <c r="E39" i="3"/>
  <c r="F39" i="3"/>
  <c r="F39" i="10"/>
  <c r="E39" i="10"/>
  <c r="E40" i="7"/>
  <c r="F40" i="7"/>
  <c r="F40" i="9"/>
  <c r="E40" i="9"/>
  <c r="F87" i="23"/>
  <c r="E87" i="23"/>
  <c r="E37" i="23"/>
  <c r="F37" i="23"/>
  <c r="E39" i="11"/>
  <c r="F39" i="11"/>
  <c r="D83" i="23"/>
  <c r="F83" i="23" s="1"/>
  <c r="F86" i="23"/>
  <c r="E86" i="23"/>
  <c r="F39" i="18"/>
  <c r="E39" i="18"/>
  <c r="F40" i="15"/>
  <c r="E40" i="15"/>
  <c r="E6" i="7"/>
  <c r="F6" i="7"/>
  <c r="F91" i="23"/>
  <c r="E91" i="23"/>
  <c r="E84" i="23"/>
  <c r="F39" i="12"/>
  <c r="E39" i="12"/>
  <c r="E47" i="23"/>
  <c r="F47" i="23"/>
  <c r="F40" i="11"/>
  <c r="E40" i="11"/>
  <c r="E39" i="7"/>
  <c r="F39" i="7"/>
  <c r="E6" i="8"/>
  <c r="F42" i="23"/>
  <c r="E42" i="23"/>
  <c r="F6" i="18"/>
  <c r="E6" i="18"/>
  <c r="F40" i="3"/>
  <c r="E40" i="3"/>
  <c r="F40" i="19"/>
  <c r="E40" i="19"/>
  <c r="E6" i="11"/>
  <c r="F6" i="11"/>
  <c r="F40" i="22"/>
  <c r="E40" i="22"/>
  <c r="E6" i="3"/>
  <c r="F6" i="3"/>
  <c r="F19" i="23"/>
  <c r="E19" i="23"/>
  <c r="E40" i="14"/>
  <c r="F40" i="14"/>
  <c r="E39" i="14"/>
  <c r="F39" i="14"/>
  <c r="F49" i="23"/>
  <c r="E49" i="23"/>
  <c r="F6" i="13"/>
  <c r="E6" i="13"/>
  <c r="E6" i="6"/>
  <c r="F6" i="6"/>
  <c r="E39" i="6"/>
  <c r="F39" i="6"/>
  <c r="D44" i="23"/>
  <c r="E24" i="20"/>
  <c r="F24" i="20"/>
  <c r="F6" i="17"/>
  <c r="E6" i="17"/>
  <c r="F40" i="12"/>
  <c r="E40" i="12"/>
  <c r="E40" i="13"/>
  <c r="F40" i="13"/>
  <c r="E40" i="18"/>
  <c r="F40" i="18"/>
  <c r="F40" i="17"/>
  <c r="E40" i="17"/>
  <c r="F40" i="5"/>
  <c r="E40" i="5"/>
  <c r="F40" i="16"/>
  <c r="E40" i="16"/>
  <c r="F6" i="19"/>
  <c r="E6" i="19"/>
  <c r="F40" i="6"/>
  <c r="E40" i="6"/>
  <c r="F6" i="15"/>
  <c r="E6" i="15"/>
  <c r="F6" i="14"/>
  <c r="E6" i="14"/>
  <c r="F39" i="19"/>
  <c r="D39" i="20"/>
  <c r="E39" i="19"/>
  <c r="E39" i="13"/>
  <c r="F39" i="13"/>
  <c r="E40" i="8"/>
  <c r="F40" i="8"/>
  <c r="F39" i="15"/>
  <c r="E39" i="15"/>
  <c r="F39" i="17"/>
  <c r="E39" i="17"/>
  <c r="E40" i="10"/>
  <c r="F40" i="10"/>
  <c r="D61" i="23" l="1"/>
  <c r="F61" i="23" s="1"/>
  <c r="E64" i="23"/>
  <c r="F74" i="23"/>
  <c r="F40" i="20"/>
  <c r="E83" i="23"/>
  <c r="F39" i="20"/>
  <c r="E39" i="20"/>
  <c r="F6" i="20"/>
  <c r="E6" i="20"/>
  <c r="E44" i="23"/>
  <c r="F44" i="23"/>
  <c r="E61" i="23" l="1"/>
  <c r="F11" i="22" l="1"/>
  <c r="F8" i="22"/>
  <c r="F16" i="22"/>
  <c r="F13" i="22"/>
  <c r="C28" i="23"/>
  <c r="C33" i="23"/>
  <c r="C35" i="23"/>
  <c r="F15" i="22"/>
  <c r="F14" i="22"/>
  <c r="C32" i="23"/>
  <c r="F12" i="22"/>
  <c r="F9" i="22"/>
  <c r="F7" i="22"/>
  <c r="F10" i="22"/>
  <c r="C30" i="23"/>
  <c r="D34" i="23"/>
  <c r="C34" i="23"/>
  <c r="E8" i="22"/>
  <c r="C29" i="23"/>
  <c r="E9" i="22"/>
  <c r="C31" i="23"/>
  <c r="C36" i="23"/>
  <c r="E10" i="22"/>
  <c r="E12" i="22"/>
  <c r="C27" i="23"/>
  <c r="E11" i="22"/>
  <c r="D36" i="23"/>
  <c r="E13" i="22"/>
  <c r="E15" i="22"/>
  <c r="F39" i="22"/>
  <c r="C26" i="23" l="1"/>
  <c r="E34" i="23"/>
  <c r="D30" i="23"/>
  <c r="F30" i="23" s="1"/>
  <c r="D28" i="23"/>
  <c r="E28" i="23" s="1"/>
  <c r="E7" i="22"/>
  <c r="E16" i="22"/>
  <c r="D33" i="23"/>
  <c r="E33" i="23" s="1"/>
  <c r="F34" i="23"/>
  <c r="C59" i="23"/>
  <c r="D27" i="23"/>
  <c r="E36" i="23"/>
  <c r="F36" i="23"/>
  <c r="D29" i="23"/>
  <c r="E29" i="23" s="1"/>
  <c r="D32" i="23"/>
  <c r="E32" i="23" s="1"/>
  <c r="E14" i="22"/>
  <c r="D31" i="23"/>
  <c r="F31" i="23" s="1"/>
  <c r="D35" i="23"/>
  <c r="E35" i="23" s="1"/>
  <c r="D26" i="23" l="1"/>
  <c r="C94" i="23"/>
  <c r="F27" i="23"/>
  <c r="E27" i="23"/>
  <c r="F28" i="23"/>
  <c r="E30" i="23"/>
  <c r="D59" i="23"/>
  <c r="F59" i="23" s="1"/>
  <c r="E39" i="22"/>
  <c r="C24" i="23"/>
  <c r="F33" i="23"/>
  <c r="F29" i="23"/>
  <c r="E6" i="22"/>
  <c r="E31" i="23"/>
  <c r="F35" i="23"/>
  <c r="F6" i="22"/>
  <c r="F32" i="23"/>
  <c r="C60" i="23" l="1"/>
  <c r="C92" i="23" s="1"/>
  <c r="D94" i="23"/>
  <c r="D24" i="23"/>
  <c r="E59" i="23"/>
  <c r="F26" i="23"/>
  <c r="E26" i="23"/>
  <c r="D60" i="23" l="1"/>
  <c r="F24" i="23"/>
  <c r="E24" i="23"/>
  <c r="F94" i="23"/>
  <c r="E94" i="23"/>
  <c r="D92" i="23" l="1"/>
  <c r="F60" i="23"/>
  <c r="E60" i="23"/>
  <c r="E92" i="23" l="1"/>
  <c r="F92" i="23"/>
</calcChain>
</file>

<file path=xl/sharedStrings.xml><?xml version="1.0" encoding="utf-8"?>
<sst xmlns="http://schemas.openxmlformats.org/spreadsheetml/2006/main" count="2540" uniqueCount="203">
  <si>
    <t>B2</t>
  </si>
  <si>
    <t>B2.1</t>
  </si>
  <si>
    <t>B2.2</t>
  </si>
  <si>
    <t>B2.3</t>
  </si>
  <si>
    <t>B2.4</t>
  </si>
  <si>
    <t>B2.5</t>
  </si>
  <si>
    <t>B2.6</t>
  </si>
  <si>
    <t>B2.7</t>
  </si>
  <si>
    <t>B2.8</t>
  </si>
  <si>
    <t>B2.9</t>
  </si>
  <si>
    <t>B2.10</t>
  </si>
  <si>
    <t>B2.11</t>
  </si>
  <si>
    <t>B2.12</t>
  </si>
  <si>
    <t>B2.13</t>
  </si>
  <si>
    <t>B2.14</t>
  </si>
  <si>
    <t>B2.15</t>
  </si>
  <si>
    <t>D1</t>
  </si>
  <si>
    <t>zużycie materiałów i energii</t>
  </si>
  <si>
    <t>D2</t>
  </si>
  <si>
    <t>usługi obce</t>
  </si>
  <si>
    <t>D3</t>
  </si>
  <si>
    <t>D4</t>
  </si>
  <si>
    <t>D5</t>
  </si>
  <si>
    <t>D6</t>
  </si>
  <si>
    <t>koszty funkcjonowania Rady Funduszu</t>
  </si>
  <si>
    <t>D7</t>
  </si>
  <si>
    <t>D8</t>
  </si>
  <si>
    <t>pozostałe koszty administracyjne</t>
  </si>
  <si>
    <t>F2</t>
  </si>
  <si>
    <t>F3</t>
  </si>
  <si>
    <t>podatki stanowiące dochody własne jednostek samorządu terytorialnego, w tym:</t>
  </si>
  <si>
    <t>podatek od nieruchomości</t>
  </si>
  <si>
    <t>opłaty stanowiące dochody własne jednostek samorządu terytorialnego</t>
  </si>
  <si>
    <t>VAT</t>
  </si>
  <si>
    <t>podatek akcyzowy</t>
  </si>
  <si>
    <t>wpłaty na PFRON</t>
  </si>
  <si>
    <t>inne</t>
  </si>
  <si>
    <t>D3.1</t>
  </si>
  <si>
    <t>D3.1.1</t>
  </si>
  <si>
    <t>D3.2</t>
  </si>
  <si>
    <t>D3.3</t>
  </si>
  <si>
    <t>D3.4</t>
  </si>
  <si>
    <t>D3.5</t>
  </si>
  <si>
    <t>D3.6</t>
  </si>
  <si>
    <t>składki na Fundusz Ubezpieczeń Społecznych</t>
  </si>
  <si>
    <t>składki na Fundusz Pracy</t>
  </si>
  <si>
    <t>składki na Fundusz Gwarantowanych Świadczeń Pracowniczych</t>
  </si>
  <si>
    <t>pozostałe świadczenia</t>
  </si>
  <si>
    <t>D5.1</t>
  </si>
  <si>
    <t>D5.2</t>
  </si>
  <si>
    <t>D5.3</t>
  </si>
  <si>
    <t>D5.4</t>
  </si>
  <si>
    <t>Wyszczególnienie</t>
  </si>
  <si>
    <t>rezerwa na zobowiązania wynikające z postępowań sądowych</t>
  </si>
  <si>
    <t>B2.3.1</t>
  </si>
  <si>
    <t>B4</t>
  </si>
  <si>
    <t>B3</t>
  </si>
  <si>
    <t xml:space="preserve">Koszty programów polityki zdrowotnej realizowanych na zlecenie </t>
  </si>
  <si>
    <t>Koszty realizacji zadań zespołów ratownictwa medycznego</t>
  </si>
  <si>
    <t xml:space="preserve">Koszty Dolnośląskiego Oddziału Wojewódzkiego Narodowego Funduszu Zdrowia </t>
  </si>
  <si>
    <t>Koszty Kujawsko-Pomorskiego Oddziału Wojewódzkiego Narodowego Funduszu Zdrowia</t>
  </si>
  <si>
    <t>Koszty Lubelskiego Oddziału Wojewódzkiego Narodowego Funduszu Zdrowia</t>
  </si>
  <si>
    <t>Koszty Lubuskiego Oddziału Wojewódzkiego Narodowego Funduszu Zdrowia</t>
  </si>
  <si>
    <t>Koszty Łódzkiego Oddziału Wojewódzkiego Narodowego Funduszu Zdrowia</t>
  </si>
  <si>
    <t>Koszty Małopolskiego Oddziału Wojewódzkiego Narodowego Funduszu Zdrowia</t>
  </si>
  <si>
    <t>Koszty Mazowieckiego Oddziału Wojewódzkiego Narodowego Funduszu Zdrowia</t>
  </si>
  <si>
    <t>Koszty Opolskiego Oddziału Wojewódzkiego Narodowego Funduszu Zdrowia</t>
  </si>
  <si>
    <t>Koszty Podkarpackiego Oddziału Wojewódzkiego Narodowego Funduszu Zdrowia</t>
  </si>
  <si>
    <t>Koszty Podlaskiego Oddziału Wojewódzkiego Narodowego Funduszu Zdrowia</t>
  </si>
  <si>
    <t>Koszty Pomorskiego Oddziału Wojewódzkiego Narodowego Funduszu Zdrowia</t>
  </si>
  <si>
    <t>Koszty Śląskiego Oddziału Wojewódzkiego Narodowego Funduszu Zdrowia</t>
  </si>
  <si>
    <t>Koszty Świętokrzyskiego Oddziału Wojewódzkiego Narodowego Funduszu Zdrowia</t>
  </si>
  <si>
    <t>Koszty Warmińsko-Mazurskiego Oddziału Wojewódzkiego Narodowego Funduszu Zdrowia</t>
  </si>
  <si>
    <t>Koszty Wielkopolskiego Oddziału Wojewódzkiego Narodowego Funduszu Zdrowia</t>
  </si>
  <si>
    <t>Koszty Zachodniopomorskiego Oddziału Wojewódzkiego Narodowego Funduszu Zdrowia</t>
  </si>
  <si>
    <t>1.1</t>
  </si>
  <si>
    <t>od ZUS</t>
  </si>
  <si>
    <t>1.2</t>
  </si>
  <si>
    <t>od KRUS</t>
  </si>
  <si>
    <t>2.1</t>
  </si>
  <si>
    <t>w stosunku do ZUS</t>
  </si>
  <si>
    <t>2.2</t>
  </si>
  <si>
    <t>w stosunku do KRUS</t>
  </si>
  <si>
    <t>3.1</t>
  </si>
  <si>
    <t>3.2</t>
  </si>
  <si>
    <t>4.1</t>
  </si>
  <si>
    <t>koszty poboru i ewidencjonowania składek przez ZUS</t>
  </si>
  <si>
    <t>4.2</t>
  </si>
  <si>
    <t>koszty poboru i ewidencjonowania składek przez KRUS</t>
  </si>
  <si>
    <t>A1</t>
  </si>
  <si>
    <t>przychody wynikające z przepisów o koordynacji</t>
  </si>
  <si>
    <t>A2</t>
  </si>
  <si>
    <t>przychody z tytułu realizacji zadań zleconych</t>
  </si>
  <si>
    <t>A3</t>
  </si>
  <si>
    <t>A4</t>
  </si>
  <si>
    <t>dotacja z budżetu państwa na realizację zadań zespołów ratownictwa medycznego</t>
  </si>
  <si>
    <t>B1</t>
  </si>
  <si>
    <t>Obowiazkowy odpis na rezerwę ogólną</t>
  </si>
  <si>
    <t>Koszty programów polityki zdrowotnej realizowanych na zlecenie</t>
  </si>
  <si>
    <t>F1</t>
  </si>
  <si>
    <t>F4</t>
  </si>
  <si>
    <t>inne rezerwy</t>
  </si>
  <si>
    <t>inne koszty</t>
  </si>
  <si>
    <t>G1</t>
  </si>
  <si>
    <t xml:space="preserve">odsetki uzyskane z lokat </t>
  </si>
  <si>
    <t>G2</t>
  </si>
  <si>
    <t>inne przychody finansowe</t>
  </si>
  <si>
    <t>B2.16</t>
  </si>
  <si>
    <t>B2.17</t>
  </si>
  <si>
    <t>B2.18</t>
  </si>
  <si>
    <t>rezerwa na koszty realizacji zadań wynikajacych z przepisów o koordynacji</t>
  </si>
  <si>
    <t>rezerwa na koszty świadczeń opieki zdrowotnej w ramach migracji ubezpieczonych</t>
  </si>
  <si>
    <t>wydanie i utrzymanie kart ubezpieczenia (w tym części stałych i zamiennych książeczek usług medycznych) oraz recept</t>
  </si>
  <si>
    <t>Koszty finansowe</t>
  </si>
  <si>
    <t>leczenie szpitalne, w tym:</t>
  </si>
  <si>
    <t>Poz.</t>
  </si>
  <si>
    <t>podstawowa opieka zdrowotna</t>
  </si>
  <si>
    <t>ambulatoryjna opieka specjalistyczna</t>
  </si>
  <si>
    <t>rehabilitacja lecznicza</t>
  </si>
  <si>
    <t>leczenie stomatologiczne</t>
  </si>
  <si>
    <t>lecznictwo uzdrowiskowe</t>
  </si>
  <si>
    <t>koszty profilaktycznych programów zdrowotnych finansowanych ze środków własnych Funduszu</t>
  </si>
  <si>
    <t>opieka psychiatryczna i leczenie uzależnień</t>
  </si>
  <si>
    <t>opieka paliatywna i hospicyjna</t>
  </si>
  <si>
    <t>świadczenia pielęgnacyjne i opiekuńcze w ramach opieki długoterminowej</t>
  </si>
  <si>
    <t>pomoc doraźna i transport sanitarny</t>
  </si>
  <si>
    <t>B2.14.1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</si>
  <si>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</si>
  <si>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</si>
  <si>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</si>
  <si>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</si>
  <si>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</si>
  <si>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</si>
  <si>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</si>
  <si>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</si>
  <si>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</si>
  <si>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</si>
  <si>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</si>
  <si>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w tys. zł</t>
  </si>
  <si>
    <t>B2.3.1.1</t>
  </si>
  <si>
    <t>B2.3.2</t>
  </si>
  <si>
    <t>B2.3.2.1</t>
  </si>
  <si>
    <t>leki, środki spożywcze specjalnego przeznaczenia żywieniowego objęte programami lekowymi</t>
  </si>
  <si>
    <t>chemioterapia, w tym:</t>
  </si>
  <si>
    <t>leki stosowane w chemioterapii</t>
  </si>
  <si>
    <t>zaopatrzenie w wyroby medyczne oraz ich naprawa, o których mowa w ustawie o refundacji</t>
  </si>
  <si>
    <t>B2.14.2</t>
  </si>
  <si>
    <t>refundacja leków, środków spożywczych specjalnego przeznaczenia żywieniowego oraz wyrobów medycznych dostępnych w aptece na receptę</t>
  </si>
  <si>
    <t>refundacja środków spożywczych specjalnego przeznaczenia żywieniowego, o których mowa w art. 15 ust. 2 pkt 18 ustawy</t>
  </si>
  <si>
    <t>refundacja leków, o których mowa w art. 15 ust. 2 pkt 17 ustawy</t>
  </si>
  <si>
    <t>B2.14.3</t>
  </si>
  <si>
    <t>rezerwa na pokrycie kosztów świadczeń opieki zdrowotnej oraz refundacji leków, w tym:</t>
  </si>
  <si>
    <t>B2.16.1</t>
  </si>
  <si>
    <t>Bn</t>
  </si>
  <si>
    <t>Całkowity budżet na refundację
(B2.3.1.1+B2.3.2.1+B2.14+B2.16.1)</t>
  </si>
  <si>
    <t>wynagrodzenia, w tym:</t>
  </si>
  <si>
    <t>D4.1</t>
  </si>
  <si>
    <t>wynagrodzenia bezosobowe</t>
  </si>
  <si>
    <t>amortyzacja środków trwałych oraz wartości niematerialnych i prawnych</t>
  </si>
  <si>
    <t>Pozostałe koszty (F1+...+F4)</t>
  </si>
  <si>
    <t>Pozostałe przychody</t>
  </si>
  <si>
    <t>świadczenia opieki zdrowotnej kontraktowane odrębnie</t>
  </si>
  <si>
    <t>koszty świadczeń opieki zdrowotnej z lat ubiegłych</t>
  </si>
  <si>
    <t>rezerwa, o której mowa w art. 118 ust. 2 pkt 2 lit. c ustawy</t>
  </si>
  <si>
    <t>Przychody i koszty Narodowego Funduszu Zdrowia - łącznie</t>
  </si>
  <si>
    <t>Koszty Centrali Narodowego Funduszu Zdrowia</t>
  </si>
  <si>
    <t>Koszty oddziałów wojewódzkich NFZ - łącznie</t>
  </si>
  <si>
    <t>Plan 
po zmianie</t>
  </si>
  <si>
    <t>Różnica 
kol.4-kol.3</t>
  </si>
  <si>
    <t>Dynamika
kol.4/kol.3</t>
  </si>
  <si>
    <t>Przychody netto z działalności
(1-2+3-4-5) + A1 + A2 + A3 + A4</t>
  </si>
  <si>
    <t>Pozostałe koszty (F1+ … +F4)</t>
  </si>
  <si>
    <t>Przychody finansowe (G1 + G2)</t>
  </si>
  <si>
    <t>Składka należna brutto w roku planowania równa przypisowi składki
(1.1 + 1.2)</t>
  </si>
  <si>
    <t>Planowany odpis aktualizujący składkę należną (2.1 + 2.2)</t>
  </si>
  <si>
    <t>Przychody ze składek z lat ubiegłych (3.1+3.2)</t>
  </si>
  <si>
    <t>Koszt poboru i ewidencjonowania składek (4.1 + 4.2)</t>
  </si>
  <si>
    <t>refundacja, z tego:</t>
  </si>
  <si>
    <t>B2.19</t>
  </si>
  <si>
    <t>rezerwa na koszty świadczeń opieki zdrowotnej udzielone w ramach transgranicznej opieki zdrowotnej</t>
  </si>
  <si>
    <t>Koszty administracyjne (D1 + … + D8)</t>
  </si>
  <si>
    <t>podatki i opłaty, z tego:</t>
  </si>
  <si>
    <t>ubezpieczenie społeczne i inne świadczenia, z tego:</t>
  </si>
  <si>
    <t>Koszty administracyjne ( D1+...+D8 )</t>
  </si>
  <si>
    <t>podatki i opłaty, z tego</t>
  </si>
  <si>
    <t>B2.20</t>
  </si>
  <si>
    <t>rezerwa na dofinansowanie programów polityki zdrowotnej na podstawie art. 48d ustawy</t>
  </si>
  <si>
    <t>B5</t>
  </si>
  <si>
    <t>Koszty finansowania leku, środka spożywczego specjalnego przeznaczenia żywieniowego oraz wyrobu medycznego w części finansowanej z budżetu państwa zgodnie z art. 43a ust. 3 ustawy</t>
  </si>
  <si>
    <t>Koszty realizacji zadań (B1 + B2 + B3 + B4 + B5)</t>
  </si>
  <si>
    <t>WYNIK FINANSOWY OGÓŁEM NETTO
(C - D + E - F + G - H)</t>
  </si>
  <si>
    <t>WYNIK NA DZIAŁALNOŚCI (A - B)</t>
  </si>
  <si>
    <t xml:space="preserve"> PRZYCHODY - ogółem</t>
  </si>
  <si>
    <t xml:space="preserve"> KOSZTY - ogółem</t>
  </si>
  <si>
    <t>dotacje z budżetu państwa na finansowanie zadań, o których mowa w art. 97 ust. 3
pkt 2a-2c, 3 i 3b ustawy</t>
  </si>
  <si>
    <t>Plan na
2018 rok</t>
  </si>
  <si>
    <t>B2.21</t>
  </si>
  <si>
    <t>koszty świadczeń opieki zdrowotnej w ramach programów pilotażowych, o których mowa w art. 48e ustawy</t>
  </si>
  <si>
    <t>Koszty świadczeń opieki zdrowotnej  (B2.1+...+B2.21)</t>
  </si>
  <si>
    <t>programy lekowe, w tym:</t>
  </si>
  <si>
    <t>Koszty świadczeń opieki zdrowotnej  (B2.1 + … + B2.21)</t>
  </si>
  <si>
    <t>Odpis dla Agencji Oceny Technologii Medycznych i Taryfikacji, o którym mowa w art. 31t ust. 5-9 ustawy</t>
  </si>
  <si>
    <t xml:space="preserve">Załącznik do zarządzenia Nr 33/2018/DEF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16 kwietnia 2018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</si>
</sst>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z_ł_-;\-* #,##0.00\ _z_ł_-;_-* &quot;-&quot;??\ _z_ł_-;_-@_-"/>
    <numFmt numFmtId="164" formatCode="#,##0_ ;[Red]\-#,##0\ "/>
    <numFmt numFmtId="165" formatCode="#,##0.00_ ;[Red]\-#,##0.00\ "/>
    <numFmt numFmtId="166" formatCode="#,##0&quot; F&quot;_);[Red]\(#,##0&quot; F&quot;\)"/>
    <numFmt numFmtId="167" formatCode="#,##0.00&quot; F&quot;_);[Red]\(#,##0.00&quot; F&quot;\)"/>
    <numFmt numFmtId="168" formatCode="0.0%"/>
  </numFmts>
  <fonts count="39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"/>
      <family val="1"/>
    </font>
    <font>
      <b/>
      <sz val="16"/>
      <name val="Times New Roman"/>
      <family val="1"/>
    </font>
    <font>
      <sz val="9"/>
      <name val="Times New Roman"/>
      <family val="1"/>
    </font>
    <font>
      <sz val="8"/>
      <name val="Arial CE"/>
      <charset val="238"/>
    </font>
    <font>
      <b/>
      <sz val="11"/>
      <name val="Times New Roman"/>
      <family val="1"/>
      <charset val="238"/>
    </font>
    <font>
      <sz val="20"/>
      <name val="Times New Roman"/>
      <family val="1"/>
      <charset val="238"/>
    </font>
    <font>
      <b/>
      <sz val="20"/>
      <name val="Times New Roman"/>
      <family val="1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24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6"/>
      <name val="Times New Roman CE"/>
      <charset val="238"/>
    </font>
    <font>
      <b/>
      <sz val="12"/>
      <name val="Times New Roman CE"/>
      <family val="1"/>
      <charset val="238"/>
    </font>
    <font>
      <b/>
      <sz val="24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18"/>
      <name val="Times New Roman"/>
      <family val="1"/>
      <charset val="238"/>
    </font>
    <font>
      <b/>
      <sz val="20"/>
      <name val="Times New Roman CE"/>
      <family val="1"/>
      <charset val="238"/>
    </font>
    <font>
      <sz val="16"/>
      <name val="Times New Roman"/>
      <family val="1"/>
    </font>
    <font>
      <sz val="16"/>
      <name val="Times New Roman"/>
      <family val="1"/>
      <charset val="238"/>
    </font>
    <font>
      <sz val="16"/>
      <name val="Times New Roman CE"/>
      <charset val="238"/>
    </font>
    <font>
      <sz val="16"/>
      <name val="Times New Roman CE"/>
      <family val="1"/>
      <charset val="238"/>
    </font>
    <font>
      <sz val="18"/>
      <name val="Times New Roman"/>
      <family val="1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20"/>
      <name val="Times New Roman CE"/>
      <charset val="238"/>
    </font>
    <font>
      <b/>
      <sz val="14"/>
      <name val="Times New Roman CE"/>
      <charset val="238"/>
    </font>
    <font>
      <sz val="8"/>
      <color theme="1"/>
      <name val="Verdana"/>
      <family val="2"/>
      <charset val="238"/>
    </font>
    <font>
      <b/>
      <sz val="18"/>
      <color theme="0"/>
      <name val="Times New Roman"/>
      <family val="1"/>
      <charset val="238"/>
    </font>
    <font>
      <sz val="14"/>
      <name val="Times New Roman"/>
      <family val="1"/>
    </font>
    <font>
      <sz val="14"/>
      <name val="Times New Roman CE"/>
      <charset val="238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6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1" fillId="0" borderId="0"/>
    <xf numFmtId="0" fontId="29" fillId="0" borderId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29" fillId="0" borderId="0"/>
  </cellStyleXfs>
  <cellXfs count="113">
    <xf numFmtId="0" fontId="0" fillId="0" borderId="0" xfId="0"/>
    <xf numFmtId="0" fontId="5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/>
    <xf numFmtId="0" fontId="4" fillId="0" borderId="0" xfId="0" applyFont="1" applyFill="1" applyBorder="1"/>
    <xf numFmtId="0" fontId="18" fillId="0" borderId="0" xfId="0" applyFont="1" applyFill="1" applyBorder="1"/>
    <xf numFmtId="0" fontId="4" fillId="0" borderId="0" xfId="0" applyFont="1" applyFill="1"/>
    <xf numFmtId="3" fontId="16" fillId="0" borderId="1" xfId="0" applyNumberFormat="1" applyFont="1" applyFill="1" applyBorder="1" applyAlignment="1">
      <alignment horizontal="right" vertical="center"/>
    </xf>
    <xf numFmtId="0" fontId="20" fillId="0" borderId="0" xfId="0" applyFont="1" applyFill="1"/>
    <xf numFmtId="0" fontId="21" fillId="0" borderId="0" xfId="0" applyFont="1" applyFill="1"/>
    <xf numFmtId="0" fontId="19" fillId="0" borderId="0" xfId="0" applyFont="1" applyFill="1"/>
    <xf numFmtId="0" fontId="10" fillId="0" borderId="0" xfId="0" applyFont="1" applyFill="1" applyAlignment="1">
      <alignment vertical="center"/>
    </xf>
    <xf numFmtId="0" fontId="3" fillId="0" borderId="0" xfId="0" applyFont="1" applyFill="1" applyBorder="1"/>
    <xf numFmtId="3" fontId="10" fillId="0" borderId="1" xfId="0" applyNumberFormat="1" applyFont="1" applyFill="1" applyBorder="1" applyAlignment="1" applyProtection="1">
      <alignment vertical="center"/>
      <protection locked="0"/>
    </xf>
    <xf numFmtId="0" fontId="24" fillId="0" borderId="1" xfId="18" applyFont="1" applyFill="1" applyBorder="1" applyAlignment="1" applyProtection="1">
      <alignment horizontal="left" vertical="center" wrapText="1" indent="2"/>
    </xf>
    <xf numFmtId="0" fontId="24" fillId="0" borderId="1" xfId="16" applyFont="1" applyFill="1" applyBorder="1" applyAlignment="1" applyProtection="1">
      <alignment horizontal="left" vertical="center" wrapText="1" indent="2"/>
    </xf>
    <xf numFmtId="0" fontId="27" fillId="0" borderId="1" xfId="18" applyFont="1" applyFill="1" applyBorder="1" applyAlignment="1" applyProtection="1">
      <alignment horizontal="left" vertical="center" wrapText="1" indent="2"/>
    </xf>
    <xf numFmtId="0" fontId="12" fillId="0" borderId="1" xfId="18" applyFont="1" applyFill="1" applyBorder="1" applyAlignment="1" applyProtection="1">
      <alignment horizontal="left" vertical="center" wrapText="1" indent="1"/>
    </xf>
    <xf numFmtId="0" fontId="26" fillId="0" borderId="1" xfId="18" applyFont="1" applyFill="1" applyBorder="1" applyAlignment="1" applyProtection="1">
      <alignment horizontal="left" vertical="center" wrapText="1" indent="2"/>
    </xf>
    <xf numFmtId="0" fontId="26" fillId="0" borderId="1" xfId="17" applyFont="1" applyFill="1" applyBorder="1" applyAlignment="1" applyProtection="1">
      <alignment horizontal="left" vertical="center" wrapText="1" indent="2"/>
    </xf>
    <xf numFmtId="0" fontId="28" fillId="0" borderId="0" xfId="0" applyFont="1" applyFill="1" applyAlignment="1" applyProtection="1">
      <alignment vertical="center"/>
      <protection locked="0"/>
    </xf>
    <xf numFmtId="0" fontId="22" fillId="0" borderId="0" xfId="0" applyFont="1" applyFill="1"/>
    <xf numFmtId="0" fontId="22" fillId="0" borderId="0" xfId="0" applyFont="1" applyFill="1" applyAlignment="1" applyProtection="1">
      <alignment vertical="center"/>
      <protection locked="0"/>
    </xf>
    <xf numFmtId="0" fontId="12" fillId="0" borderId="1" xfId="18" applyFont="1" applyFill="1" applyBorder="1" applyAlignment="1" applyProtection="1">
      <alignment horizontal="left" vertical="center" wrapText="1" indent="2"/>
    </xf>
    <xf numFmtId="0" fontId="13" fillId="0" borderId="1" xfId="18" applyFont="1" applyFill="1" applyBorder="1" applyAlignment="1" applyProtection="1">
      <alignment horizontal="left" vertical="center" wrapText="1" indent="2"/>
    </xf>
    <xf numFmtId="0" fontId="13" fillId="0" borderId="1" xfId="17" applyFont="1" applyFill="1" applyBorder="1" applyAlignment="1" applyProtection="1">
      <alignment horizontal="left" vertical="center" wrapText="1" indent="2"/>
    </xf>
    <xf numFmtId="0" fontId="13" fillId="0" borderId="1" xfId="17" quotePrefix="1" applyFont="1" applyFill="1" applyBorder="1" applyAlignment="1" applyProtection="1">
      <alignment horizontal="left" vertical="center" wrapText="1" indent="2"/>
    </xf>
    <xf numFmtId="0" fontId="12" fillId="0" borderId="1" xfId="17" applyFont="1" applyFill="1" applyBorder="1" applyAlignment="1" applyProtection="1">
      <alignment horizontal="left" vertical="center" wrapText="1" indent="2"/>
    </xf>
    <xf numFmtId="0" fontId="28" fillId="0" borderId="0" xfId="0" applyFont="1" applyFill="1"/>
    <xf numFmtId="3" fontId="10" fillId="0" borderId="1" xfId="0" applyNumberFormat="1" applyFont="1" applyFill="1" applyBorder="1" applyAlignment="1" applyProtection="1">
      <alignment horizontal="right" vertical="center"/>
    </xf>
    <xf numFmtId="0" fontId="25" fillId="0" borderId="1" xfId="18" applyFont="1" applyFill="1" applyBorder="1" applyAlignment="1" applyProtection="1">
      <alignment horizontal="left" vertical="center" wrapText="1" indent="2"/>
    </xf>
    <xf numFmtId="3" fontId="10" fillId="0" borderId="1" xfId="0" applyNumberFormat="1" applyFont="1" applyFill="1" applyBorder="1" applyAlignment="1" applyProtection="1">
      <alignment horizontal="right" vertical="center"/>
      <protection locked="0"/>
    </xf>
    <xf numFmtId="3" fontId="16" fillId="0" borderId="1" xfId="0" applyNumberFormat="1" applyFont="1" applyFill="1" applyBorder="1" applyAlignment="1" applyProtection="1">
      <alignment horizontal="right" vertical="center"/>
      <protection locked="0"/>
    </xf>
    <xf numFmtId="3" fontId="10" fillId="0" borderId="1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Alignment="1" applyProtection="1">
      <alignment vertical="center"/>
      <protection locked="0"/>
    </xf>
    <xf numFmtId="0" fontId="1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vertical="center" wrapText="1"/>
    </xf>
    <xf numFmtId="3" fontId="16" fillId="0" borderId="1" xfId="0" applyNumberFormat="1" applyFont="1" applyFill="1" applyBorder="1" applyAlignment="1" applyProtection="1">
      <alignment vertical="center"/>
    </xf>
    <xf numFmtId="3" fontId="10" fillId="0" borderId="1" xfId="0" applyNumberFormat="1" applyFont="1" applyFill="1" applyBorder="1" applyAlignment="1">
      <alignment horizontal="right" vertical="center"/>
    </xf>
    <xf numFmtId="10" fontId="10" fillId="0" borderId="1" xfId="0" applyNumberFormat="1" applyFont="1" applyFill="1" applyBorder="1" applyAlignment="1" applyProtection="1">
      <alignment horizontal="right" vertical="center"/>
    </xf>
    <xf numFmtId="10" fontId="16" fillId="0" borderId="1" xfId="0" applyNumberFormat="1" applyFont="1" applyFill="1" applyBorder="1" applyAlignment="1" applyProtection="1">
      <alignment horizontal="right" vertical="center"/>
    </xf>
    <xf numFmtId="10" fontId="10" fillId="0" borderId="1" xfId="0" applyNumberFormat="1" applyFont="1" applyFill="1" applyBorder="1" applyAlignment="1" applyProtection="1">
      <alignment horizontal="right" vertical="center"/>
      <protection locked="0"/>
    </xf>
    <xf numFmtId="10" fontId="16" fillId="0" borderId="1" xfId="0" applyNumberFormat="1" applyFont="1" applyFill="1" applyBorder="1" applyAlignment="1">
      <alignment horizontal="right" vertical="center"/>
    </xf>
    <xf numFmtId="3" fontId="12" fillId="0" borderId="0" xfId="0" applyNumberFormat="1" applyFont="1" applyFill="1" applyAlignment="1">
      <alignment horizontal="center" vertical="center"/>
    </xf>
    <xf numFmtId="0" fontId="15" fillId="2" borderId="1" xfId="18" applyFont="1" applyFill="1" applyBorder="1" applyAlignment="1" applyProtection="1">
      <alignment horizontal="left" vertical="center" wrapText="1" indent="1"/>
    </xf>
    <xf numFmtId="0" fontId="36" fillId="0" borderId="1" xfId="18" applyFont="1" applyFill="1" applyBorder="1" applyAlignment="1" applyProtection="1">
      <alignment horizontal="left" vertical="center" wrapText="1" indent="3"/>
    </xf>
    <xf numFmtId="0" fontId="37" fillId="0" borderId="1" xfId="17" applyFont="1" applyFill="1" applyBorder="1" applyAlignment="1" applyProtection="1">
      <alignment horizontal="left" vertical="center" wrapText="1" indent="3"/>
    </xf>
    <xf numFmtId="0" fontId="37" fillId="0" borderId="1" xfId="17" applyFont="1" applyFill="1" applyBorder="1" applyAlignment="1" applyProtection="1">
      <alignment horizontal="left" vertical="center" wrapText="1" indent="4"/>
    </xf>
    <xf numFmtId="0" fontId="6" fillId="0" borderId="1" xfId="18" applyFont="1" applyFill="1" applyBorder="1" applyAlignment="1" applyProtection="1">
      <alignment horizontal="left" vertical="center" wrapText="1" indent="2"/>
    </xf>
    <xf numFmtId="0" fontId="38" fillId="0" borderId="1" xfId="18" applyFont="1" applyFill="1" applyBorder="1" applyAlignment="1" applyProtection="1">
      <alignment horizontal="left" vertical="center" wrapText="1" indent="3"/>
    </xf>
    <xf numFmtId="0" fontId="15" fillId="0" borderId="1" xfId="18" applyFont="1" applyFill="1" applyBorder="1" applyAlignment="1" applyProtection="1">
      <alignment horizontal="left" vertical="center" wrapText="1" indent="2"/>
    </xf>
    <xf numFmtId="0" fontId="6" fillId="0" borderId="1" xfId="16" applyFont="1" applyFill="1" applyBorder="1" applyAlignment="1" applyProtection="1">
      <alignment horizontal="left" vertical="center" wrapText="1" indent="2"/>
    </xf>
    <xf numFmtId="0" fontId="33" fillId="0" borderId="1" xfId="17" applyFont="1" applyFill="1" applyBorder="1" applyAlignment="1" applyProtection="1">
      <alignment horizontal="left" vertical="center" wrapText="1" indent="3"/>
    </xf>
    <xf numFmtId="0" fontId="33" fillId="0" borderId="1" xfId="17" applyFont="1" applyFill="1" applyBorder="1" applyAlignment="1" applyProtection="1">
      <alignment horizontal="left" vertical="center" wrapText="1" indent="4"/>
    </xf>
    <xf numFmtId="0" fontId="22" fillId="0" borderId="0" xfId="0" applyFont="1" applyFill="1" applyBorder="1" applyAlignment="1" applyProtection="1">
      <alignment vertical="center"/>
      <protection locked="0"/>
    </xf>
    <xf numFmtId="168" fontId="35" fillId="0" borderId="0" xfId="19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3" fontId="14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10" fontId="14" fillId="0" borderId="1" xfId="0" applyNumberFormat="1" applyFont="1" applyFill="1" applyBorder="1" applyAlignment="1">
      <alignment horizontal="right" vertical="center"/>
    </xf>
    <xf numFmtId="0" fontId="23" fillId="0" borderId="1" xfId="17" applyFont="1" applyFill="1" applyBorder="1" applyAlignment="1" applyProtection="1">
      <alignment horizontal="left" vertical="center" wrapText="1" indent="1"/>
    </xf>
    <xf numFmtId="0" fontId="11" fillId="2" borderId="1" xfId="16" applyFont="1" applyFill="1" applyBorder="1" applyAlignment="1" applyProtection="1">
      <alignment horizontal="center" vertical="center" wrapText="1"/>
    </xf>
    <xf numFmtId="3" fontId="32" fillId="2" borderId="3" xfId="0" applyNumberFormat="1" applyFont="1" applyFill="1" applyBorder="1" applyAlignment="1" applyProtection="1">
      <alignment horizontal="center" vertical="center" wrapText="1"/>
      <protection locked="0"/>
    </xf>
    <xf numFmtId="3" fontId="3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1" xfId="16" applyNumberFormat="1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23" fillId="2" borderId="1" xfId="18" applyFont="1" applyFill="1" applyBorder="1" applyAlignment="1" applyProtection="1">
      <alignment horizontal="left" vertical="center" wrapText="1" indent="1"/>
    </xf>
    <xf numFmtId="3" fontId="14" fillId="2" borderId="1" xfId="0" applyNumberFormat="1" applyFont="1" applyFill="1" applyBorder="1" applyAlignment="1">
      <alignment horizontal="right" vertical="center"/>
    </xf>
    <xf numFmtId="10" fontId="14" fillId="2" borderId="1" xfId="0" applyNumberFormat="1" applyFont="1" applyFill="1" applyBorder="1" applyAlignment="1">
      <alignment horizontal="right" vertical="center"/>
    </xf>
    <xf numFmtId="0" fontId="23" fillId="2" borderId="1" xfId="18" quotePrefix="1" applyFont="1" applyFill="1" applyBorder="1" applyAlignment="1" applyProtection="1">
      <alignment horizontal="left" vertical="center" wrapText="1" indent="1"/>
    </xf>
    <xf numFmtId="3" fontId="14" fillId="2" borderId="1" xfId="0" applyNumberFormat="1" applyFont="1" applyFill="1" applyBorder="1" applyAlignment="1" applyProtection="1">
      <alignment vertical="center"/>
      <protection locked="0"/>
    </xf>
    <xf numFmtId="3" fontId="14" fillId="2" borderId="1" xfId="0" applyNumberFormat="1" applyFont="1" applyFill="1" applyBorder="1" applyAlignment="1" applyProtection="1">
      <alignment horizontal="right" vertical="center"/>
      <protection locked="0"/>
    </xf>
    <xf numFmtId="10" fontId="14" fillId="2" borderId="1" xfId="0" applyNumberFormat="1" applyFont="1" applyFill="1" applyBorder="1" applyAlignment="1" applyProtection="1">
      <alignment vertical="center"/>
      <protection locked="0"/>
    </xf>
    <xf numFmtId="0" fontId="13" fillId="2" borderId="1" xfId="18" applyFont="1" applyFill="1" applyBorder="1" applyAlignment="1" applyProtection="1">
      <alignment horizontal="left" vertical="center" wrapText="1" indent="2"/>
    </xf>
    <xf numFmtId="3" fontId="16" fillId="2" borderId="1" xfId="0" applyNumberFormat="1" applyFont="1" applyFill="1" applyBorder="1" applyAlignment="1">
      <alignment horizontal="right" vertical="center"/>
    </xf>
    <xf numFmtId="10" fontId="16" fillId="2" borderId="1" xfId="0" applyNumberFormat="1" applyFont="1" applyFill="1" applyBorder="1" applyAlignment="1">
      <alignment horizontal="right" vertical="center"/>
    </xf>
    <xf numFmtId="0" fontId="12" fillId="2" borderId="1" xfId="18" applyFont="1" applyFill="1" applyBorder="1" applyAlignment="1" applyProtection="1">
      <alignment horizontal="left" vertical="center" wrapText="1" indent="1"/>
    </xf>
    <xf numFmtId="0" fontId="23" fillId="2" borderId="1" xfId="17" applyFont="1" applyFill="1" applyBorder="1" applyAlignment="1" applyProtection="1">
      <alignment horizontal="left" vertical="center" wrapText="1" indent="1"/>
    </xf>
    <xf numFmtId="0" fontId="23" fillId="2" borderId="2" xfId="18" applyFont="1" applyFill="1" applyBorder="1" applyAlignment="1" applyProtection="1">
      <alignment horizontal="left" vertical="center" wrapText="1" indent="1"/>
    </xf>
    <xf numFmtId="3" fontId="17" fillId="2" borderId="1" xfId="0" applyNumberFormat="1" applyFont="1" applyFill="1" applyBorder="1" applyAlignment="1">
      <alignment horizontal="right" vertical="center"/>
    </xf>
    <xf numFmtId="10" fontId="17" fillId="2" borderId="1" xfId="0" applyNumberFormat="1" applyFont="1" applyFill="1" applyBorder="1" applyAlignment="1">
      <alignment horizontal="right" vertical="center"/>
    </xf>
    <xf numFmtId="0" fontId="23" fillId="2" borderId="2" xfId="17" applyFont="1" applyFill="1" applyBorder="1" applyAlignment="1" applyProtection="1">
      <alignment horizontal="left" vertical="center" wrapText="1" indent="1"/>
    </xf>
    <xf numFmtId="3" fontId="14" fillId="2" borderId="1" xfId="0" applyNumberFormat="1" applyFont="1" applyFill="1" applyBorder="1" applyAlignment="1">
      <alignment vertical="center"/>
    </xf>
    <xf numFmtId="168" fontId="17" fillId="2" borderId="1" xfId="0" applyNumberFormat="1" applyFont="1" applyFill="1" applyBorder="1" applyAlignment="1">
      <alignment horizontal="right" vertical="center"/>
    </xf>
    <xf numFmtId="0" fontId="13" fillId="2" borderId="1" xfId="18" applyFont="1" applyFill="1" applyBorder="1" applyAlignment="1" applyProtection="1">
      <alignment horizontal="left" vertical="center" wrapText="1" indent="1"/>
    </xf>
    <xf numFmtId="10" fontId="14" fillId="2" borderId="1" xfId="0" applyNumberFormat="1" applyFont="1" applyFill="1" applyBorder="1" applyAlignment="1" applyProtection="1">
      <alignment horizontal="right" vertical="center"/>
      <protection locked="0"/>
    </xf>
    <xf numFmtId="3" fontId="14" fillId="2" borderId="1" xfId="0" applyNumberFormat="1" applyFont="1" applyFill="1" applyBorder="1" applyAlignment="1" applyProtection="1">
      <alignment vertical="center"/>
    </xf>
    <xf numFmtId="10" fontId="14" fillId="2" borderId="1" xfId="0" applyNumberFormat="1" applyFont="1" applyFill="1" applyBorder="1" applyAlignment="1" applyProtection="1">
      <alignment horizontal="right" vertical="center"/>
    </xf>
    <xf numFmtId="3" fontId="19" fillId="0" borderId="0" xfId="0" applyNumberFormat="1" applyFont="1" applyFill="1"/>
    <xf numFmtId="0" fontId="4" fillId="0" borderId="0" xfId="0" applyFont="1" applyFill="1" applyBorder="1" applyAlignment="1">
      <alignment horizontal="center"/>
    </xf>
    <xf numFmtId="0" fontId="6" fillId="2" borderId="1" xfId="18" applyFont="1" applyFill="1" applyBorder="1" applyAlignment="1" applyProtection="1">
      <alignment horizontal="center" vertical="center" wrapText="1"/>
      <protection locked="0"/>
    </xf>
    <xf numFmtId="0" fontId="24" fillId="0" borderId="1" xfId="18" applyFont="1" applyFill="1" applyBorder="1" applyAlignment="1" applyProtection="1">
      <alignment horizontal="center" vertical="center" wrapText="1"/>
    </xf>
    <xf numFmtId="0" fontId="36" fillId="0" borderId="1" xfId="18" applyFont="1" applyFill="1" applyBorder="1" applyAlignment="1" applyProtection="1">
      <alignment horizontal="center" vertical="center" wrapText="1"/>
    </xf>
    <xf numFmtId="0" fontId="25" fillId="0" borderId="1" xfId="18" applyFont="1" applyFill="1" applyBorder="1" applyAlignment="1" applyProtection="1">
      <alignment horizontal="center" vertical="center" wrapText="1"/>
    </xf>
    <xf numFmtId="0" fontId="26" fillId="0" borderId="1" xfId="18" applyFont="1" applyFill="1" applyBorder="1" applyAlignment="1" applyProtection="1">
      <alignment horizontal="center" vertical="center" wrapText="1"/>
    </xf>
    <xf numFmtId="0" fontId="12" fillId="0" borderId="1" xfId="18" applyFont="1" applyFill="1" applyBorder="1" applyAlignment="1" applyProtection="1">
      <alignment horizontal="center" vertical="center" wrapText="1"/>
    </xf>
    <xf numFmtId="0" fontId="13" fillId="2" borderId="1" xfId="18" applyFont="1" applyFill="1" applyBorder="1" applyAlignment="1" applyProtection="1">
      <alignment horizontal="center" vertical="center" wrapText="1"/>
      <protection locked="0"/>
    </xf>
    <xf numFmtId="0" fontId="37" fillId="0" borderId="1" xfId="18" applyFont="1" applyFill="1" applyBorder="1" applyAlignment="1" applyProtection="1">
      <alignment horizontal="center" vertical="center" wrapText="1"/>
    </xf>
    <xf numFmtId="0" fontId="13" fillId="2" borderId="1" xfId="18" applyFont="1" applyFill="1" applyBorder="1" applyAlignment="1" applyProtection="1">
      <alignment horizontal="center" vertical="center" wrapText="1"/>
    </xf>
    <xf numFmtId="0" fontId="23" fillId="2" borderId="1" xfId="18" applyFont="1" applyFill="1" applyBorder="1" applyAlignment="1" applyProtection="1">
      <alignment horizontal="center" vertical="center" wrapText="1"/>
    </xf>
    <xf numFmtId="0" fontId="13" fillId="0" borderId="1" xfId="18" applyFont="1" applyFill="1" applyBorder="1" applyAlignment="1" applyProtection="1">
      <alignment horizontal="center" vertical="center" wrapText="1"/>
    </xf>
    <xf numFmtId="0" fontId="13" fillId="0" borderId="1" xfId="18" quotePrefix="1" applyFont="1" applyFill="1" applyBorder="1" applyAlignment="1" applyProtection="1">
      <alignment horizontal="center" vertical="center" wrapText="1"/>
    </xf>
    <xf numFmtId="0" fontId="23" fillId="2" borderId="1" xfId="18" quotePrefix="1" applyFont="1" applyFill="1" applyBorder="1" applyAlignment="1" applyProtection="1">
      <alignment horizontal="center" vertical="center" wrapText="1"/>
    </xf>
    <xf numFmtId="0" fontId="6" fillId="0" borderId="1" xfId="18" applyFont="1" applyFill="1" applyBorder="1" applyAlignment="1" applyProtection="1">
      <alignment horizontal="center" vertical="center" wrapText="1"/>
    </xf>
    <xf numFmtId="0" fontId="38" fillId="0" borderId="1" xfId="18" applyFont="1" applyFill="1" applyBorder="1" applyAlignment="1" applyProtection="1">
      <alignment horizontal="center" vertical="center" wrapText="1"/>
    </xf>
    <xf numFmtId="0" fontId="15" fillId="0" borderId="1" xfId="18" applyFont="1" applyFill="1" applyBorder="1" applyAlignment="1" applyProtection="1">
      <alignment horizontal="center" vertical="center" wrapText="1"/>
    </xf>
    <xf numFmtId="0" fontId="12" fillId="2" borderId="1" xfId="18" applyFont="1" applyFill="1" applyBorder="1" applyAlignment="1" applyProtection="1">
      <alignment horizontal="center" vertical="center" wrapText="1"/>
    </xf>
    <xf numFmtId="0" fontId="33" fillId="0" borderId="1" xfId="18" applyFont="1" applyFill="1" applyBorder="1" applyAlignment="1" applyProtection="1">
      <alignment horizontal="center" vertical="center" wrapText="1"/>
    </xf>
    <xf numFmtId="0" fontId="23" fillId="2" borderId="1" xfId="17" applyFont="1" applyFill="1" applyBorder="1" applyAlignment="1" applyProtection="1">
      <alignment horizontal="center" vertical="center" wrapText="1"/>
    </xf>
    <xf numFmtId="0" fontId="23" fillId="0" borderId="1" xfId="17" applyFont="1" applyFill="1" applyBorder="1" applyAlignment="1" applyProtection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0" xfId="0" applyFont="1" applyFill="1" applyAlignment="1" applyProtection="1">
      <alignment horizontal="right" vertical="center" wrapText="1"/>
      <protection locked="0"/>
    </xf>
  </cellXfs>
  <cellStyles count="21">
    <cellStyle name="_PERSONAL" xfId="1"/>
    <cellStyle name="_PERSONAL_1" xfId="2"/>
    <cellStyle name="_PERSONAL_1_dialKartaDziałkiczI (2)" xfId="3"/>
    <cellStyle name="_PERSONAL_1_dialTabelaIDSP (2)" xfId="4"/>
    <cellStyle name="_PERSONAL_1_dialTabelaIIAIWO (2)" xfId="5"/>
    <cellStyle name="_PERSONAL_1_EDUKACJA" xfId="6"/>
    <cellStyle name="_PERSONAL_1_Tabela wskaźników" xfId="7"/>
    <cellStyle name="_PERSONAL_1_Zeszyt3" xfId="8"/>
    <cellStyle name="Comma [0]_laroux" xfId="9"/>
    <cellStyle name="Comma_laroux" xfId="10"/>
    <cellStyle name="Currency [0]_laroux" xfId="11"/>
    <cellStyle name="Currency_laroux" xfId="12"/>
    <cellStyle name="Dziesiętny 2" xfId="13"/>
    <cellStyle name="Normal_laroux" xfId="14"/>
    <cellStyle name="normální_laroux" xfId="15"/>
    <cellStyle name="Normalny" xfId="0" builtinId="0"/>
    <cellStyle name="Normalny_03PlFin_0403" xfId="16"/>
    <cellStyle name="Normalny_WfMgkr1" xfId="17"/>
    <cellStyle name="Normalny_Wzór z 09.10.2001" xfId="18"/>
    <cellStyle name="Procentowy" xfId="19" builtinId="5"/>
    <cellStyle name="Styl 1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17P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arzyna.sadowska/Ustawienia%20lokalne/Temporary%20Internet%20Files/OLK78/Baza%20Danych%201999/Plany%20Finansowe/Ok/17P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01p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01pw"/>
      <sheetName val="01pw.xls"/>
    </sheetNames>
    <definedNames>
      <definedName name="PETLA"/>
    </defined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5"/>
  <sheetViews>
    <sheetView showGridLines="0" tabSelected="1" view="pageBreakPreview" zoomScale="55" zoomScaleNormal="55" zoomScaleSheetLayoutView="55" workbookViewId="0">
      <pane xSplit="2" ySplit="5" topLeftCell="C6" activePane="bottomRight" state="frozen"/>
      <selection activeCell="B48" sqref="B48"/>
      <selection pane="topRight" activeCell="B48" sqref="B48"/>
      <selection pane="bottomLeft" activeCell="B48" sqref="B48"/>
      <selection pane="bottomRight" activeCell="I9" sqref="I9"/>
    </sheetView>
  </sheetViews>
  <sheetFormatPr defaultRowHeight="12.75" x14ac:dyDescent="0.2"/>
  <cols>
    <col min="1" max="1" width="15.5703125" style="12" customWidth="1"/>
    <col min="2" max="2" width="125.85546875" style="12" customWidth="1"/>
    <col min="3" max="3" width="26.7109375" style="3" customWidth="1"/>
    <col min="4" max="4" width="26.85546875" style="3" customWidth="1"/>
    <col min="5" max="6" width="20.7109375" style="3" customWidth="1"/>
    <col min="7" max="8" width="9.140625" style="3"/>
    <col min="9" max="9" width="25.85546875" style="3" bestFit="1" customWidth="1"/>
    <col min="10" max="11" width="9.140625" style="3" customWidth="1"/>
    <col min="12" max="16384" width="9.140625" style="3"/>
  </cols>
  <sheetData>
    <row r="1" spans="1:9" s="28" customFormat="1" ht="72.75" customHeight="1" x14ac:dyDescent="0.35">
      <c r="A1" s="112" t="s">
        <v>202</v>
      </c>
      <c r="B1" s="112"/>
      <c r="C1" s="112"/>
      <c r="D1" s="112"/>
      <c r="E1" s="112"/>
      <c r="F1" s="112"/>
    </row>
    <row r="2" spans="1:9" s="21" customFormat="1" ht="35.25" customHeight="1" x14ac:dyDescent="0.3">
      <c r="A2" s="111" t="s">
        <v>164</v>
      </c>
      <c r="B2" s="111"/>
      <c r="C2" s="36"/>
    </row>
    <row r="3" spans="1:9" s="6" customFormat="1" ht="36" customHeight="1" x14ac:dyDescent="0.25">
      <c r="A3" s="4"/>
      <c r="B3" s="5"/>
      <c r="C3" s="35"/>
      <c r="D3" s="35"/>
      <c r="E3" s="35" t="s">
        <v>138</v>
      </c>
    </row>
    <row r="4" spans="1:9" s="59" customFormat="1" ht="65.099999999999994" customHeight="1" x14ac:dyDescent="0.2">
      <c r="A4" s="62" t="s">
        <v>115</v>
      </c>
      <c r="B4" s="62" t="s">
        <v>52</v>
      </c>
      <c r="C4" s="63" t="s">
        <v>195</v>
      </c>
      <c r="D4" s="63" t="s">
        <v>167</v>
      </c>
      <c r="E4" s="64" t="s">
        <v>168</v>
      </c>
      <c r="F4" s="64" t="s">
        <v>169</v>
      </c>
    </row>
    <row r="5" spans="1:9" ht="19.5" customHeight="1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9" s="10" customFormat="1" ht="63.75" customHeight="1" x14ac:dyDescent="0.4">
      <c r="A6" s="100">
        <v>1</v>
      </c>
      <c r="B6" s="67" t="s">
        <v>173</v>
      </c>
      <c r="C6" s="68">
        <f>C7+C8</f>
        <v>79137176</v>
      </c>
      <c r="D6" s="68">
        <f>D7+D8</f>
        <v>79137176</v>
      </c>
      <c r="E6" s="68" t="str">
        <f>IF(C6=D6,"-",D6-C6)</f>
        <v>-</v>
      </c>
      <c r="F6" s="69">
        <f>IF(C6=0,"-",D6/C6)</f>
        <v>1</v>
      </c>
      <c r="I6" s="89"/>
    </row>
    <row r="7" spans="1:9" ht="30" customHeight="1" x14ac:dyDescent="0.4">
      <c r="A7" s="101" t="s">
        <v>75</v>
      </c>
      <c r="B7" s="24" t="s">
        <v>76</v>
      </c>
      <c r="C7" s="7">
        <v>75773210</v>
      </c>
      <c r="D7" s="7">
        <f>C7</f>
        <v>75773210</v>
      </c>
      <c r="E7" s="7" t="str">
        <f t="shared" ref="E7:E82" si="0">IF(C7=D7,"-",D7-C7)</f>
        <v>-</v>
      </c>
      <c r="F7" s="42">
        <f t="shared" ref="F7:F82" si="1">IF(C7=0,"-",D7/C7)</f>
        <v>1</v>
      </c>
      <c r="I7" s="89"/>
    </row>
    <row r="8" spans="1:9" ht="30" customHeight="1" x14ac:dyDescent="0.4">
      <c r="A8" s="101" t="s">
        <v>77</v>
      </c>
      <c r="B8" s="24" t="s">
        <v>78</v>
      </c>
      <c r="C8" s="7">
        <v>3363966</v>
      </c>
      <c r="D8" s="7">
        <f>C8</f>
        <v>3363966</v>
      </c>
      <c r="E8" s="7" t="str">
        <f t="shared" si="0"/>
        <v>-</v>
      </c>
      <c r="F8" s="42">
        <f t="shared" si="1"/>
        <v>1</v>
      </c>
      <c r="I8" s="89"/>
    </row>
    <row r="9" spans="1:9" s="10" customFormat="1" ht="38.25" customHeight="1" x14ac:dyDescent="0.4">
      <c r="A9" s="100">
        <v>2</v>
      </c>
      <c r="B9" s="67" t="s">
        <v>174</v>
      </c>
      <c r="C9" s="68">
        <f>C10+C11</f>
        <v>0</v>
      </c>
      <c r="D9" s="68">
        <f>D10+D11</f>
        <v>0</v>
      </c>
      <c r="E9" s="68" t="str">
        <f t="shared" si="0"/>
        <v>-</v>
      </c>
      <c r="F9" s="69" t="str">
        <f t="shared" si="1"/>
        <v>-</v>
      </c>
      <c r="I9" s="89"/>
    </row>
    <row r="10" spans="1:9" ht="30" customHeight="1" x14ac:dyDescent="0.4">
      <c r="A10" s="101" t="s">
        <v>79</v>
      </c>
      <c r="B10" s="24" t="s">
        <v>80</v>
      </c>
      <c r="C10" s="7">
        <v>0</v>
      </c>
      <c r="D10" s="7">
        <f>C10</f>
        <v>0</v>
      </c>
      <c r="E10" s="7" t="str">
        <f t="shared" si="0"/>
        <v>-</v>
      </c>
      <c r="F10" s="42" t="str">
        <f t="shared" si="1"/>
        <v>-</v>
      </c>
      <c r="I10" s="89"/>
    </row>
    <row r="11" spans="1:9" ht="30" customHeight="1" x14ac:dyDescent="0.4">
      <c r="A11" s="101" t="s">
        <v>81</v>
      </c>
      <c r="B11" s="24" t="s">
        <v>82</v>
      </c>
      <c r="C11" s="7">
        <v>0</v>
      </c>
      <c r="D11" s="7">
        <f>C11</f>
        <v>0</v>
      </c>
      <c r="E11" s="7" t="str">
        <f t="shared" si="0"/>
        <v>-</v>
      </c>
      <c r="F11" s="42" t="str">
        <f t="shared" si="1"/>
        <v>-</v>
      </c>
      <c r="I11" s="89"/>
    </row>
    <row r="12" spans="1:9" s="10" customFormat="1" ht="39.75" customHeight="1" x14ac:dyDescent="0.4">
      <c r="A12" s="100">
        <v>3</v>
      </c>
      <c r="B12" s="67" t="s">
        <v>175</v>
      </c>
      <c r="C12" s="68">
        <f>C13+C14</f>
        <v>150000</v>
      </c>
      <c r="D12" s="68">
        <f>D13+D14</f>
        <v>150000</v>
      </c>
      <c r="E12" s="68" t="str">
        <f t="shared" si="0"/>
        <v>-</v>
      </c>
      <c r="F12" s="69">
        <f t="shared" si="1"/>
        <v>1</v>
      </c>
      <c r="I12" s="89"/>
    </row>
    <row r="13" spans="1:9" ht="30" customHeight="1" x14ac:dyDescent="0.4">
      <c r="A13" s="101" t="s">
        <v>83</v>
      </c>
      <c r="B13" s="24" t="s">
        <v>76</v>
      </c>
      <c r="C13" s="7">
        <v>150000</v>
      </c>
      <c r="D13" s="7">
        <f>C13</f>
        <v>150000</v>
      </c>
      <c r="E13" s="7" t="str">
        <f t="shared" si="0"/>
        <v>-</v>
      </c>
      <c r="F13" s="42">
        <f t="shared" si="1"/>
        <v>1</v>
      </c>
      <c r="I13" s="89"/>
    </row>
    <row r="14" spans="1:9" ht="30" customHeight="1" x14ac:dyDescent="0.4">
      <c r="A14" s="101" t="s">
        <v>84</v>
      </c>
      <c r="B14" s="24" t="s">
        <v>78</v>
      </c>
      <c r="C14" s="7">
        <v>0</v>
      </c>
      <c r="D14" s="7">
        <f>C14</f>
        <v>0</v>
      </c>
      <c r="E14" s="7" t="str">
        <f t="shared" si="0"/>
        <v>-</v>
      </c>
      <c r="F14" s="42" t="str">
        <f t="shared" si="1"/>
        <v>-</v>
      </c>
      <c r="I14" s="89"/>
    </row>
    <row r="15" spans="1:9" s="10" customFormat="1" ht="39" customHeight="1" x14ac:dyDescent="0.4">
      <c r="A15" s="100">
        <v>4</v>
      </c>
      <c r="B15" s="67" t="s">
        <v>176</v>
      </c>
      <c r="C15" s="68">
        <f>C16+C17</f>
        <v>154550</v>
      </c>
      <c r="D15" s="68">
        <f>D16+D17</f>
        <v>154550</v>
      </c>
      <c r="E15" s="68" t="str">
        <f t="shared" si="0"/>
        <v>-</v>
      </c>
      <c r="F15" s="69">
        <f t="shared" si="1"/>
        <v>1</v>
      </c>
      <c r="I15" s="89"/>
    </row>
    <row r="16" spans="1:9" ht="30" customHeight="1" x14ac:dyDescent="0.4">
      <c r="A16" s="102" t="s">
        <v>85</v>
      </c>
      <c r="B16" s="24" t="s">
        <v>86</v>
      </c>
      <c r="C16" s="7">
        <v>151546</v>
      </c>
      <c r="D16" s="7">
        <f>C16</f>
        <v>151546</v>
      </c>
      <c r="E16" s="7" t="str">
        <f t="shared" si="0"/>
        <v>-</v>
      </c>
      <c r="F16" s="42">
        <f t="shared" si="1"/>
        <v>1</v>
      </c>
      <c r="I16" s="89"/>
    </row>
    <row r="17" spans="1:9" ht="30" customHeight="1" x14ac:dyDescent="0.4">
      <c r="A17" s="102" t="s">
        <v>87</v>
      </c>
      <c r="B17" s="24" t="s">
        <v>88</v>
      </c>
      <c r="C17" s="7">
        <v>3004</v>
      </c>
      <c r="D17" s="7">
        <f>C17</f>
        <v>3004</v>
      </c>
      <c r="E17" s="7" t="str">
        <f t="shared" si="0"/>
        <v>-</v>
      </c>
      <c r="F17" s="42">
        <f t="shared" si="1"/>
        <v>1</v>
      </c>
      <c r="I17" s="89"/>
    </row>
    <row r="18" spans="1:9" s="10" customFormat="1" ht="51" x14ac:dyDescent="0.4">
      <c r="A18" s="100">
        <v>5</v>
      </c>
      <c r="B18" s="67" t="s">
        <v>201</v>
      </c>
      <c r="C18" s="68">
        <v>26148</v>
      </c>
      <c r="D18" s="68">
        <f>C18</f>
        <v>26148</v>
      </c>
      <c r="E18" s="68" t="str">
        <f t="shared" si="0"/>
        <v>-</v>
      </c>
      <c r="F18" s="69">
        <f t="shared" si="1"/>
        <v>1</v>
      </c>
      <c r="I18" s="89"/>
    </row>
    <row r="19" spans="1:9" s="10" customFormat="1" ht="63.75" customHeight="1" x14ac:dyDescent="0.4">
      <c r="A19" s="103" t="s">
        <v>127</v>
      </c>
      <c r="B19" s="70" t="s">
        <v>170</v>
      </c>
      <c r="C19" s="68">
        <f>(C6-C9+C12-C15-C18)+C20+C21+C22+C23</f>
        <v>82676989</v>
      </c>
      <c r="D19" s="68">
        <f>(D6-D9+D12-D15-D18)+D20+D21+D22+D23</f>
        <v>82676989</v>
      </c>
      <c r="E19" s="68" t="str">
        <f t="shared" si="0"/>
        <v>-</v>
      </c>
      <c r="F19" s="69">
        <f t="shared" si="1"/>
        <v>1</v>
      </c>
      <c r="I19" s="89"/>
    </row>
    <row r="20" spans="1:9" ht="31.5" customHeight="1" x14ac:dyDescent="0.4">
      <c r="A20" s="101" t="s">
        <v>89</v>
      </c>
      <c r="B20" s="25" t="s">
        <v>90</v>
      </c>
      <c r="C20" s="7">
        <v>241860</v>
      </c>
      <c r="D20" s="7">
        <f>C20</f>
        <v>241860</v>
      </c>
      <c r="E20" s="7" t="str">
        <f t="shared" si="0"/>
        <v>-</v>
      </c>
      <c r="F20" s="42">
        <f t="shared" si="1"/>
        <v>1</v>
      </c>
      <c r="I20" s="89"/>
    </row>
    <row r="21" spans="1:9" ht="31.5" customHeight="1" x14ac:dyDescent="0.4">
      <c r="A21" s="101" t="s">
        <v>91</v>
      </c>
      <c r="B21" s="25" t="s">
        <v>92</v>
      </c>
      <c r="C21" s="7">
        <v>4790</v>
      </c>
      <c r="D21" s="7">
        <f>C21</f>
        <v>4790</v>
      </c>
      <c r="E21" s="7" t="str">
        <f t="shared" si="0"/>
        <v>-</v>
      </c>
      <c r="F21" s="42">
        <f t="shared" si="1"/>
        <v>1</v>
      </c>
      <c r="I21" s="89"/>
    </row>
    <row r="22" spans="1:9" ht="50.25" customHeight="1" x14ac:dyDescent="0.4">
      <c r="A22" s="101" t="s">
        <v>93</v>
      </c>
      <c r="B22" s="25" t="s">
        <v>194</v>
      </c>
      <c r="C22" s="7">
        <v>1412558</v>
      </c>
      <c r="D22" s="7">
        <f>C22</f>
        <v>1412558</v>
      </c>
      <c r="E22" s="7" t="str">
        <f t="shared" si="0"/>
        <v>-</v>
      </c>
      <c r="F22" s="42">
        <f t="shared" si="1"/>
        <v>1</v>
      </c>
      <c r="I22" s="89"/>
    </row>
    <row r="23" spans="1:9" ht="31.5" customHeight="1" x14ac:dyDescent="0.4">
      <c r="A23" s="101" t="s">
        <v>94</v>
      </c>
      <c r="B23" s="26" t="s">
        <v>95</v>
      </c>
      <c r="C23" s="7">
        <v>1911303</v>
      </c>
      <c r="D23" s="7">
        <f>C23</f>
        <v>1911303</v>
      </c>
      <c r="E23" s="7" t="str">
        <f t="shared" si="0"/>
        <v>-</v>
      </c>
      <c r="F23" s="42">
        <f t="shared" si="1"/>
        <v>1</v>
      </c>
      <c r="I23" s="89"/>
    </row>
    <row r="24" spans="1:9" s="10" customFormat="1" ht="36" customHeight="1" x14ac:dyDescent="0.4">
      <c r="A24" s="103" t="s">
        <v>128</v>
      </c>
      <c r="B24" s="70" t="s">
        <v>189</v>
      </c>
      <c r="C24" s="68">
        <f>C25+C26+C56+C57+C58</f>
        <v>81949854</v>
      </c>
      <c r="D24" s="68">
        <f>D25+D26+D56+D57+D58</f>
        <v>81949854</v>
      </c>
      <c r="E24" s="68" t="str">
        <f t="shared" si="0"/>
        <v>-</v>
      </c>
      <c r="F24" s="69">
        <f t="shared" si="1"/>
        <v>1</v>
      </c>
      <c r="I24" s="89"/>
    </row>
    <row r="25" spans="1:9" s="10" customFormat="1" ht="36" customHeight="1" x14ac:dyDescent="0.4">
      <c r="A25" s="103" t="s">
        <v>96</v>
      </c>
      <c r="B25" s="70" t="s">
        <v>97</v>
      </c>
      <c r="C25" s="68">
        <v>791372</v>
      </c>
      <c r="D25" s="68">
        <f>C25-280860</f>
        <v>510512</v>
      </c>
      <c r="E25" s="68">
        <f t="shared" si="0"/>
        <v>-280860</v>
      </c>
      <c r="F25" s="69">
        <f t="shared" si="1"/>
        <v>0.64510000000000001</v>
      </c>
      <c r="I25" s="89"/>
    </row>
    <row r="26" spans="1:9" s="10" customFormat="1" ht="36" customHeight="1" x14ac:dyDescent="0.4">
      <c r="A26" s="103" t="s">
        <v>0</v>
      </c>
      <c r="B26" s="70" t="s">
        <v>200</v>
      </c>
      <c r="C26" s="71">
        <f>C27+C28+C29+C34+C35+C36+C37+C38+C39+C40+C41+C42+C43+C44+C48+C49+C51+C52+C53+C54+C55</f>
        <v>78599089</v>
      </c>
      <c r="D26" s="71">
        <f>D27+D28+D29+D34+D35+D36+D37+D38+D39+D40+D41+D42+D43+D44+D48+D49+D51+D52+D53+D54+D55</f>
        <v>78879949</v>
      </c>
      <c r="E26" s="72">
        <f>IF(C26=D26,"-",D26-C26)</f>
        <v>280860</v>
      </c>
      <c r="F26" s="73">
        <f t="shared" si="1"/>
        <v>1.0036</v>
      </c>
      <c r="I26" s="89"/>
    </row>
    <row r="27" spans="1:9" ht="30" customHeight="1" x14ac:dyDescent="0.4">
      <c r="A27" s="104" t="s">
        <v>1</v>
      </c>
      <c r="B27" s="48" t="s">
        <v>116</v>
      </c>
      <c r="C27" s="7">
        <f>CENTRALA!C7+'Razem OW'!C7</f>
        <v>10544040</v>
      </c>
      <c r="D27" s="7">
        <f>CENTRALA!D7+'Razem OW'!D7</f>
        <v>10544040</v>
      </c>
      <c r="E27" s="7" t="str">
        <f t="shared" si="0"/>
        <v>-</v>
      </c>
      <c r="F27" s="42">
        <f t="shared" si="1"/>
        <v>1</v>
      </c>
      <c r="I27" s="89"/>
    </row>
    <row r="28" spans="1:9" ht="30" customHeight="1" x14ac:dyDescent="0.4">
      <c r="A28" s="104" t="s">
        <v>2</v>
      </c>
      <c r="B28" s="48" t="s">
        <v>117</v>
      </c>
      <c r="C28" s="7">
        <f>CENTRALA!C8+'Razem OW'!C8</f>
        <v>4498003</v>
      </c>
      <c r="D28" s="7">
        <f>CENTRALA!D8+'Razem OW'!D8</f>
        <v>4498003</v>
      </c>
      <c r="E28" s="7" t="str">
        <f>IF(C28=D28,"-",D28-C28)</f>
        <v>-</v>
      </c>
      <c r="F28" s="42">
        <f t="shared" si="1"/>
        <v>1</v>
      </c>
      <c r="I28" s="89"/>
    </row>
    <row r="29" spans="1:9" ht="30" customHeight="1" x14ac:dyDescent="0.4">
      <c r="A29" s="104" t="s">
        <v>3</v>
      </c>
      <c r="B29" s="48" t="s">
        <v>114</v>
      </c>
      <c r="C29" s="7">
        <f>CENTRALA!C9+'Razem OW'!C9</f>
        <v>40134546</v>
      </c>
      <c r="D29" s="7">
        <f>CENTRALA!D9+'Razem OW'!D9</f>
        <v>40314546</v>
      </c>
      <c r="E29" s="7">
        <f t="shared" si="0"/>
        <v>180000</v>
      </c>
      <c r="F29" s="42">
        <f t="shared" si="1"/>
        <v>1.0044999999999999</v>
      </c>
      <c r="I29" s="89"/>
    </row>
    <row r="30" spans="1:9" ht="30" customHeight="1" x14ac:dyDescent="0.4">
      <c r="A30" s="105" t="s">
        <v>54</v>
      </c>
      <c r="B30" s="49" t="s">
        <v>199</v>
      </c>
      <c r="C30" s="7">
        <f>CENTRALA!C10+'Razem OW'!C10</f>
        <v>3626597</v>
      </c>
      <c r="D30" s="7">
        <f>CENTRALA!D10+'Razem OW'!D10</f>
        <v>3626597</v>
      </c>
      <c r="E30" s="7" t="str">
        <f t="shared" si="0"/>
        <v>-</v>
      </c>
      <c r="F30" s="42">
        <f t="shared" si="1"/>
        <v>1</v>
      </c>
      <c r="I30" s="89"/>
    </row>
    <row r="31" spans="1:9" ht="30" customHeight="1" x14ac:dyDescent="0.4">
      <c r="A31" s="105" t="s">
        <v>139</v>
      </c>
      <c r="B31" s="49" t="s">
        <v>142</v>
      </c>
      <c r="C31" s="7">
        <f>CENTRALA!C11+'Razem OW'!C11</f>
        <v>3297242</v>
      </c>
      <c r="D31" s="7">
        <f>CENTRALA!D11+'Razem OW'!D11</f>
        <v>3297242</v>
      </c>
      <c r="E31" s="7" t="str">
        <f t="shared" si="0"/>
        <v>-</v>
      </c>
      <c r="F31" s="42">
        <f t="shared" si="1"/>
        <v>1</v>
      </c>
      <c r="I31" s="89"/>
    </row>
    <row r="32" spans="1:9" ht="30" customHeight="1" x14ac:dyDescent="0.4">
      <c r="A32" s="105" t="s">
        <v>140</v>
      </c>
      <c r="B32" s="49" t="s">
        <v>143</v>
      </c>
      <c r="C32" s="7">
        <f>CENTRALA!C12+'Razem OW'!C12</f>
        <v>1448100</v>
      </c>
      <c r="D32" s="7">
        <f>CENTRALA!D12+'Razem OW'!D12</f>
        <v>1448100</v>
      </c>
      <c r="E32" s="7" t="str">
        <f t="shared" si="0"/>
        <v>-</v>
      </c>
      <c r="F32" s="42">
        <f t="shared" si="1"/>
        <v>1</v>
      </c>
      <c r="I32" s="89"/>
    </row>
    <row r="33" spans="1:9" ht="30" customHeight="1" x14ac:dyDescent="0.4">
      <c r="A33" s="105" t="s">
        <v>141</v>
      </c>
      <c r="B33" s="49" t="s">
        <v>144</v>
      </c>
      <c r="C33" s="7">
        <f>CENTRALA!C13+'Razem OW'!C13</f>
        <v>683143</v>
      </c>
      <c r="D33" s="7">
        <f>CENTRALA!D13+'Razem OW'!D13</f>
        <v>683143</v>
      </c>
      <c r="E33" s="7" t="str">
        <f t="shared" si="0"/>
        <v>-</v>
      </c>
      <c r="F33" s="42">
        <f t="shared" si="1"/>
        <v>1</v>
      </c>
      <c r="I33" s="89"/>
    </row>
    <row r="34" spans="1:9" ht="30" customHeight="1" x14ac:dyDescent="0.4">
      <c r="A34" s="104" t="s">
        <v>4</v>
      </c>
      <c r="B34" s="48" t="s">
        <v>122</v>
      </c>
      <c r="C34" s="7">
        <f>CENTRALA!C14+'Razem OW'!C14</f>
        <v>2852304</v>
      </c>
      <c r="D34" s="7">
        <f>CENTRALA!D14+'Razem OW'!D14</f>
        <v>2910044</v>
      </c>
      <c r="E34" s="7">
        <f t="shared" si="0"/>
        <v>57740</v>
      </c>
      <c r="F34" s="42">
        <f t="shared" si="1"/>
        <v>1.0202</v>
      </c>
      <c r="I34" s="89"/>
    </row>
    <row r="35" spans="1:9" ht="30" customHeight="1" x14ac:dyDescent="0.4">
      <c r="A35" s="104" t="s">
        <v>5</v>
      </c>
      <c r="B35" s="48" t="s">
        <v>118</v>
      </c>
      <c r="C35" s="7">
        <f>CENTRALA!C15+'Razem OW'!C15</f>
        <v>2419700</v>
      </c>
      <c r="D35" s="7">
        <f>CENTRALA!D15+'Razem OW'!D15</f>
        <v>2419700</v>
      </c>
      <c r="E35" s="7" t="str">
        <f t="shared" si="0"/>
        <v>-</v>
      </c>
      <c r="F35" s="42">
        <f t="shared" si="1"/>
        <v>1</v>
      </c>
      <c r="I35" s="89"/>
    </row>
    <row r="36" spans="1:9" ht="30" customHeight="1" x14ac:dyDescent="0.4">
      <c r="A36" s="104" t="s">
        <v>6</v>
      </c>
      <c r="B36" s="48" t="s">
        <v>124</v>
      </c>
      <c r="C36" s="7">
        <f>CENTRALA!C16+'Razem OW'!C16</f>
        <v>1567282</v>
      </c>
      <c r="D36" s="7">
        <f>CENTRALA!D16+'Razem OW'!D16</f>
        <v>1567282</v>
      </c>
      <c r="E36" s="7" t="str">
        <f t="shared" si="0"/>
        <v>-</v>
      </c>
      <c r="F36" s="42">
        <f t="shared" si="1"/>
        <v>1</v>
      </c>
      <c r="I36" s="89"/>
    </row>
    <row r="37" spans="1:9" ht="30" customHeight="1" x14ac:dyDescent="0.4">
      <c r="A37" s="104" t="s">
        <v>7</v>
      </c>
      <c r="B37" s="48" t="s">
        <v>123</v>
      </c>
      <c r="C37" s="7">
        <f>CENTRALA!C17+'Razem OW'!C17</f>
        <v>711836</v>
      </c>
      <c r="D37" s="7">
        <f>CENTRALA!D17+'Razem OW'!D17</f>
        <v>711836</v>
      </c>
      <c r="E37" s="7" t="str">
        <f>IF(C37=D37,"-",D37-C37)</f>
        <v>-</v>
      </c>
      <c r="F37" s="42">
        <f>IF(C37=0,"-",D37/C37)</f>
        <v>1</v>
      </c>
      <c r="I37" s="89"/>
    </row>
    <row r="38" spans="1:9" ht="30" customHeight="1" x14ac:dyDescent="0.4">
      <c r="A38" s="104" t="s">
        <v>8</v>
      </c>
      <c r="B38" s="48" t="s">
        <v>119</v>
      </c>
      <c r="C38" s="7">
        <f>CENTRALA!C18+'Razem OW'!C18</f>
        <v>1896520</v>
      </c>
      <c r="D38" s="7">
        <f>CENTRALA!D18+'Razem OW'!D18</f>
        <v>1896520</v>
      </c>
      <c r="E38" s="7" t="str">
        <f t="shared" si="0"/>
        <v>-</v>
      </c>
      <c r="F38" s="42">
        <f t="shared" si="1"/>
        <v>1</v>
      </c>
      <c r="I38" s="89"/>
    </row>
    <row r="39" spans="1:9" ht="30" customHeight="1" x14ac:dyDescent="0.4">
      <c r="A39" s="104" t="s">
        <v>9</v>
      </c>
      <c r="B39" s="48" t="s">
        <v>120</v>
      </c>
      <c r="C39" s="7">
        <f>CENTRALA!C19+'Razem OW'!C19</f>
        <v>683924</v>
      </c>
      <c r="D39" s="7">
        <f>CENTRALA!D19+'Razem OW'!D19</f>
        <v>683924</v>
      </c>
      <c r="E39" s="7" t="str">
        <f t="shared" si="0"/>
        <v>-</v>
      </c>
      <c r="F39" s="42">
        <f t="shared" si="1"/>
        <v>1</v>
      </c>
      <c r="I39" s="89"/>
    </row>
    <row r="40" spans="1:9" ht="30" customHeight="1" x14ac:dyDescent="0.4">
      <c r="A40" s="104" t="s">
        <v>10</v>
      </c>
      <c r="B40" s="48" t="s">
        <v>125</v>
      </c>
      <c r="C40" s="7">
        <f>CENTRALA!C20+'Razem OW'!C20</f>
        <v>49909</v>
      </c>
      <c r="D40" s="7">
        <f>CENTRALA!D20+'Razem OW'!D20</f>
        <v>49909</v>
      </c>
      <c r="E40" s="7" t="str">
        <f t="shared" si="0"/>
        <v>-</v>
      </c>
      <c r="F40" s="42">
        <f t="shared" si="1"/>
        <v>1</v>
      </c>
      <c r="I40" s="89"/>
    </row>
    <row r="41" spans="1:9" ht="40.5" x14ac:dyDescent="0.4">
      <c r="A41" s="104" t="s">
        <v>11</v>
      </c>
      <c r="B41" s="48" t="s">
        <v>121</v>
      </c>
      <c r="C41" s="7">
        <f>CENTRALA!C21+'Razem OW'!C21</f>
        <v>203266</v>
      </c>
      <c r="D41" s="7">
        <f>CENTRALA!D21+'Razem OW'!D21</f>
        <v>203266</v>
      </c>
      <c r="E41" s="7" t="str">
        <f t="shared" si="0"/>
        <v>-</v>
      </c>
      <c r="F41" s="42">
        <f t="shared" si="1"/>
        <v>1</v>
      </c>
      <c r="I41" s="89"/>
    </row>
    <row r="42" spans="1:9" ht="30" customHeight="1" x14ac:dyDescent="0.4">
      <c r="A42" s="104" t="s">
        <v>12</v>
      </c>
      <c r="B42" s="48" t="s">
        <v>161</v>
      </c>
      <c r="C42" s="7">
        <f>CENTRALA!C22+'Razem OW'!C22</f>
        <v>2032132</v>
      </c>
      <c r="D42" s="7">
        <f>CENTRALA!D22+'Razem OW'!D22</f>
        <v>2032132</v>
      </c>
      <c r="E42" s="7" t="str">
        <f t="shared" si="0"/>
        <v>-</v>
      </c>
      <c r="F42" s="42">
        <f t="shared" si="1"/>
        <v>1</v>
      </c>
      <c r="I42" s="89"/>
    </row>
    <row r="43" spans="1:9" ht="40.5" x14ac:dyDescent="0.4">
      <c r="A43" s="104" t="s">
        <v>13</v>
      </c>
      <c r="B43" s="48" t="s">
        <v>145</v>
      </c>
      <c r="C43" s="7">
        <f>CENTRALA!C23+'Razem OW'!C23</f>
        <v>1076269</v>
      </c>
      <c r="D43" s="7">
        <f>CENTRALA!D23+'Razem OW'!D23</f>
        <v>1076269</v>
      </c>
      <c r="E43" s="7" t="str">
        <f t="shared" si="0"/>
        <v>-</v>
      </c>
      <c r="F43" s="42">
        <f t="shared" si="1"/>
        <v>1</v>
      </c>
      <c r="I43" s="89"/>
    </row>
    <row r="44" spans="1:9" ht="30" customHeight="1" x14ac:dyDescent="0.4">
      <c r="A44" s="106" t="s">
        <v>14</v>
      </c>
      <c r="B44" s="50" t="s">
        <v>177</v>
      </c>
      <c r="C44" s="7">
        <f>CENTRALA!C24+'Razem OW'!C24</f>
        <v>8355367</v>
      </c>
      <c r="D44" s="7">
        <f>CENTRALA!D24+'Razem OW'!D24</f>
        <v>8355367</v>
      </c>
      <c r="E44" s="7" t="str">
        <f t="shared" si="0"/>
        <v>-</v>
      </c>
      <c r="F44" s="42">
        <f t="shared" si="1"/>
        <v>1</v>
      </c>
      <c r="I44" s="89"/>
    </row>
    <row r="45" spans="1:9" ht="41.25" customHeight="1" x14ac:dyDescent="0.4">
      <c r="A45" s="105" t="s">
        <v>126</v>
      </c>
      <c r="B45" s="49" t="s">
        <v>147</v>
      </c>
      <c r="C45" s="7">
        <f>CENTRALA!C25+'Razem OW'!C25</f>
        <v>8321856</v>
      </c>
      <c r="D45" s="7">
        <f>CENTRALA!D25+'Razem OW'!D25</f>
        <v>8321856</v>
      </c>
      <c r="E45" s="7" t="str">
        <f t="shared" si="0"/>
        <v>-</v>
      </c>
      <c r="F45" s="42">
        <f t="shared" si="1"/>
        <v>1</v>
      </c>
      <c r="I45" s="89"/>
    </row>
    <row r="46" spans="1:9" ht="30" customHeight="1" x14ac:dyDescent="0.4">
      <c r="A46" s="105" t="s">
        <v>146</v>
      </c>
      <c r="B46" s="49" t="s">
        <v>149</v>
      </c>
      <c r="C46" s="7">
        <f>CENTRALA!C26+'Razem OW'!C26</f>
        <v>20622</v>
      </c>
      <c r="D46" s="7">
        <f>CENTRALA!D26+'Razem OW'!D26</f>
        <v>20622</v>
      </c>
      <c r="E46" s="7" t="str">
        <f t="shared" si="0"/>
        <v>-</v>
      </c>
      <c r="F46" s="42">
        <f t="shared" si="1"/>
        <v>1</v>
      </c>
      <c r="I46" s="89"/>
    </row>
    <row r="47" spans="1:9" ht="41.25" customHeight="1" x14ac:dyDescent="0.4">
      <c r="A47" s="105" t="s">
        <v>150</v>
      </c>
      <c r="B47" s="49" t="s">
        <v>148</v>
      </c>
      <c r="C47" s="7">
        <f>CENTRALA!C27+'Razem OW'!C27</f>
        <v>12889</v>
      </c>
      <c r="D47" s="7">
        <f>CENTRALA!D27+'Razem OW'!D27</f>
        <v>12889</v>
      </c>
      <c r="E47" s="7" t="str">
        <f t="shared" si="0"/>
        <v>-</v>
      </c>
      <c r="F47" s="42">
        <f t="shared" si="1"/>
        <v>1</v>
      </c>
      <c r="I47" s="89"/>
    </row>
    <row r="48" spans="1:9" ht="31.5" customHeight="1" x14ac:dyDescent="0.4">
      <c r="A48" s="96" t="s">
        <v>15</v>
      </c>
      <c r="B48" s="51" t="s">
        <v>110</v>
      </c>
      <c r="C48" s="7">
        <f>CENTRALA!C28+'Razem OW'!C28</f>
        <v>668390</v>
      </c>
      <c r="D48" s="7">
        <f>CENTRALA!D28+'Razem OW'!D28</f>
        <v>668390</v>
      </c>
      <c r="E48" s="7" t="str">
        <f t="shared" si="0"/>
        <v>-</v>
      </c>
      <c r="F48" s="42">
        <f t="shared" si="1"/>
        <v>1</v>
      </c>
      <c r="I48" s="89"/>
    </row>
    <row r="49" spans="1:9" ht="31.5" customHeight="1" x14ac:dyDescent="0.4">
      <c r="A49" s="96" t="s">
        <v>107</v>
      </c>
      <c r="B49" s="24" t="s">
        <v>151</v>
      </c>
      <c r="C49" s="7">
        <f>CENTRALA!C29+'Razem OW'!C29</f>
        <v>115784</v>
      </c>
      <c r="D49" s="7">
        <f>CENTRALA!D29+'Razem OW'!D29</f>
        <v>115784</v>
      </c>
      <c r="E49" s="7" t="str">
        <f t="shared" si="0"/>
        <v>-</v>
      </c>
      <c r="F49" s="42">
        <f t="shared" si="1"/>
        <v>1</v>
      </c>
      <c r="I49" s="89"/>
    </row>
    <row r="50" spans="1:9" ht="30" customHeight="1" x14ac:dyDescent="0.4">
      <c r="A50" s="105" t="s">
        <v>152</v>
      </c>
      <c r="B50" s="49" t="s">
        <v>163</v>
      </c>
      <c r="C50" s="7">
        <f>CENTRALA!C30+'Razem OW'!C30</f>
        <v>12390</v>
      </c>
      <c r="D50" s="7">
        <f>CENTRALA!D30+'Razem OW'!D30</f>
        <v>12390</v>
      </c>
      <c r="E50" s="7" t="str">
        <f t="shared" si="0"/>
        <v>-</v>
      </c>
      <c r="F50" s="42">
        <f t="shared" si="1"/>
        <v>1</v>
      </c>
      <c r="I50" s="89"/>
    </row>
    <row r="51" spans="1:9" ht="30" customHeight="1" x14ac:dyDescent="0.4">
      <c r="A51" s="96" t="s">
        <v>108</v>
      </c>
      <c r="B51" s="24" t="s">
        <v>111</v>
      </c>
      <c r="C51" s="7">
        <f>CENTRALA!C31+'Razem OW'!C31</f>
        <v>0</v>
      </c>
      <c r="D51" s="7">
        <f>CENTRALA!D31+'Razem OW'!D31</f>
        <v>0</v>
      </c>
      <c r="E51" s="7" t="str">
        <f t="shared" si="0"/>
        <v>-</v>
      </c>
      <c r="F51" s="42" t="str">
        <f t="shared" si="1"/>
        <v>-</v>
      </c>
      <c r="I51" s="89"/>
    </row>
    <row r="52" spans="1:9" ht="30" customHeight="1" x14ac:dyDescent="0.4">
      <c r="A52" s="96" t="s">
        <v>109</v>
      </c>
      <c r="B52" s="24" t="s">
        <v>162</v>
      </c>
      <c r="C52" s="7">
        <f>CENTRALA!C32+'Razem OW'!C32</f>
        <v>345506</v>
      </c>
      <c r="D52" s="7">
        <f>CENTRALA!D32+'Razem OW'!D32</f>
        <v>345506</v>
      </c>
      <c r="E52" s="7" t="str">
        <f t="shared" si="0"/>
        <v>-</v>
      </c>
      <c r="F52" s="42">
        <f t="shared" si="1"/>
        <v>1</v>
      </c>
      <c r="I52" s="89"/>
    </row>
    <row r="53" spans="1:9" ht="40.5" x14ac:dyDescent="0.4">
      <c r="A53" s="96" t="s">
        <v>178</v>
      </c>
      <c r="B53" s="24" t="s">
        <v>179</v>
      </c>
      <c r="C53" s="7">
        <f>CENTRALA!C33+'Razem OW'!C33</f>
        <v>404999</v>
      </c>
      <c r="D53" s="7">
        <f>CENTRALA!D33+'Razem OW'!D33</f>
        <v>404999</v>
      </c>
      <c r="E53" s="7" t="str">
        <f>IF(C53=D53,"-",D53-C53)</f>
        <v>-</v>
      </c>
      <c r="F53" s="42">
        <f>IF(C53=0,"-",D53/C53)</f>
        <v>1</v>
      </c>
      <c r="I53" s="89"/>
    </row>
    <row r="54" spans="1:9" ht="30" customHeight="1" x14ac:dyDescent="0.4">
      <c r="A54" s="96" t="s">
        <v>185</v>
      </c>
      <c r="B54" s="24" t="s">
        <v>186</v>
      </c>
      <c r="C54" s="7">
        <f>CENTRALA!C34+'Razem OW'!C34</f>
        <v>22877</v>
      </c>
      <c r="D54" s="7">
        <f>CENTRALA!D34+'Razem OW'!D34</f>
        <v>22877</v>
      </c>
      <c r="E54" s="7" t="str">
        <f>IF(C54=D54,"-",D54-C54)</f>
        <v>-</v>
      </c>
      <c r="F54" s="42">
        <f>IF(C54=0,"-",D54/C54)</f>
        <v>1</v>
      </c>
      <c r="I54" s="89"/>
    </row>
    <row r="55" spans="1:9" ht="42" customHeight="1" x14ac:dyDescent="0.4">
      <c r="A55" s="96" t="s">
        <v>196</v>
      </c>
      <c r="B55" s="24" t="s">
        <v>197</v>
      </c>
      <c r="C55" s="7">
        <f>CENTRALA!C35+'Razem OW'!C35</f>
        <v>16435</v>
      </c>
      <c r="D55" s="7">
        <f>CENTRALA!D35+'Razem OW'!D35</f>
        <v>59555</v>
      </c>
      <c r="E55" s="7">
        <f>IF(C55=D55,"-",D55-C55)</f>
        <v>43120</v>
      </c>
      <c r="F55" s="42">
        <f>IF(C55=0,"-",D55/C55)</f>
        <v>3.6236999999999999</v>
      </c>
      <c r="I55" s="89"/>
    </row>
    <row r="56" spans="1:9" s="10" customFormat="1" ht="30.75" customHeight="1" x14ac:dyDescent="0.4">
      <c r="A56" s="107" t="s">
        <v>56</v>
      </c>
      <c r="B56" s="74" t="s">
        <v>98</v>
      </c>
      <c r="C56" s="75">
        <f>CENTRALA!C36+'Razem OW'!C36</f>
        <v>4790</v>
      </c>
      <c r="D56" s="75">
        <f>C56</f>
        <v>4790</v>
      </c>
      <c r="E56" s="75" t="str">
        <f t="shared" si="0"/>
        <v>-</v>
      </c>
      <c r="F56" s="76">
        <f t="shared" si="1"/>
        <v>1</v>
      </c>
      <c r="I56" s="89"/>
    </row>
    <row r="57" spans="1:9" s="10" customFormat="1" ht="30.75" customHeight="1" x14ac:dyDescent="0.4">
      <c r="A57" s="99" t="s">
        <v>55</v>
      </c>
      <c r="B57" s="74" t="s">
        <v>58</v>
      </c>
      <c r="C57" s="68">
        <f>CENTRALA!C37+'Razem OW'!C37</f>
        <v>1911303</v>
      </c>
      <c r="D57" s="68">
        <f>CENTRALA!D37+'Razem OW'!D37</f>
        <v>1911303</v>
      </c>
      <c r="E57" s="68" t="str">
        <f t="shared" si="0"/>
        <v>-</v>
      </c>
      <c r="F57" s="69">
        <f t="shared" si="1"/>
        <v>1</v>
      </c>
      <c r="I57" s="89"/>
    </row>
    <row r="58" spans="1:9" s="10" customFormat="1" ht="60.75" x14ac:dyDescent="0.4">
      <c r="A58" s="99" t="s">
        <v>187</v>
      </c>
      <c r="B58" s="74" t="s">
        <v>188</v>
      </c>
      <c r="C58" s="68">
        <f>CENTRALA!C38+'Razem OW'!C38</f>
        <v>643300</v>
      </c>
      <c r="D58" s="68">
        <f>CENTRALA!D38+'Razem OW'!D38</f>
        <v>643300</v>
      </c>
      <c r="E58" s="68" t="str">
        <f t="shared" si="0"/>
        <v>-</v>
      </c>
      <c r="F58" s="69">
        <f t="shared" si="1"/>
        <v>1</v>
      </c>
      <c r="I58" s="89"/>
    </row>
    <row r="59" spans="1:9" s="10" customFormat="1" ht="45.75" customHeight="1" x14ac:dyDescent="0.4">
      <c r="A59" s="99" t="s">
        <v>153</v>
      </c>
      <c r="B59" s="74" t="s">
        <v>154</v>
      </c>
      <c r="C59" s="68">
        <f>CENTRALA!C39+'Razem OW'!C39</f>
        <v>12348142</v>
      </c>
      <c r="D59" s="68">
        <f>CENTRALA!D39+'Razem OW'!D39</f>
        <v>12348142</v>
      </c>
      <c r="E59" s="68" t="str">
        <f>IF(C59=D59,"-",D59-C59)</f>
        <v>-</v>
      </c>
      <c r="F59" s="69">
        <f t="shared" si="1"/>
        <v>1</v>
      </c>
      <c r="I59" s="89"/>
    </row>
    <row r="60" spans="1:9" s="10" customFormat="1" ht="33" customHeight="1" x14ac:dyDescent="0.4">
      <c r="A60" s="100" t="s">
        <v>129</v>
      </c>
      <c r="B60" s="67" t="s">
        <v>191</v>
      </c>
      <c r="C60" s="68">
        <f>C19-C24</f>
        <v>727135</v>
      </c>
      <c r="D60" s="68">
        <f>D19-D24</f>
        <v>727135</v>
      </c>
      <c r="E60" s="68" t="str">
        <f t="shared" si="0"/>
        <v>-</v>
      </c>
      <c r="F60" s="69">
        <f t="shared" si="1"/>
        <v>1</v>
      </c>
      <c r="I60" s="89"/>
    </row>
    <row r="61" spans="1:9" s="10" customFormat="1" ht="33" customHeight="1" x14ac:dyDescent="0.4">
      <c r="A61" s="100" t="s">
        <v>130</v>
      </c>
      <c r="B61" s="67" t="s">
        <v>180</v>
      </c>
      <c r="C61" s="68">
        <f>C62+C63+C64+C72+C74+C79+C80+C81</f>
        <v>785854</v>
      </c>
      <c r="D61" s="68">
        <f>D62+D63+D64+D72+D74+D79+D80+D81</f>
        <v>785854</v>
      </c>
      <c r="E61" s="68" t="str">
        <f t="shared" si="0"/>
        <v>-</v>
      </c>
      <c r="F61" s="69">
        <f t="shared" si="1"/>
        <v>1</v>
      </c>
      <c r="I61" s="89"/>
    </row>
    <row r="62" spans="1:9" ht="30" customHeight="1" x14ac:dyDescent="0.4">
      <c r="A62" s="96" t="s">
        <v>16</v>
      </c>
      <c r="B62" s="23" t="s">
        <v>17</v>
      </c>
      <c r="C62" s="7">
        <f>CENTRALA!C41+'Razem OW'!C41</f>
        <v>25081</v>
      </c>
      <c r="D62" s="7">
        <f>CENTRALA!D41+'Razem OW'!D41</f>
        <v>25081</v>
      </c>
      <c r="E62" s="7" t="str">
        <f t="shared" si="0"/>
        <v>-</v>
      </c>
      <c r="F62" s="42">
        <f t="shared" si="1"/>
        <v>1</v>
      </c>
      <c r="I62" s="89"/>
    </row>
    <row r="63" spans="1:9" ht="30" customHeight="1" x14ac:dyDescent="0.4">
      <c r="A63" s="96" t="s">
        <v>18</v>
      </c>
      <c r="B63" s="23" t="s">
        <v>19</v>
      </c>
      <c r="C63" s="7">
        <f>CENTRALA!C42+'Razem OW'!C42</f>
        <v>194182</v>
      </c>
      <c r="D63" s="7">
        <f>CENTRALA!D42+'Razem OW'!D42</f>
        <v>194182</v>
      </c>
      <c r="E63" s="7" t="str">
        <f t="shared" si="0"/>
        <v>-</v>
      </c>
      <c r="F63" s="42">
        <f t="shared" si="1"/>
        <v>1</v>
      </c>
      <c r="I63" s="89"/>
    </row>
    <row r="64" spans="1:9" ht="30" customHeight="1" x14ac:dyDescent="0.4">
      <c r="A64" s="96" t="s">
        <v>20</v>
      </c>
      <c r="B64" s="27" t="s">
        <v>181</v>
      </c>
      <c r="C64" s="7">
        <f>C65+C67+C68+C69+C70+C71</f>
        <v>5015</v>
      </c>
      <c r="D64" s="7">
        <f>D65+D67+D68+D69+D70+D71</f>
        <v>5015</v>
      </c>
      <c r="E64" s="7" t="str">
        <f t="shared" si="0"/>
        <v>-</v>
      </c>
      <c r="F64" s="42">
        <f t="shared" si="1"/>
        <v>1</v>
      </c>
      <c r="I64" s="89"/>
    </row>
    <row r="65" spans="1:9" s="8" customFormat="1" ht="30" customHeight="1" x14ac:dyDescent="0.4">
      <c r="A65" s="108" t="s">
        <v>37</v>
      </c>
      <c r="B65" s="52" t="s">
        <v>30</v>
      </c>
      <c r="C65" s="7">
        <f>CENTRALA!C44+'Razem OW'!C44</f>
        <v>687</v>
      </c>
      <c r="D65" s="7">
        <f>CENTRALA!D44+'Razem OW'!D44</f>
        <v>687</v>
      </c>
      <c r="E65" s="7" t="str">
        <f t="shared" si="0"/>
        <v>-</v>
      </c>
      <c r="F65" s="42">
        <f t="shared" si="1"/>
        <v>1</v>
      </c>
      <c r="I65" s="89"/>
    </row>
    <row r="66" spans="1:9" s="8" customFormat="1" ht="30" customHeight="1" x14ac:dyDescent="0.4">
      <c r="A66" s="108" t="s">
        <v>38</v>
      </c>
      <c r="B66" s="53" t="s">
        <v>31</v>
      </c>
      <c r="C66" s="7">
        <f>CENTRALA!C45+'Razem OW'!C45</f>
        <v>684</v>
      </c>
      <c r="D66" s="7">
        <f>CENTRALA!D45+'Razem OW'!D45</f>
        <v>684</v>
      </c>
      <c r="E66" s="7" t="str">
        <f t="shared" si="0"/>
        <v>-</v>
      </c>
      <c r="F66" s="42">
        <f t="shared" si="1"/>
        <v>1</v>
      </c>
      <c r="I66" s="89"/>
    </row>
    <row r="67" spans="1:9" s="8" customFormat="1" ht="30" customHeight="1" x14ac:dyDescent="0.4">
      <c r="A67" s="108" t="s">
        <v>39</v>
      </c>
      <c r="B67" s="52" t="s">
        <v>32</v>
      </c>
      <c r="C67" s="7">
        <f>CENTRALA!C46+'Razem OW'!C46</f>
        <v>706</v>
      </c>
      <c r="D67" s="7">
        <f>CENTRALA!D46+'Razem OW'!D46</f>
        <v>706</v>
      </c>
      <c r="E67" s="7" t="str">
        <f t="shared" si="0"/>
        <v>-</v>
      </c>
      <c r="F67" s="42">
        <f t="shared" si="1"/>
        <v>1</v>
      </c>
      <c r="I67" s="89"/>
    </row>
    <row r="68" spans="1:9" s="8" customFormat="1" ht="30" customHeight="1" x14ac:dyDescent="0.4">
      <c r="A68" s="108" t="s">
        <v>40</v>
      </c>
      <c r="B68" s="52" t="s">
        <v>33</v>
      </c>
      <c r="C68" s="7">
        <f>CENTRALA!C47+'Razem OW'!C47</f>
        <v>19</v>
      </c>
      <c r="D68" s="7">
        <f>CENTRALA!D47+'Razem OW'!D47</f>
        <v>19</v>
      </c>
      <c r="E68" s="7" t="str">
        <f t="shared" si="0"/>
        <v>-</v>
      </c>
      <c r="F68" s="42">
        <f t="shared" si="1"/>
        <v>1</v>
      </c>
      <c r="I68" s="89"/>
    </row>
    <row r="69" spans="1:9" s="8" customFormat="1" ht="30" customHeight="1" x14ac:dyDescent="0.4">
      <c r="A69" s="108" t="s">
        <v>41</v>
      </c>
      <c r="B69" s="52" t="s">
        <v>34</v>
      </c>
      <c r="C69" s="7">
        <f>CENTRALA!C48+'Razem OW'!C48</f>
        <v>0</v>
      </c>
      <c r="D69" s="7">
        <f>CENTRALA!D48+'Razem OW'!D48</f>
        <v>0</v>
      </c>
      <c r="E69" s="7" t="str">
        <f t="shared" si="0"/>
        <v>-</v>
      </c>
      <c r="F69" s="42" t="str">
        <f t="shared" si="1"/>
        <v>-</v>
      </c>
      <c r="I69" s="89"/>
    </row>
    <row r="70" spans="1:9" s="8" customFormat="1" ht="30" customHeight="1" x14ac:dyDescent="0.4">
      <c r="A70" s="108" t="s">
        <v>42</v>
      </c>
      <c r="B70" s="52" t="s">
        <v>35</v>
      </c>
      <c r="C70" s="7">
        <f>CENTRALA!C49+'Razem OW'!C49</f>
        <v>2959</v>
      </c>
      <c r="D70" s="7">
        <f>CENTRALA!D49+'Razem OW'!D49</f>
        <v>2959</v>
      </c>
      <c r="E70" s="7" t="str">
        <f t="shared" si="0"/>
        <v>-</v>
      </c>
      <c r="F70" s="42">
        <f t="shared" si="1"/>
        <v>1</v>
      </c>
      <c r="I70" s="89"/>
    </row>
    <row r="71" spans="1:9" s="9" customFormat="1" ht="30" customHeight="1" x14ac:dyDescent="0.4">
      <c r="A71" s="108" t="s">
        <v>43</v>
      </c>
      <c r="B71" s="52" t="s">
        <v>36</v>
      </c>
      <c r="C71" s="7">
        <f>CENTRALA!C50+'Razem OW'!C50</f>
        <v>644</v>
      </c>
      <c r="D71" s="7">
        <f>CENTRALA!D50+'Razem OW'!D50</f>
        <v>644</v>
      </c>
      <c r="E71" s="7" t="str">
        <f t="shared" si="0"/>
        <v>-</v>
      </c>
      <c r="F71" s="42">
        <f t="shared" si="1"/>
        <v>1</v>
      </c>
      <c r="I71" s="89"/>
    </row>
    <row r="72" spans="1:9" ht="30" customHeight="1" x14ac:dyDescent="0.4">
      <c r="A72" s="96" t="s">
        <v>21</v>
      </c>
      <c r="B72" s="23" t="s">
        <v>155</v>
      </c>
      <c r="C72" s="7">
        <f>CENTRALA!C51+'Razem OW'!C51</f>
        <v>358578</v>
      </c>
      <c r="D72" s="7">
        <f>CENTRALA!D51+'Razem OW'!D51</f>
        <v>358578</v>
      </c>
      <c r="E72" s="7" t="str">
        <f t="shared" si="0"/>
        <v>-</v>
      </c>
      <c r="F72" s="42">
        <f t="shared" si="1"/>
        <v>1</v>
      </c>
      <c r="I72" s="89"/>
    </row>
    <row r="73" spans="1:9" ht="30" customHeight="1" x14ac:dyDescent="0.4">
      <c r="A73" s="108" t="s">
        <v>156</v>
      </c>
      <c r="B73" s="52" t="s">
        <v>157</v>
      </c>
      <c r="C73" s="7">
        <f>CENTRALA!C52+'Razem OW'!C52</f>
        <v>1532</v>
      </c>
      <c r="D73" s="7">
        <f>CENTRALA!D52+'Razem OW'!D52</f>
        <v>1532</v>
      </c>
      <c r="E73" s="7" t="str">
        <f t="shared" si="0"/>
        <v>-</v>
      </c>
      <c r="F73" s="42">
        <f t="shared" si="1"/>
        <v>1</v>
      </c>
      <c r="I73" s="89"/>
    </row>
    <row r="74" spans="1:9" ht="30" customHeight="1" x14ac:dyDescent="0.4">
      <c r="A74" s="96" t="s">
        <v>22</v>
      </c>
      <c r="B74" s="27" t="s">
        <v>182</v>
      </c>
      <c r="C74" s="7">
        <f>SUM(C75:C78)</f>
        <v>81164</v>
      </c>
      <c r="D74" s="7">
        <f>SUM(D75:D78)</f>
        <v>81164</v>
      </c>
      <c r="E74" s="7" t="str">
        <f t="shared" si="0"/>
        <v>-</v>
      </c>
      <c r="F74" s="42">
        <f t="shared" si="1"/>
        <v>1</v>
      </c>
      <c r="I74" s="89"/>
    </row>
    <row r="75" spans="1:9" s="8" customFormat="1" ht="30" customHeight="1" x14ac:dyDescent="0.4">
      <c r="A75" s="108" t="s">
        <v>48</v>
      </c>
      <c r="B75" s="52" t="s">
        <v>44</v>
      </c>
      <c r="C75" s="7">
        <f>CENTRALA!C54+'Razem OW'!C54</f>
        <v>61397</v>
      </c>
      <c r="D75" s="7">
        <f>CENTRALA!D54+'Razem OW'!D54</f>
        <v>61397</v>
      </c>
      <c r="E75" s="7" t="str">
        <f t="shared" si="0"/>
        <v>-</v>
      </c>
      <c r="F75" s="42">
        <f t="shared" si="1"/>
        <v>1</v>
      </c>
      <c r="I75" s="89"/>
    </row>
    <row r="76" spans="1:9" s="8" customFormat="1" ht="30" customHeight="1" x14ac:dyDescent="0.4">
      <c r="A76" s="108" t="s">
        <v>49</v>
      </c>
      <c r="B76" s="52" t="s">
        <v>45</v>
      </c>
      <c r="C76" s="7">
        <f>CENTRALA!C55+'Razem OW'!C55</f>
        <v>8608</v>
      </c>
      <c r="D76" s="7">
        <f>CENTRALA!D55+'Razem OW'!D55</f>
        <v>8608</v>
      </c>
      <c r="E76" s="7" t="str">
        <f t="shared" si="0"/>
        <v>-</v>
      </c>
      <c r="F76" s="42">
        <f t="shared" si="1"/>
        <v>1</v>
      </c>
      <c r="I76" s="89"/>
    </row>
    <row r="77" spans="1:9" s="8" customFormat="1" ht="30" customHeight="1" x14ac:dyDescent="0.4">
      <c r="A77" s="108" t="s">
        <v>50</v>
      </c>
      <c r="B77" s="52" t="s">
        <v>46</v>
      </c>
      <c r="C77" s="7">
        <f>CENTRALA!C56+'Razem OW'!C56</f>
        <v>0</v>
      </c>
      <c r="D77" s="7">
        <f>CENTRALA!D56+'Razem OW'!D56</f>
        <v>0</v>
      </c>
      <c r="E77" s="7" t="str">
        <f t="shared" si="0"/>
        <v>-</v>
      </c>
      <c r="F77" s="42" t="str">
        <f t="shared" si="1"/>
        <v>-</v>
      </c>
      <c r="I77" s="89"/>
    </row>
    <row r="78" spans="1:9" s="8" customFormat="1" ht="30" customHeight="1" x14ac:dyDescent="0.4">
      <c r="A78" s="108" t="s">
        <v>51</v>
      </c>
      <c r="B78" s="52" t="s">
        <v>47</v>
      </c>
      <c r="C78" s="7">
        <f>CENTRALA!C57+'Razem OW'!C57</f>
        <v>11159</v>
      </c>
      <c r="D78" s="7">
        <f>CENTRALA!D57+'Razem OW'!D57</f>
        <v>11159</v>
      </c>
      <c r="E78" s="7" t="str">
        <f t="shared" si="0"/>
        <v>-</v>
      </c>
      <c r="F78" s="42">
        <f t="shared" si="1"/>
        <v>1</v>
      </c>
      <c r="I78" s="89"/>
    </row>
    <row r="79" spans="1:9" ht="30.75" customHeight="1" x14ac:dyDescent="0.4">
      <c r="A79" s="96" t="s">
        <v>23</v>
      </c>
      <c r="B79" s="23" t="s">
        <v>24</v>
      </c>
      <c r="C79" s="7">
        <f>CENTRALA!C58+'Razem OW'!C58</f>
        <v>50</v>
      </c>
      <c r="D79" s="7">
        <f>CENTRALA!D58+'Razem OW'!D58</f>
        <v>50</v>
      </c>
      <c r="E79" s="7" t="str">
        <f t="shared" si="0"/>
        <v>-</v>
      </c>
      <c r="F79" s="42">
        <f t="shared" si="1"/>
        <v>1</v>
      </c>
      <c r="I79" s="89"/>
    </row>
    <row r="80" spans="1:9" ht="30.75" customHeight="1" x14ac:dyDescent="0.4">
      <c r="A80" s="96" t="s">
        <v>25</v>
      </c>
      <c r="B80" s="23" t="s">
        <v>158</v>
      </c>
      <c r="C80" s="7">
        <f>CENTRALA!C59+'Razem OW'!C59</f>
        <v>114861</v>
      </c>
      <c r="D80" s="7">
        <f>CENTRALA!D59+'Razem OW'!D59</f>
        <v>114861</v>
      </c>
      <c r="E80" s="7" t="str">
        <f t="shared" si="0"/>
        <v>-</v>
      </c>
      <c r="F80" s="42">
        <f t="shared" si="1"/>
        <v>1</v>
      </c>
      <c r="I80" s="89"/>
    </row>
    <row r="81" spans="1:9" ht="30.75" customHeight="1" x14ac:dyDescent="0.4">
      <c r="A81" s="96" t="s">
        <v>26</v>
      </c>
      <c r="B81" s="23" t="s">
        <v>27</v>
      </c>
      <c r="C81" s="7">
        <f>CENTRALA!C60+'Razem OW'!C60</f>
        <v>6923</v>
      </c>
      <c r="D81" s="7">
        <f>CENTRALA!D60+'Razem OW'!D60</f>
        <v>6923</v>
      </c>
      <c r="E81" s="7" t="str">
        <f t="shared" si="0"/>
        <v>-</v>
      </c>
      <c r="F81" s="42">
        <f t="shared" si="1"/>
        <v>1</v>
      </c>
      <c r="I81" s="89"/>
    </row>
    <row r="82" spans="1:9" s="10" customFormat="1" ht="33" customHeight="1" x14ac:dyDescent="0.4">
      <c r="A82" s="109" t="s">
        <v>131</v>
      </c>
      <c r="B82" s="78" t="s">
        <v>160</v>
      </c>
      <c r="C82" s="68">
        <v>344044</v>
      </c>
      <c r="D82" s="68">
        <f>C82</f>
        <v>344044</v>
      </c>
      <c r="E82" s="68" t="str">
        <f t="shared" si="0"/>
        <v>-</v>
      </c>
      <c r="F82" s="69">
        <f t="shared" si="1"/>
        <v>1</v>
      </c>
      <c r="I82" s="89"/>
    </row>
    <row r="83" spans="1:9" s="10" customFormat="1" ht="33" customHeight="1" x14ac:dyDescent="0.4">
      <c r="A83" s="109" t="s">
        <v>132</v>
      </c>
      <c r="B83" s="78" t="s">
        <v>171</v>
      </c>
      <c r="C83" s="68">
        <f>C84+C85+C86+C87</f>
        <v>256924</v>
      </c>
      <c r="D83" s="68">
        <f>D84+D85+D86+D87</f>
        <v>256924</v>
      </c>
      <c r="E83" s="68" t="str">
        <f t="shared" ref="E83:E94" si="2">IF(C83=D83,"-",D83-C83)</f>
        <v>-</v>
      </c>
      <c r="F83" s="69">
        <f t="shared" ref="F83:F94" si="3">IF(C83=0,"-",D83/C83)</f>
        <v>1</v>
      </c>
      <c r="I83" s="89"/>
    </row>
    <row r="84" spans="1:9" ht="47.25" customHeight="1" x14ac:dyDescent="0.4">
      <c r="A84" s="101" t="s">
        <v>99</v>
      </c>
      <c r="B84" s="24" t="s">
        <v>112</v>
      </c>
      <c r="C84" s="7">
        <f>CENTRALA!C62+'Razem OW'!C62</f>
        <v>1282</v>
      </c>
      <c r="D84" s="7">
        <f>CENTRALA!D62+'Razem OW'!D62</f>
        <v>1282</v>
      </c>
      <c r="E84" s="7" t="str">
        <f t="shared" si="2"/>
        <v>-</v>
      </c>
      <c r="F84" s="42">
        <f t="shared" si="3"/>
        <v>1</v>
      </c>
      <c r="I84" s="89"/>
    </row>
    <row r="85" spans="1:9" ht="33.75" customHeight="1" x14ac:dyDescent="0.4">
      <c r="A85" s="101" t="s">
        <v>28</v>
      </c>
      <c r="B85" s="24" t="s">
        <v>53</v>
      </c>
      <c r="C85" s="7">
        <f>CENTRALA!C63+'Razem OW'!C63</f>
        <v>192338</v>
      </c>
      <c r="D85" s="7">
        <f>CENTRALA!D63+'Razem OW'!D63</f>
        <v>192338</v>
      </c>
      <c r="E85" s="7" t="str">
        <f t="shared" si="2"/>
        <v>-</v>
      </c>
      <c r="F85" s="42">
        <f t="shared" si="3"/>
        <v>1</v>
      </c>
      <c r="I85" s="89"/>
    </row>
    <row r="86" spans="1:9" ht="30" customHeight="1" x14ac:dyDescent="0.4">
      <c r="A86" s="101" t="s">
        <v>29</v>
      </c>
      <c r="B86" s="24" t="s">
        <v>101</v>
      </c>
      <c r="C86" s="7">
        <f>CENTRALA!C64+'Razem OW'!C64</f>
        <v>21335</v>
      </c>
      <c r="D86" s="7">
        <f>CENTRALA!D64+'Razem OW'!D64</f>
        <v>21335</v>
      </c>
      <c r="E86" s="7" t="str">
        <f t="shared" si="2"/>
        <v>-</v>
      </c>
      <c r="F86" s="42">
        <f t="shared" si="3"/>
        <v>1</v>
      </c>
      <c r="I86" s="89"/>
    </row>
    <row r="87" spans="1:9" ht="30" customHeight="1" x14ac:dyDescent="0.4">
      <c r="A87" s="101" t="s">
        <v>100</v>
      </c>
      <c r="B87" s="25" t="s">
        <v>102</v>
      </c>
      <c r="C87" s="7">
        <f>CENTRALA!C65+'Razem OW'!C65</f>
        <v>41969</v>
      </c>
      <c r="D87" s="7">
        <f>CENTRALA!D65+'Razem OW'!D65</f>
        <v>41969</v>
      </c>
      <c r="E87" s="7" t="str">
        <f t="shared" si="2"/>
        <v>-</v>
      </c>
      <c r="F87" s="42">
        <f t="shared" si="3"/>
        <v>1</v>
      </c>
      <c r="I87" s="89"/>
    </row>
    <row r="88" spans="1:9" s="10" customFormat="1" ht="33" customHeight="1" x14ac:dyDescent="0.4">
      <c r="A88" s="109" t="s">
        <v>133</v>
      </c>
      <c r="B88" s="78" t="s">
        <v>172</v>
      </c>
      <c r="C88" s="68">
        <f>C89+C90</f>
        <v>54670</v>
      </c>
      <c r="D88" s="68">
        <f>D89+D90</f>
        <v>54670</v>
      </c>
      <c r="E88" s="68" t="str">
        <f t="shared" si="2"/>
        <v>-</v>
      </c>
      <c r="F88" s="69">
        <f t="shared" si="3"/>
        <v>1</v>
      </c>
      <c r="I88" s="89"/>
    </row>
    <row r="89" spans="1:9" ht="30" customHeight="1" x14ac:dyDescent="0.4">
      <c r="A89" s="101" t="s">
        <v>103</v>
      </c>
      <c r="B89" s="24" t="s">
        <v>104</v>
      </c>
      <c r="C89" s="7">
        <v>47837</v>
      </c>
      <c r="D89" s="7">
        <f t="shared" ref="D89:D90" si="4">C89</f>
        <v>47837</v>
      </c>
      <c r="E89" s="7" t="str">
        <f t="shared" si="2"/>
        <v>-</v>
      </c>
      <c r="F89" s="42">
        <f t="shared" si="3"/>
        <v>1</v>
      </c>
      <c r="I89" s="89"/>
    </row>
    <row r="90" spans="1:9" ht="30" customHeight="1" x14ac:dyDescent="0.4">
      <c r="A90" s="101" t="s">
        <v>105</v>
      </c>
      <c r="B90" s="25" t="s">
        <v>106</v>
      </c>
      <c r="C90" s="7">
        <v>6833</v>
      </c>
      <c r="D90" s="7">
        <f t="shared" si="4"/>
        <v>6833</v>
      </c>
      <c r="E90" s="7" t="str">
        <f t="shared" si="2"/>
        <v>-</v>
      </c>
      <c r="F90" s="42">
        <f t="shared" si="3"/>
        <v>1</v>
      </c>
      <c r="I90" s="89"/>
    </row>
    <row r="91" spans="1:9" s="10" customFormat="1" ht="39.75" customHeight="1" x14ac:dyDescent="0.4">
      <c r="A91" s="109" t="s">
        <v>134</v>
      </c>
      <c r="B91" s="78" t="s">
        <v>113</v>
      </c>
      <c r="C91" s="68">
        <f>CENTRALA!C66+'Razem OW'!C66</f>
        <v>83071</v>
      </c>
      <c r="D91" s="68">
        <f>CENTRALA!D66+'Razem OW'!D66</f>
        <v>83071</v>
      </c>
      <c r="E91" s="68" t="str">
        <f t="shared" si="2"/>
        <v>-</v>
      </c>
      <c r="F91" s="69">
        <f t="shared" si="3"/>
        <v>1</v>
      </c>
      <c r="I91" s="89"/>
    </row>
    <row r="92" spans="1:9" s="10" customFormat="1" ht="64.5" customHeight="1" x14ac:dyDescent="0.4">
      <c r="A92" s="110" t="s">
        <v>135</v>
      </c>
      <c r="B92" s="61" t="s">
        <v>190</v>
      </c>
      <c r="C92" s="58">
        <f>C60-C61+C82-C83+C88-C91</f>
        <v>0</v>
      </c>
      <c r="D92" s="58">
        <f>D60-D61+D82-D83+D88-D91</f>
        <v>0</v>
      </c>
      <c r="E92" s="58" t="str">
        <f t="shared" si="2"/>
        <v>-</v>
      </c>
      <c r="F92" s="60" t="str">
        <f t="shared" si="3"/>
        <v>-</v>
      </c>
      <c r="I92" s="89"/>
    </row>
    <row r="93" spans="1:9" s="10" customFormat="1" ht="33" customHeight="1" x14ac:dyDescent="0.4">
      <c r="A93" s="100" t="s">
        <v>136</v>
      </c>
      <c r="B93" s="79" t="s">
        <v>192</v>
      </c>
      <c r="C93" s="80">
        <f>C6+C12+C20+C21+C22+C23+C82+C88-C18</f>
        <v>83230253</v>
      </c>
      <c r="D93" s="80">
        <f>D6+D12+D20+D21+D22+D23+D82+D88-D18</f>
        <v>83230253</v>
      </c>
      <c r="E93" s="80" t="str">
        <f t="shared" si="2"/>
        <v>-</v>
      </c>
      <c r="F93" s="81">
        <f t="shared" si="3"/>
        <v>1</v>
      </c>
      <c r="I93" s="89"/>
    </row>
    <row r="94" spans="1:9" s="10" customFormat="1" ht="33" customHeight="1" x14ac:dyDescent="0.4">
      <c r="A94" s="109" t="s">
        <v>137</v>
      </c>
      <c r="B94" s="82" t="s">
        <v>193</v>
      </c>
      <c r="C94" s="80">
        <f>C9+C15+C25+C26+C56+C57+C58+C61+C83+C91</f>
        <v>83230253</v>
      </c>
      <c r="D94" s="80">
        <f>D9+D15+D25+D26+D56+D57+D58+D61+D83+D91</f>
        <v>83230253</v>
      </c>
      <c r="E94" s="80" t="str">
        <f t="shared" si="2"/>
        <v>-</v>
      </c>
      <c r="F94" s="81">
        <f t="shared" si="3"/>
        <v>1</v>
      </c>
      <c r="I94" s="89"/>
    </row>
    <row r="95" spans="1:9" ht="26.25" x14ac:dyDescent="0.2">
      <c r="C95" s="11"/>
    </row>
    <row r="96" spans="1:9" ht="26.25" x14ac:dyDescent="0.2">
      <c r="C96" s="11"/>
    </row>
    <row r="97" spans="3:3" ht="26.25" x14ac:dyDescent="0.2">
      <c r="C97" s="11"/>
    </row>
    <row r="98" spans="3:3" ht="26.25" x14ac:dyDescent="0.2">
      <c r="C98" s="11"/>
    </row>
    <row r="99" spans="3:3" ht="26.25" x14ac:dyDescent="0.2">
      <c r="C99" s="11"/>
    </row>
    <row r="100" spans="3:3" ht="26.25" x14ac:dyDescent="0.2">
      <c r="C100" s="11"/>
    </row>
    <row r="101" spans="3:3" ht="26.25" x14ac:dyDescent="0.2">
      <c r="C101" s="11"/>
    </row>
    <row r="102" spans="3:3" ht="26.25" x14ac:dyDescent="0.2">
      <c r="C102" s="11"/>
    </row>
    <row r="103" spans="3:3" ht="26.25" x14ac:dyDescent="0.2">
      <c r="C103" s="11"/>
    </row>
    <row r="104" spans="3:3" ht="26.25" x14ac:dyDescent="0.2">
      <c r="C104" s="11"/>
    </row>
    <row r="105" spans="3:3" ht="26.25" x14ac:dyDescent="0.2">
      <c r="C105" s="11"/>
    </row>
  </sheetData>
  <mergeCells count="2">
    <mergeCell ref="A2:B2"/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3" fitToHeight="2" orientation="portrait" r:id="rId1"/>
  <headerFooter alignWithMargins="0">
    <oddFooter>&amp;R&amp;20&amp;P</oddFooter>
  </headerFooter>
  <rowBreaks count="1" manualBreakCount="1">
    <brk id="60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pageSetUpPr fitToPage="1"/>
  </sheetPr>
  <dimension ref="A1:F66"/>
  <sheetViews>
    <sheetView showGridLines="0" view="pageBreakPreview" zoomScale="55" zoomScaleNormal="55" zoomScaleSheetLayoutView="55" workbookViewId="0">
      <pane xSplit="2" ySplit="6" topLeftCell="C7" activePane="bottomRight" state="frozen"/>
      <selection activeCell="J7" sqref="J7"/>
      <selection pane="topRight" activeCell="J7" sqref="J7"/>
      <selection pane="bottomLeft" activeCell="J7" sqref="J7"/>
      <selection pane="bottomRight" activeCell="J7" sqref="J7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2.75" customHeight="1" x14ac:dyDescent="0.2">
      <c r="A1" s="112" t="s">
        <v>202</v>
      </c>
      <c r="B1" s="112"/>
      <c r="C1" s="112"/>
      <c r="D1" s="112"/>
      <c r="E1" s="112"/>
      <c r="F1" s="112"/>
    </row>
    <row r="2" spans="1:6" s="22" customFormat="1" ht="33" customHeight="1" x14ac:dyDescent="0.2">
      <c r="A2" s="54" t="s">
        <v>65</v>
      </c>
      <c r="B2" s="54"/>
      <c r="C2" s="55"/>
    </row>
    <row r="3" spans="1:6" ht="33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195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198</v>
      </c>
      <c r="C6" s="83">
        <f>C7+C8+C9+C14+C15+C16+C17+C18+C19+C20+C21+C22+C23+C24+C28+C29+C31+C32+C33+C34+C35</f>
        <v>11385614</v>
      </c>
      <c r="D6" s="83">
        <f>D7+D8+D9+D14+D15+D16+D17+D18+D19+D20+D21+D22+D23+D24+D28+D29+D31+D32+D33+D34+D35</f>
        <v>11429851</v>
      </c>
      <c r="E6" s="68">
        <f>IF(C6=D6,"-",D6-C6)</f>
        <v>44237</v>
      </c>
      <c r="F6" s="84">
        <f>IF(C6=0,"-",D6/C6)</f>
        <v>1.004</v>
      </c>
    </row>
    <row r="7" spans="1:6" ht="33" customHeight="1" x14ac:dyDescent="0.2">
      <c r="A7" s="92" t="s">
        <v>1</v>
      </c>
      <c r="B7" s="14" t="s">
        <v>116</v>
      </c>
      <c r="C7" s="31">
        <v>1560000</v>
      </c>
      <c r="D7" s="13">
        <f>C7</f>
        <v>1560000</v>
      </c>
      <c r="E7" s="38" t="str">
        <f t="shared" ref="E7:E66" si="0">IF(C7=D7,"-",D7-C7)</f>
        <v>-</v>
      </c>
      <c r="F7" s="39">
        <f t="shared" ref="F7:F66" si="1">IF(C7=0,"-",D7/C7)</f>
        <v>1</v>
      </c>
    </row>
    <row r="8" spans="1:6" ht="33" customHeight="1" x14ac:dyDescent="0.2">
      <c r="A8" s="92" t="s">
        <v>2</v>
      </c>
      <c r="B8" s="14" t="s">
        <v>117</v>
      </c>
      <c r="C8" s="31">
        <v>630755</v>
      </c>
      <c r="D8" s="13">
        <f>C8</f>
        <v>630755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92" t="s">
        <v>3</v>
      </c>
      <c r="B9" s="14" t="s">
        <v>114</v>
      </c>
      <c r="C9" s="31">
        <v>6136688</v>
      </c>
      <c r="D9" s="13">
        <f>C9+25552</f>
        <v>6162240</v>
      </c>
      <c r="E9" s="38">
        <f t="shared" si="0"/>
        <v>25552</v>
      </c>
      <c r="F9" s="39">
        <f t="shared" si="1"/>
        <v>1.0042</v>
      </c>
    </row>
    <row r="10" spans="1:6" ht="31.5" customHeight="1" x14ac:dyDescent="0.2">
      <c r="A10" s="93" t="s">
        <v>54</v>
      </c>
      <c r="B10" s="45" t="s">
        <v>199</v>
      </c>
      <c r="C10" s="31">
        <v>543168</v>
      </c>
      <c r="D10" s="13">
        <f>C10</f>
        <v>543168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93" t="s">
        <v>139</v>
      </c>
      <c r="B11" s="45" t="s">
        <v>142</v>
      </c>
      <c r="C11" s="31">
        <v>490428</v>
      </c>
      <c r="D11" s="13">
        <f t="shared" ref="D11:D34" si="2">C11</f>
        <v>490428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v>220444</v>
      </c>
      <c r="D12" s="13">
        <f t="shared" si="2"/>
        <v>220444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93" t="s">
        <v>141</v>
      </c>
      <c r="B13" s="45" t="s">
        <v>144</v>
      </c>
      <c r="C13" s="31">
        <v>104669</v>
      </c>
      <c r="D13" s="13">
        <f t="shared" si="2"/>
        <v>104669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v>417219</v>
      </c>
      <c r="D14" s="13">
        <f>C14+6835</f>
        <v>424054</v>
      </c>
      <c r="E14" s="38">
        <f t="shared" si="0"/>
        <v>6835</v>
      </c>
      <c r="F14" s="39">
        <f t="shared" si="1"/>
        <v>1.0164</v>
      </c>
    </row>
    <row r="15" spans="1:6" ht="33" customHeight="1" x14ac:dyDescent="0.2">
      <c r="A15" s="92" t="s">
        <v>5</v>
      </c>
      <c r="B15" s="14" t="s">
        <v>118</v>
      </c>
      <c r="C15" s="31">
        <v>445075</v>
      </c>
      <c r="D15" s="13">
        <f t="shared" si="2"/>
        <v>445075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92" t="s">
        <v>6</v>
      </c>
      <c r="B16" s="14" t="s">
        <v>124</v>
      </c>
      <c r="C16" s="31">
        <v>213649</v>
      </c>
      <c r="D16" s="13">
        <f t="shared" si="2"/>
        <v>213649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92" t="s">
        <v>7</v>
      </c>
      <c r="B17" s="14" t="s">
        <v>123</v>
      </c>
      <c r="C17" s="31">
        <v>87771</v>
      </c>
      <c r="D17" s="13">
        <f t="shared" si="2"/>
        <v>87771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92" t="s">
        <v>8</v>
      </c>
      <c r="B18" s="14" t="s">
        <v>119</v>
      </c>
      <c r="C18" s="31">
        <v>223614</v>
      </c>
      <c r="D18" s="13">
        <f t="shared" si="2"/>
        <v>223614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92" t="s">
        <v>9</v>
      </c>
      <c r="B19" s="14" t="s">
        <v>120</v>
      </c>
      <c r="C19" s="31">
        <v>102936</v>
      </c>
      <c r="D19" s="13">
        <f t="shared" si="2"/>
        <v>102936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92" t="s">
        <v>10</v>
      </c>
      <c r="B20" s="14" t="s">
        <v>125</v>
      </c>
      <c r="C20" s="31">
        <v>8598</v>
      </c>
      <c r="D20" s="13">
        <f t="shared" si="2"/>
        <v>8598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v>25496</v>
      </c>
      <c r="D21" s="13">
        <f t="shared" si="2"/>
        <v>25496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92" t="s">
        <v>12</v>
      </c>
      <c r="B22" s="14" t="s">
        <v>161</v>
      </c>
      <c r="C22" s="31">
        <v>193501</v>
      </c>
      <c r="D22" s="13">
        <f t="shared" si="2"/>
        <v>193501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92" t="s">
        <v>13</v>
      </c>
      <c r="B23" s="14" t="s">
        <v>145</v>
      </c>
      <c r="C23" s="31">
        <v>160000</v>
      </c>
      <c r="D23" s="13">
        <f t="shared" si="2"/>
        <v>160000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94" t="s">
        <v>14</v>
      </c>
      <c r="B24" s="30" t="s">
        <v>177</v>
      </c>
      <c r="C24" s="31">
        <v>1147984</v>
      </c>
      <c r="D24" s="13">
        <f t="shared" si="2"/>
        <v>1147984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v>1140378</v>
      </c>
      <c r="D25" s="13">
        <f t="shared" si="2"/>
        <v>1140378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v>3058</v>
      </c>
      <c r="D26" s="13">
        <f t="shared" si="2"/>
        <v>3058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v>4548</v>
      </c>
      <c r="D27" s="13">
        <f t="shared" si="2"/>
        <v>4548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v>0</v>
      </c>
      <c r="D29" s="13">
        <f t="shared" si="2"/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v>26466</v>
      </c>
      <c r="D32" s="13">
        <f t="shared" si="2"/>
        <v>26466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178</v>
      </c>
      <c r="B33" s="16" t="s">
        <v>179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v>1992</v>
      </c>
      <c r="D34" s="13">
        <f t="shared" si="2"/>
        <v>1992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196</v>
      </c>
      <c r="B35" s="16" t="s">
        <v>197</v>
      </c>
      <c r="C35" s="31">
        <v>3870</v>
      </c>
      <c r="D35" s="13">
        <f>C35+11850</f>
        <v>15720</v>
      </c>
      <c r="E35" s="38">
        <f>IF(C35=D35,"-",D35-C35)</f>
        <v>11850</v>
      </c>
      <c r="F35" s="39">
        <f>IF(C35=0,"-",D35/C35)</f>
        <v>4.0620000000000003</v>
      </c>
    </row>
    <row r="36" spans="1:6" s="2" customFormat="1" ht="31.5" customHeight="1" x14ac:dyDescent="0.2">
      <c r="A36" s="96" t="s">
        <v>56</v>
      </c>
      <c r="B36" s="17" t="s">
        <v>57</v>
      </c>
      <c r="C36" s="32">
        <v>1224</v>
      </c>
      <c r="D36" s="37">
        <f>C36</f>
        <v>1224</v>
      </c>
      <c r="E36" s="7" t="str">
        <f t="shared" si="0"/>
        <v>-</v>
      </c>
      <c r="F36" s="40">
        <f t="shared" si="1"/>
        <v>1</v>
      </c>
    </row>
    <row r="37" spans="1:6" s="2" customFormat="1" ht="31.5" customHeight="1" x14ac:dyDescent="0.2">
      <c r="A37" s="96" t="s">
        <v>55</v>
      </c>
      <c r="B37" s="17" t="s">
        <v>58</v>
      </c>
      <c r="C37" s="32">
        <v>239181</v>
      </c>
      <c r="D37" s="37">
        <f>C37</f>
        <v>239181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2">
        <v>96569</v>
      </c>
      <c r="D38" s="37">
        <f>C38</f>
        <v>96569</v>
      </c>
      <c r="E38" s="7" t="str">
        <f t="shared" si="0"/>
        <v>-</v>
      </c>
      <c r="F38" s="40">
        <f t="shared" si="1"/>
        <v>1</v>
      </c>
    </row>
    <row r="39" spans="1:6" s="2" customFormat="1" ht="42.75" customHeight="1" x14ac:dyDescent="0.2">
      <c r="A39" s="96" t="s">
        <v>153</v>
      </c>
      <c r="B39" s="17" t="s">
        <v>154</v>
      </c>
      <c r="C39" s="32">
        <f>C11+C13+C24+C30</f>
        <v>1743081</v>
      </c>
      <c r="D39" s="32">
        <f>D11+D13+D24+D30</f>
        <v>1743081</v>
      </c>
      <c r="E39" s="7" t="str">
        <f t="shared" si="0"/>
        <v>-</v>
      </c>
      <c r="F39" s="40">
        <f t="shared" si="1"/>
        <v>1</v>
      </c>
    </row>
    <row r="40" spans="1:6" ht="30" customHeight="1" x14ac:dyDescent="0.2">
      <c r="A40" s="97" t="s">
        <v>130</v>
      </c>
      <c r="B40" s="85" t="s">
        <v>183</v>
      </c>
      <c r="C40" s="71">
        <f>C41+C42+C43+C51+C53+C59+C60+C58</f>
        <v>71072</v>
      </c>
      <c r="D40" s="71">
        <f>D41+D42+D43+D51+D53+D59+D60+D58</f>
        <v>71072</v>
      </c>
      <c r="E40" s="68" t="str">
        <f t="shared" si="0"/>
        <v>-</v>
      </c>
      <c r="F40" s="86">
        <f t="shared" si="1"/>
        <v>1</v>
      </c>
    </row>
    <row r="41" spans="1:6" ht="28.5" customHeight="1" x14ac:dyDescent="0.2">
      <c r="A41" s="95" t="s">
        <v>16</v>
      </c>
      <c r="B41" s="18" t="s">
        <v>17</v>
      </c>
      <c r="C41" s="31">
        <v>2073</v>
      </c>
      <c r="D41" s="33">
        <f>C41</f>
        <v>2073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95" t="s">
        <v>18</v>
      </c>
      <c r="B42" s="18" t="s">
        <v>19</v>
      </c>
      <c r="C42" s="31">
        <v>12436</v>
      </c>
      <c r="D42" s="33">
        <f t="shared" ref="D42:D60" si="3">C42</f>
        <v>12436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20</v>
      </c>
      <c r="B43" s="19" t="s">
        <v>184</v>
      </c>
      <c r="C43" s="33">
        <f>C44+C46+C47+C48+C49+C50</f>
        <v>238</v>
      </c>
      <c r="D43" s="33">
        <f>D44+D46+D47+D48+D49+D50</f>
        <v>238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8" t="s">
        <v>37</v>
      </c>
      <c r="B44" s="46" t="s">
        <v>30</v>
      </c>
      <c r="C44" s="31">
        <v>20</v>
      </c>
      <c r="D44" s="33">
        <f t="shared" si="3"/>
        <v>20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98" t="s">
        <v>38</v>
      </c>
      <c r="B45" s="47" t="s">
        <v>31</v>
      </c>
      <c r="C45" s="31">
        <v>20</v>
      </c>
      <c r="D45" s="33">
        <f t="shared" si="3"/>
        <v>20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39</v>
      </c>
      <c r="B46" s="46" t="s">
        <v>32</v>
      </c>
      <c r="C46" s="31">
        <v>12</v>
      </c>
      <c r="D46" s="33">
        <f t="shared" si="3"/>
        <v>12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40</v>
      </c>
      <c r="B47" s="46" t="s">
        <v>33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98" t="s">
        <v>41</v>
      </c>
      <c r="B48" s="46" t="s">
        <v>34</v>
      </c>
      <c r="C48" s="31">
        <v>0</v>
      </c>
      <c r="D48" s="33">
        <f t="shared" si="3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42</v>
      </c>
      <c r="B49" s="46" t="s">
        <v>35</v>
      </c>
      <c r="C49" s="31">
        <v>203</v>
      </c>
      <c r="D49" s="33">
        <f t="shared" si="3"/>
        <v>203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98" t="s">
        <v>43</v>
      </c>
      <c r="B50" s="46" t="s">
        <v>36</v>
      </c>
      <c r="C50" s="31">
        <v>3</v>
      </c>
      <c r="D50" s="33">
        <f t="shared" si="3"/>
        <v>3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5" t="s">
        <v>21</v>
      </c>
      <c r="B51" s="18" t="s">
        <v>155</v>
      </c>
      <c r="C51" s="31">
        <v>44283</v>
      </c>
      <c r="D51" s="33">
        <f t="shared" si="3"/>
        <v>44283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8" t="s">
        <v>156</v>
      </c>
      <c r="B52" s="46" t="s">
        <v>157</v>
      </c>
      <c r="C52" s="31">
        <v>71</v>
      </c>
      <c r="D52" s="33">
        <f t="shared" si="3"/>
        <v>71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95" t="s">
        <v>22</v>
      </c>
      <c r="B53" s="19" t="s">
        <v>182</v>
      </c>
      <c r="C53" s="29">
        <f>C54+C55+C56+C57</f>
        <v>9919</v>
      </c>
      <c r="D53" s="29">
        <f>D54+D55+D56+D57</f>
        <v>9919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8" t="s">
        <v>48</v>
      </c>
      <c r="B54" s="46" t="s">
        <v>44</v>
      </c>
      <c r="C54" s="31">
        <v>7604</v>
      </c>
      <c r="D54" s="33">
        <f t="shared" si="3"/>
        <v>7604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49</v>
      </c>
      <c r="B55" s="46" t="s">
        <v>45</v>
      </c>
      <c r="C55" s="31">
        <v>1085</v>
      </c>
      <c r="D55" s="33">
        <f t="shared" si="3"/>
        <v>1085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50</v>
      </c>
      <c r="B56" s="46" t="s">
        <v>46</v>
      </c>
      <c r="C56" s="31">
        <v>0</v>
      </c>
      <c r="D56" s="33">
        <f t="shared" si="3"/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98" t="s">
        <v>51</v>
      </c>
      <c r="B57" s="46" t="s">
        <v>47</v>
      </c>
      <c r="C57" s="31">
        <v>1230</v>
      </c>
      <c r="D57" s="33">
        <f t="shared" si="3"/>
        <v>1230</v>
      </c>
      <c r="E57" s="38" t="str">
        <f t="shared" si="0"/>
        <v>-</v>
      </c>
      <c r="F57" s="39">
        <f t="shared" si="1"/>
        <v>1</v>
      </c>
    </row>
    <row r="58" spans="1:6" ht="28.5" customHeight="1" x14ac:dyDescent="0.2">
      <c r="A58" s="95" t="s">
        <v>23</v>
      </c>
      <c r="B58" s="18" t="s">
        <v>24</v>
      </c>
      <c r="C58" s="31">
        <v>0</v>
      </c>
      <c r="D58" s="33">
        <f t="shared" si="3"/>
        <v>0</v>
      </c>
      <c r="E58" s="38" t="str">
        <f t="shared" si="0"/>
        <v>-</v>
      </c>
      <c r="F58" s="39" t="str">
        <f t="shared" si="1"/>
        <v>-</v>
      </c>
    </row>
    <row r="59" spans="1:6" ht="28.5" customHeight="1" x14ac:dyDescent="0.2">
      <c r="A59" s="95" t="s">
        <v>25</v>
      </c>
      <c r="B59" s="18" t="s">
        <v>158</v>
      </c>
      <c r="C59" s="31">
        <v>1719</v>
      </c>
      <c r="D59" s="33">
        <f t="shared" si="3"/>
        <v>1719</v>
      </c>
      <c r="E59" s="38" t="str">
        <f t="shared" si="0"/>
        <v>-</v>
      </c>
      <c r="F59" s="41">
        <f t="shared" si="1"/>
        <v>1</v>
      </c>
    </row>
    <row r="60" spans="1:6" ht="28.5" customHeight="1" x14ac:dyDescent="0.2">
      <c r="A60" s="95" t="s">
        <v>26</v>
      </c>
      <c r="B60" s="18" t="s">
        <v>27</v>
      </c>
      <c r="C60" s="31">
        <v>404</v>
      </c>
      <c r="D60" s="33">
        <f t="shared" si="3"/>
        <v>404</v>
      </c>
      <c r="E60" s="38" t="str">
        <f t="shared" si="0"/>
        <v>-</v>
      </c>
      <c r="F60" s="39">
        <f t="shared" si="1"/>
        <v>1</v>
      </c>
    </row>
    <row r="61" spans="1:6" ht="30" customHeight="1" x14ac:dyDescent="0.2">
      <c r="A61" s="99" t="s">
        <v>132</v>
      </c>
      <c r="B61" s="77" t="s">
        <v>159</v>
      </c>
      <c r="C61" s="87">
        <f>C62+C63+C64+C65</f>
        <v>21751</v>
      </c>
      <c r="D61" s="87">
        <f>D62+D63+D64+D65</f>
        <v>21751</v>
      </c>
      <c r="E61" s="68" t="str">
        <f t="shared" si="0"/>
        <v>-</v>
      </c>
      <c r="F61" s="88">
        <f t="shared" si="1"/>
        <v>1</v>
      </c>
    </row>
    <row r="62" spans="1:6" ht="42" customHeight="1" x14ac:dyDescent="0.2">
      <c r="A62" s="95" t="s">
        <v>99</v>
      </c>
      <c r="B62" s="18" t="s">
        <v>112</v>
      </c>
      <c r="C62" s="31">
        <v>0</v>
      </c>
      <c r="D62" s="33">
        <f>C62</f>
        <v>0</v>
      </c>
      <c r="E62" s="29" t="str">
        <f t="shared" si="0"/>
        <v>-</v>
      </c>
      <c r="F62" s="39" t="str">
        <f t="shared" si="1"/>
        <v>-</v>
      </c>
    </row>
    <row r="63" spans="1:6" ht="31.5" customHeight="1" x14ac:dyDescent="0.2">
      <c r="A63" s="95" t="s">
        <v>28</v>
      </c>
      <c r="B63" s="18" t="s">
        <v>53</v>
      </c>
      <c r="C63" s="31">
        <v>13828</v>
      </c>
      <c r="D63" s="33">
        <f>C63</f>
        <v>13828</v>
      </c>
      <c r="E63" s="29" t="str">
        <f t="shared" si="0"/>
        <v>-</v>
      </c>
      <c r="F63" s="39">
        <f t="shared" si="1"/>
        <v>1</v>
      </c>
    </row>
    <row r="64" spans="1:6" ht="31.5" customHeight="1" x14ac:dyDescent="0.2">
      <c r="A64" s="95" t="s">
        <v>29</v>
      </c>
      <c r="B64" s="18" t="s">
        <v>101</v>
      </c>
      <c r="C64" s="31">
        <v>0</v>
      </c>
      <c r="D64" s="33">
        <f>C64</f>
        <v>0</v>
      </c>
      <c r="E64" s="29" t="str">
        <f t="shared" si="0"/>
        <v>-</v>
      </c>
      <c r="F64" s="39" t="str">
        <f t="shared" si="1"/>
        <v>-</v>
      </c>
    </row>
    <row r="65" spans="1:6" ht="31.5" customHeight="1" x14ac:dyDescent="0.2">
      <c r="A65" s="95" t="s">
        <v>100</v>
      </c>
      <c r="B65" s="18" t="s">
        <v>102</v>
      </c>
      <c r="C65" s="31">
        <v>7923</v>
      </c>
      <c r="D65" s="33">
        <f>C65</f>
        <v>7923</v>
      </c>
      <c r="E65" s="29" t="str">
        <f t="shared" si="0"/>
        <v>-</v>
      </c>
      <c r="F65" s="39">
        <f t="shared" si="1"/>
        <v>1</v>
      </c>
    </row>
    <row r="66" spans="1:6" ht="32.25" customHeight="1" x14ac:dyDescent="0.2">
      <c r="A66" s="99" t="s">
        <v>134</v>
      </c>
      <c r="B66" s="77" t="s">
        <v>113</v>
      </c>
      <c r="C66" s="87">
        <v>9640</v>
      </c>
      <c r="D66" s="87">
        <f>C66</f>
        <v>9640</v>
      </c>
      <c r="E66" s="68" t="str">
        <f t="shared" si="0"/>
        <v>-</v>
      </c>
      <c r="F66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pageSetUpPr fitToPage="1"/>
  </sheetPr>
  <dimension ref="A1:F66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J7" sqref="J7"/>
      <selection pane="topRight" activeCell="J7" sqref="J7"/>
      <selection pane="bottomLeft" activeCell="J7" sqref="J7"/>
      <selection pane="bottomRight" activeCell="J7" sqref="J7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2.75" customHeight="1" x14ac:dyDescent="0.2">
      <c r="A1" s="112" t="s">
        <v>202</v>
      </c>
      <c r="B1" s="112"/>
      <c r="C1" s="112"/>
      <c r="D1" s="112"/>
      <c r="E1" s="112"/>
      <c r="F1" s="112"/>
    </row>
    <row r="2" spans="1:6" s="22" customFormat="1" ht="33" customHeight="1" x14ac:dyDescent="0.2">
      <c r="A2" s="54" t="s">
        <v>66</v>
      </c>
      <c r="B2" s="54"/>
      <c r="C2" s="55"/>
    </row>
    <row r="3" spans="1:6" ht="33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195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198</v>
      </c>
      <c r="C6" s="83">
        <f>C7+C8+C9+C14+C15+C16+C17+C18+C19+C20+C21+C22+C23+C24+C28+C29+C31+C32+C33+C34+C35</f>
        <v>1862456</v>
      </c>
      <c r="D6" s="83">
        <f>D7+D8+D9+D14+D15+D16+D17+D18+D19+D20+D21+D22+D23+D24+D28+D29+D31+D32+D33+D34+D35</f>
        <v>1870393</v>
      </c>
      <c r="E6" s="68">
        <f>IF(C6=D6,"-",D6-C6)</f>
        <v>7937</v>
      </c>
      <c r="F6" s="84">
        <f>IF(C6=0,"-",D6/C6)</f>
        <v>1.004</v>
      </c>
    </row>
    <row r="7" spans="1:6" ht="33" customHeight="1" x14ac:dyDescent="0.2">
      <c r="A7" s="92" t="s">
        <v>1</v>
      </c>
      <c r="B7" s="14" t="s">
        <v>116</v>
      </c>
      <c r="C7" s="31">
        <v>256693</v>
      </c>
      <c r="D7" s="13">
        <f>C7</f>
        <v>256693</v>
      </c>
      <c r="E7" s="38" t="str">
        <f t="shared" ref="E7:E66" si="0">IF(C7=D7,"-",D7-C7)</f>
        <v>-</v>
      </c>
      <c r="F7" s="39">
        <f t="shared" ref="F7:F66" si="1">IF(C7=0,"-",D7/C7)</f>
        <v>1</v>
      </c>
    </row>
    <row r="8" spans="1:6" ht="33" customHeight="1" x14ac:dyDescent="0.2">
      <c r="A8" s="92" t="s">
        <v>2</v>
      </c>
      <c r="B8" s="14" t="s">
        <v>117</v>
      </c>
      <c r="C8" s="31">
        <v>93676</v>
      </c>
      <c r="D8" s="13">
        <f>C8</f>
        <v>93676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92" t="s">
        <v>3</v>
      </c>
      <c r="B9" s="14" t="s">
        <v>114</v>
      </c>
      <c r="C9" s="31">
        <v>959932</v>
      </c>
      <c r="D9" s="13">
        <f>C9+5285</f>
        <v>965217</v>
      </c>
      <c r="E9" s="38">
        <f t="shared" si="0"/>
        <v>5285</v>
      </c>
      <c r="F9" s="39">
        <f t="shared" si="1"/>
        <v>1.0055000000000001</v>
      </c>
    </row>
    <row r="10" spans="1:6" ht="31.5" customHeight="1" x14ac:dyDescent="0.2">
      <c r="A10" s="93" t="s">
        <v>54</v>
      </c>
      <c r="B10" s="45" t="s">
        <v>199</v>
      </c>
      <c r="C10" s="31">
        <v>74400</v>
      </c>
      <c r="D10" s="13">
        <f>C10</f>
        <v>74400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93" t="s">
        <v>139</v>
      </c>
      <c r="B11" s="45" t="s">
        <v>142</v>
      </c>
      <c r="C11" s="31">
        <v>68348</v>
      </c>
      <c r="D11" s="13">
        <f t="shared" ref="D11:D34" si="2">C11</f>
        <v>68348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v>33958</v>
      </c>
      <c r="D12" s="13">
        <f t="shared" si="2"/>
        <v>33958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93" t="s">
        <v>141</v>
      </c>
      <c r="B13" s="45" t="s">
        <v>144</v>
      </c>
      <c r="C13" s="31">
        <v>14948</v>
      </c>
      <c r="D13" s="13">
        <f t="shared" si="2"/>
        <v>14948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v>66797</v>
      </c>
      <c r="D14" s="13">
        <f>C14+1962</f>
        <v>68759</v>
      </c>
      <c r="E14" s="38">
        <f t="shared" si="0"/>
        <v>1962</v>
      </c>
      <c r="F14" s="39">
        <f t="shared" si="1"/>
        <v>1.0294000000000001</v>
      </c>
    </row>
    <row r="15" spans="1:6" ht="33" customHeight="1" x14ac:dyDescent="0.2">
      <c r="A15" s="92" t="s">
        <v>5</v>
      </c>
      <c r="B15" s="14" t="s">
        <v>118</v>
      </c>
      <c r="C15" s="31">
        <v>54380</v>
      </c>
      <c r="D15" s="13">
        <f t="shared" si="2"/>
        <v>54380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92" t="s">
        <v>6</v>
      </c>
      <c r="B16" s="14" t="s">
        <v>124</v>
      </c>
      <c r="C16" s="31">
        <v>57413</v>
      </c>
      <c r="D16" s="13">
        <f t="shared" si="2"/>
        <v>57413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92" t="s">
        <v>7</v>
      </c>
      <c r="B17" s="14" t="s">
        <v>123</v>
      </c>
      <c r="C17" s="31">
        <v>19884</v>
      </c>
      <c r="D17" s="13">
        <f t="shared" si="2"/>
        <v>19884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92" t="s">
        <v>8</v>
      </c>
      <c r="B18" s="14" t="s">
        <v>119</v>
      </c>
      <c r="C18" s="31">
        <v>42843</v>
      </c>
      <c r="D18" s="13">
        <f t="shared" si="2"/>
        <v>42843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92" t="s">
        <v>9</v>
      </c>
      <c r="B19" s="14" t="s">
        <v>120</v>
      </c>
      <c r="C19" s="31">
        <v>13000</v>
      </c>
      <c r="D19" s="13">
        <f t="shared" si="2"/>
        <v>13000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92" t="s">
        <v>10</v>
      </c>
      <c r="B20" s="14" t="s">
        <v>125</v>
      </c>
      <c r="C20" s="31">
        <v>1329</v>
      </c>
      <c r="D20" s="13">
        <f t="shared" si="2"/>
        <v>1329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v>3869</v>
      </c>
      <c r="D21" s="13">
        <f t="shared" si="2"/>
        <v>3869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92" t="s">
        <v>12</v>
      </c>
      <c r="B22" s="14" t="s">
        <v>161</v>
      </c>
      <c r="C22" s="31">
        <v>47603</v>
      </c>
      <c r="D22" s="13">
        <f t="shared" si="2"/>
        <v>47603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92" t="s">
        <v>13</v>
      </c>
      <c r="B23" s="14" t="s">
        <v>145</v>
      </c>
      <c r="C23" s="31">
        <v>27997</v>
      </c>
      <c r="D23" s="13">
        <f t="shared" si="2"/>
        <v>27997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94" t="s">
        <v>14</v>
      </c>
      <c r="B24" s="30" t="s">
        <v>177</v>
      </c>
      <c r="C24" s="31">
        <v>203000</v>
      </c>
      <c r="D24" s="13">
        <f t="shared" si="2"/>
        <v>203000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v>202130</v>
      </c>
      <c r="D25" s="13">
        <f t="shared" si="2"/>
        <v>202130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v>650</v>
      </c>
      <c r="D26" s="13">
        <f t="shared" si="2"/>
        <v>650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v>220</v>
      </c>
      <c r="D27" s="13">
        <f t="shared" si="2"/>
        <v>220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v>0</v>
      </c>
      <c r="D29" s="13">
        <f t="shared" si="2"/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v>13152</v>
      </c>
      <c r="D32" s="13">
        <f t="shared" si="2"/>
        <v>13152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178</v>
      </c>
      <c r="B33" s="16" t="s">
        <v>179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v>498</v>
      </c>
      <c r="D34" s="13">
        <f t="shared" si="2"/>
        <v>498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196</v>
      </c>
      <c r="B35" s="16" t="s">
        <v>197</v>
      </c>
      <c r="C35" s="31">
        <v>390</v>
      </c>
      <c r="D35" s="13">
        <f>C35+690</f>
        <v>1080</v>
      </c>
      <c r="E35" s="38">
        <f>IF(C35=D35,"-",D35-C35)</f>
        <v>690</v>
      </c>
      <c r="F35" s="39">
        <f>IF(C35=0,"-",D35/C35)</f>
        <v>2.7692000000000001</v>
      </c>
    </row>
    <row r="36" spans="1:6" s="2" customFormat="1" ht="31.5" customHeight="1" x14ac:dyDescent="0.2">
      <c r="A36" s="96" t="s">
        <v>56</v>
      </c>
      <c r="B36" s="17" t="s">
        <v>57</v>
      </c>
      <c r="C36" s="32">
        <v>306</v>
      </c>
      <c r="D36" s="37">
        <f>C36</f>
        <v>306</v>
      </c>
      <c r="E36" s="7" t="str">
        <f t="shared" si="0"/>
        <v>-</v>
      </c>
      <c r="F36" s="40">
        <f t="shared" si="1"/>
        <v>1</v>
      </c>
    </row>
    <row r="37" spans="1:6" s="2" customFormat="1" ht="31.5" customHeight="1" x14ac:dyDescent="0.2">
      <c r="A37" s="96" t="s">
        <v>55</v>
      </c>
      <c r="B37" s="17" t="s">
        <v>58</v>
      </c>
      <c r="C37" s="32">
        <v>53187</v>
      </c>
      <c r="D37" s="37">
        <f>C37</f>
        <v>53187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2">
        <v>17354</v>
      </c>
      <c r="D38" s="37">
        <f>C38</f>
        <v>17354</v>
      </c>
      <c r="E38" s="7" t="str">
        <f t="shared" si="0"/>
        <v>-</v>
      </c>
      <c r="F38" s="40">
        <f t="shared" si="1"/>
        <v>1</v>
      </c>
    </row>
    <row r="39" spans="1:6" s="2" customFormat="1" ht="42.75" customHeight="1" x14ac:dyDescent="0.2">
      <c r="A39" s="96" t="s">
        <v>153</v>
      </c>
      <c r="B39" s="17" t="s">
        <v>154</v>
      </c>
      <c r="C39" s="32">
        <f>C11+C13+C24+C30</f>
        <v>286296</v>
      </c>
      <c r="D39" s="32">
        <f>D11+D13+D24+D30</f>
        <v>286296</v>
      </c>
      <c r="E39" s="7" t="str">
        <f t="shared" si="0"/>
        <v>-</v>
      </c>
      <c r="F39" s="40">
        <f t="shared" si="1"/>
        <v>1</v>
      </c>
    </row>
    <row r="40" spans="1:6" ht="30" customHeight="1" x14ac:dyDescent="0.2">
      <c r="A40" s="97" t="s">
        <v>130</v>
      </c>
      <c r="B40" s="85" t="s">
        <v>183</v>
      </c>
      <c r="C40" s="71">
        <f>C41+C42+C43+C51+C53+C59+C60+C58</f>
        <v>16597</v>
      </c>
      <c r="D40" s="71">
        <f>D41+D42+D43+D51+D53+D59+D60+D58</f>
        <v>16597</v>
      </c>
      <c r="E40" s="68" t="str">
        <f t="shared" si="0"/>
        <v>-</v>
      </c>
      <c r="F40" s="86">
        <f t="shared" si="1"/>
        <v>1</v>
      </c>
    </row>
    <row r="41" spans="1:6" ht="28.5" customHeight="1" x14ac:dyDescent="0.2">
      <c r="A41" s="95" t="s">
        <v>16</v>
      </c>
      <c r="B41" s="18" t="s">
        <v>17</v>
      </c>
      <c r="C41" s="31">
        <v>845</v>
      </c>
      <c r="D41" s="33">
        <f>C41</f>
        <v>845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95" t="s">
        <v>18</v>
      </c>
      <c r="B42" s="18" t="s">
        <v>19</v>
      </c>
      <c r="C42" s="31">
        <v>2465</v>
      </c>
      <c r="D42" s="33">
        <f t="shared" ref="D42:D60" si="3">C42</f>
        <v>2465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20</v>
      </c>
      <c r="B43" s="19" t="s">
        <v>184</v>
      </c>
      <c r="C43" s="33">
        <f>C44+C46+C47+C48+C49+C50</f>
        <v>169</v>
      </c>
      <c r="D43" s="33">
        <f>D44+D46+D47+D48+D49+D50</f>
        <v>169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8" t="s">
        <v>37</v>
      </c>
      <c r="B44" s="46" t="s">
        <v>30</v>
      </c>
      <c r="C44" s="31">
        <v>0</v>
      </c>
      <c r="D44" s="33">
        <f t="shared" si="3"/>
        <v>0</v>
      </c>
      <c r="E44" s="38" t="str">
        <f t="shared" si="0"/>
        <v>-</v>
      </c>
      <c r="F44" s="39" t="str">
        <f t="shared" si="1"/>
        <v>-</v>
      </c>
    </row>
    <row r="45" spans="1:6" ht="28.5" customHeight="1" x14ac:dyDescent="0.2">
      <c r="A45" s="98" t="s">
        <v>38</v>
      </c>
      <c r="B45" s="47" t="s">
        <v>31</v>
      </c>
      <c r="C45" s="31">
        <v>0</v>
      </c>
      <c r="D45" s="33">
        <f t="shared" si="3"/>
        <v>0</v>
      </c>
      <c r="E45" s="38" t="str">
        <f t="shared" si="0"/>
        <v>-</v>
      </c>
      <c r="F45" s="39" t="str">
        <f t="shared" si="1"/>
        <v>-</v>
      </c>
    </row>
    <row r="46" spans="1:6" ht="28.5" customHeight="1" x14ac:dyDescent="0.2">
      <c r="A46" s="98" t="s">
        <v>39</v>
      </c>
      <c r="B46" s="46" t="s">
        <v>32</v>
      </c>
      <c r="C46" s="31">
        <v>8</v>
      </c>
      <c r="D46" s="33">
        <f t="shared" si="3"/>
        <v>8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40</v>
      </c>
      <c r="B47" s="46" t="s">
        <v>33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98" t="s">
        <v>41</v>
      </c>
      <c r="B48" s="46" t="s">
        <v>34</v>
      </c>
      <c r="C48" s="31">
        <v>0</v>
      </c>
      <c r="D48" s="33">
        <f t="shared" si="3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42</v>
      </c>
      <c r="B49" s="46" t="s">
        <v>35</v>
      </c>
      <c r="C49" s="31">
        <v>155</v>
      </c>
      <c r="D49" s="33">
        <f t="shared" si="3"/>
        <v>155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98" t="s">
        <v>43</v>
      </c>
      <c r="B50" s="46" t="s">
        <v>36</v>
      </c>
      <c r="C50" s="31">
        <v>6</v>
      </c>
      <c r="D50" s="33">
        <f t="shared" si="3"/>
        <v>6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5" t="s">
        <v>21</v>
      </c>
      <c r="B51" s="18" t="s">
        <v>155</v>
      </c>
      <c r="C51" s="31">
        <v>9702</v>
      </c>
      <c r="D51" s="33">
        <f t="shared" si="3"/>
        <v>9702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8" t="s">
        <v>156</v>
      </c>
      <c r="B52" s="46" t="s">
        <v>157</v>
      </c>
      <c r="C52" s="31">
        <v>31</v>
      </c>
      <c r="D52" s="33">
        <f t="shared" si="3"/>
        <v>31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95" t="s">
        <v>22</v>
      </c>
      <c r="B53" s="19" t="s">
        <v>182</v>
      </c>
      <c r="C53" s="29">
        <f>C54+C55+C56+C57</f>
        <v>2172</v>
      </c>
      <c r="D53" s="29">
        <f>D54+D55+D56+D57</f>
        <v>2172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8" t="s">
        <v>48</v>
      </c>
      <c r="B54" s="46" t="s">
        <v>44</v>
      </c>
      <c r="C54" s="31">
        <v>1665</v>
      </c>
      <c r="D54" s="33">
        <f t="shared" si="3"/>
        <v>1665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49</v>
      </c>
      <c r="B55" s="46" t="s">
        <v>45</v>
      </c>
      <c r="C55" s="31">
        <v>238</v>
      </c>
      <c r="D55" s="33">
        <f t="shared" si="3"/>
        <v>238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50</v>
      </c>
      <c r="B56" s="46" t="s">
        <v>46</v>
      </c>
      <c r="C56" s="31">
        <v>0</v>
      </c>
      <c r="D56" s="33">
        <f t="shared" si="3"/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98" t="s">
        <v>51</v>
      </c>
      <c r="B57" s="46" t="s">
        <v>47</v>
      </c>
      <c r="C57" s="31">
        <v>269</v>
      </c>
      <c r="D57" s="33">
        <f t="shared" si="3"/>
        <v>269</v>
      </c>
      <c r="E57" s="38" t="str">
        <f t="shared" si="0"/>
        <v>-</v>
      </c>
      <c r="F57" s="39">
        <f t="shared" si="1"/>
        <v>1</v>
      </c>
    </row>
    <row r="58" spans="1:6" ht="28.5" customHeight="1" x14ac:dyDescent="0.2">
      <c r="A58" s="95" t="s">
        <v>23</v>
      </c>
      <c r="B58" s="18" t="s">
        <v>24</v>
      </c>
      <c r="C58" s="31">
        <v>0</v>
      </c>
      <c r="D58" s="33">
        <f t="shared" si="3"/>
        <v>0</v>
      </c>
      <c r="E58" s="38" t="str">
        <f t="shared" si="0"/>
        <v>-</v>
      </c>
      <c r="F58" s="39" t="str">
        <f t="shared" si="1"/>
        <v>-</v>
      </c>
    </row>
    <row r="59" spans="1:6" ht="28.5" customHeight="1" x14ac:dyDescent="0.2">
      <c r="A59" s="95" t="s">
        <v>25</v>
      </c>
      <c r="B59" s="18" t="s">
        <v>158</v>
      </c>
      <c r="C59" s="31">
        <v>1055</v>
      </c>
      <c r="D59" s="33">
        <f t="shared" si="3"/>
        <v>1055</v>
      </c>
      <c r="E59" s="38" t="str">
        <f t="shared" si="0"/>
        <v>-</v>
      </c>
      <c r="F59" s="41">
        <f t="shared" si="1"/>
        <v>1</v>
      </c>
    </row>
    <row r="60" spans="1:6" ht="28.5" customHeight="1" x14ac:dyDescent="0.2">
      <c r="A60" s="95" t="s">
        <v>26</v>
      </c>
      <c r="B60" s="18" t="s">
        <v>27</v>
      </c>
      <c r="C60" s="31">
        <v>189</v>
      </c>
      <c r="D60" s="33">
        <f t="shared" si="3"/>
        <v>189</v>
      </c>
      <c r="E60" s="38" t="str">
        <f t="shared" si="0"/>
        <v>-</v>
      </c>
      <c r="F60" s="39">
        <f t="shared" si="1"/>
        <v>1</v>
      </c>
    </row>
    <row r="61" spans="1:6" ht="30" customHeight="1" x14ac:dyDescent="0.2">
      <c r="A61" s="99" t="s">
        <v>132</v>
      </c>
      <c r="B61" s="77" t="s">
        <v>159</v>
      </c>
      <c r="C61" s="87">
        <f>C62+C63+C64+C65</f>
        <v>8200</v>
      </c>
      <c r="D61" s="87">
        <f>D62+D63+D64+D65</f>
        <v>8200</v>
      </c>
      <c r="E61" s="68" t="str">
        <f t="shared" si="0"/>
        <v>-</v>
      </c>
      <c r="F61" s="88">
        <f t="shared" si="1"/>
        <v>1</v>
      </c>
    </row>
    <row r="62" spans="1:6" ht="42" customHeight="1" x14ac:dyDescent="0.2">
      <c r="A62" s="95" t="s">
        <v>99</v>
      </c>
      <c r="B62" s="18" t="s">
        <v>112</v>
      </c>
      <c r="C62" s="31">
        <v>0</v>
      </c>
      <c r="D62" s="33">
        <f>C62</f>
        <v>0</v>
      </c>
      <c r="E62" s="29" t="str">
        <f t="shared" si="0"/>
        <v>-</v>
      </c>
      <c r="F62" s="39" t="str">
        <f t="shared" si="1"/>
        <v>-</v>
      </c>
    </row>
    <row r="63" spans="1:6" ht="31.5" customHeight="1" x14ac:dyDescent="0.2">
      <c r="A63" s="95" t="s">
        <v>28</v>
      </c>
      <c r="B63" s="18" t="s">
        <v>53</v>
      </c>
      <c r="C63" s="31">
        <v>5700</v>
      </c>
      <c r="D63" s="33">
        <f>C63</f>
        <v>5700</v>
      </c>
      <c r="E63" s="29" t="str">
        <f t="shared" si="0"/>
        <v>-</v>
      </c>
      <c r="F63" s="39">
        <f t="shared" si="1"/>
        <v>1</v>
      </c>
    </row>
    <row r="64" spans="1:6" ht="31.5" customHeight="1" x14ac:dyDescent="0.2">
      <c r="A64" s="95" t="s">
        <v>29</v>
      </c>
      <c r="B64" s="18" t="s">
        <v>101</v>
      </c>
      <c r="C64" s="31">
        <v>0</v>
      </c>
      <c r="D64" s="33">
        <f>C64</f>
        <v>0</v>
      </c>
      <c r="E64" s="29" t="str">
        <f t="shared" si="0"/>
        <v>-</v>
      </c>
      <c r="F64" s="39" t="str">
        <f t="shared" si="1"/>
        <v>-</v>
      </c>
    </row>
    <row r="65" spans="1:6" ht="31.5" customHeight="1" x14ac:dyDescent="0.2">
      <c r="A65" s="95" t="s">
        <v>100</v>
      </c>
      <c r="B65" s="18" t="s">
        <v>102</v>
      </c>
      <c r="C65" s="31">
        <v>2500</v>
      </c>
      <c r="D65" s="33">
        <f>C65</f>
        <v>2500</v>
      </c>
      <c r="E65" s="29" t="str">
        <f t="shared" si="0"/>
        <v>-</v>
      </c>
      <c r="F65" s="39">
        <f t="shared" si="1"/>
        <v>1</v>
      </c>
    </row>
    <row r="66" spans="1:6" ht="32.25" customHeight="1" x14ac:dyDescent="0.2">
      <c r="A66" s="99" t="s">
        <v>134</v>
      </c>
      <c r="B66" s="77" t="s">
        <v>113</v>
      </c>
      <c r="C66" s="87">
        <v>1238</v>
      </c>
      <c r="D66" s="87">
        <f>C66</f>
        <v>1238</v>
      </c>
      <c r="E66" s="68" t="str">
        <f t="shared" si="0"/>
        <v>-</v>
      </c>
      <c r="F66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pageSetUpPr fitToPage="1"/>
  </sheetPr>
  <dimension ref="A1:F66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J7" sqref="J7"/>
      <selection pane="topRight" activeCell="J7" sqref="J7"/>
      <selection pane="bottomLeft" activeCell="J7" sqref="J7"/>
      <selection pane="bottomRight" activeCell="J7" sqref="J7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2.75" customHeight="1" x14ac:dyDescent="0.2">
      <c r="A1" s="112" t="s">
        <v>202</v>
      </c>
      <c r="B1" s="112"/>
      <c r="C1" s="112"/>
      <c r="D1" s="112"/>
      <c r="E1" s="112"/>
      <c r="F1" s="112"/>
    </row>
    <row r="2" spans="1:6" s="22" customFormat="1" ht="33" customHeight="1" x14ac:dyDescent="0.2">
      <c r="A2" s="54" t="s">
        <v>67</v>
      </c>
      <c r="B2" s="54"/>
      <c r="C2" s="55"/>
    </row>
    <row r="3" spans="1:6" ht="33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195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198</v>
      </c>
      <c r="C6" s="83">
        <f>C7+C8+C9+C14+C15+C16+C17+C18+C19+C20+C21+C22+C23+C24+C28+C29+C31+C32+C33+C34+C35</f>
        <v>4114003</v>
      </c>
      <c r="D6" s="83">
        <f>D7+D8+D9+D14+D15+D16+D17+D18+D19+D20+D21+D22+D23+D24+D28+D29+D31+D32+D33+D34+D35</f>
        <v>4126573</v>
      </c>
      <c r="E6" s="68">
        <f>IF(C6=D6,"-",D6-C6)</f>
        <v>12570</v>
      </c>
      <c r="F6" s="84">
        <f>IF(C6=0,"-",D6/C6)</f>
        <v>1.0029999999999999</v>
      </c>
    </row>
    <row r="7" spans="1:6" ht="33" customHeight="1" x14ac:dyDescent="0.2">
      <c r="A7" s="92" t="s">
        <v>1</v>
      </c>
      <c r="B7" s="14" t="s">
        <v>116</v>
      </c>
      <c r="C7" s="31">
        <v>552707</v>
      </c>
      <c r="D7" s="13">
        <f>C7</f>
        <v>552707</v>
      </c>
      <c r="E7" s="38" t="str">
        <f t="shared" ref="E7:E66" si="0">IF(C7=D7,"-",D7-C7)</f>
        <v>-</v>
      </c>
      <c r="F7" s="39">
        <f t="shared" ref="F7:F66" si="1">IF(C7=0,"-",D7/C7)</f>
        <v>1</v>
      </c>
    </row>
    <row r="8" spans="1:6" ht="33" customHeight="1" x14ac:dyDescent="0.2">
      <c r="A8" s="92" t="s">
        <v>2</v>
      </c>
      <c r="B8" s="14" t="s">
        <v>117</v>
      </c>
      <c r="C8" s="31">
        <v>230808</v>
      </c>
      <c r="D8" s="13">
        <f>C8</f>
        <v>230808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92" t="s">
        <v>3</v>
      </c>
      <c r="B9" s="14" t="s">
        <v>114</v>
      </c>
      <c r="C9" s="31">
        <v>2114835</v>
      </c>
      <c r="D9" s="13">
        <f>C9+9053</f>
        <v>2123888</v>
      </c>
      <c r="E9" s="38">
        <f t="shared" si="0"/>
        <v>9053</v>
      </c>
      <c r="F9" s="39">
        <f t="shared" si="1"/>
        <v>1.0043</v>
      </c>
    </row>
    <row r="10" spans="1:6" ht="31.5" customHeight="1" x14ac:dyDescent="0.2">
      <c r="A10" s="93" t="s">
        <v>54</v>
      </c>
      <c r="B10" s="45" t="s">
        <v>199</v>
      </c>
      <c r="C10" s="31">
        <v>179101</v>
      </c>
      <c r="D10" s="13">
        <f>C10</f>
        <v>179101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93" t="s">
        <v>139</v>
      </c>
      <c r="B11" s="45" t="s">
        <v>142</v>
      </c>
      <c r="C11" s="31">
        <v>163641</v>
      </c>
      <c r="D11" s="13">
        <f t="shared" ref="D11:D34" si="2">C11</f>
        <v>163641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v>73625</v>
      </c>
      <c r="D12" s="13">
        <f t="shared" si="2"/>
        <v>73625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93" t="s">
        <v>141</v>
      </c>
      <c r="B13" s="45" t="s">
        <v>144</v>
      </c>
      <c r="C13" s="31">
        <v>34136</v>
      </c>
      <c r="D13" s="13">
        <f t="shared" si="2"/>
        <v>34136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v>136593</v>
      </c>
      <c r="D14" s="13">
        <f>C14+2732</f>
        <v>139325</v>
      </c>
      <c r="E14" s="38">
        <f t="shared" si="0"/>
        <v>2732</v>
      </c>
      <c r="F14" s="39">
        <f t="shared" si="1"/>
        <v>1.02</v>
      </c>
    </row>
    <row r="15" spans="1:6" ht="33" customHeight="1" x14ac:dyDescent="0.2">
      <c r="A15" s="92" t="s">
        <v>5</v>
      </c>
      <c r="B15" s="14" t="s">
        <v>118</v>
      </c>
      <c r="C15" s="31">
        <v>152358</v>
      </c>
      <c r="D15" s="13">
        <f t="shared" si="2"/>
        <v>152358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92" t="s">
        <v>6</v>
      </c>
      <c r="B16" s="14" t="s">
        <v>124</v>
      </c>
      <c r="C16" s="31">
        <v>125412</v>
      </c>
      <c r="D16" s="13">
        <f t="shared" si="2"/>
        <v>125412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92" t="s">
        <v>7</v>
      </c>
      <c r="B17" s="14" t="s">
        <v>123</v>
      </c>
      <c r="C17" s="31">
        <v>47897</v>
      </c>
      <c r="D17" s="13">
        <f t="shared" si="2"/>
        <v>47897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92" t="s">
        <v>8</v>
      </c>
      <c r="B18" s="14" t="s">
        <v>119</v>
      </c>
      <c r="C18" s="31">
        <v>118035</v>
      </c>
      <c r="D18" s="13">
        <f t="shared" si="2"/>
        <v>118035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92" t="s">
        <v>9</v>
      </c>
      <c r="B19" s="14" t="s">
        <v>120</v>
      </c>
      <c r="C19" s="31">
        <v>37570</v>
      </c>
      <c r="D19" s="13">
        <f t="shared" si="2"/>
        <v>37570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92" t="s">
        <v>10</v>
      </c>
      <c r="B20" s="14" t="s">
        <v>125</v>
      </c>
      <c r="C20" s="31">
        <v>3286</v>
      </c>
      <c r="D20" s="13">
        <f t="shared" si="2"/>
        <v>3286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v>8540</v>
      </c>
      <c r="D21" s="13">
        <f t="shared" si="2"/>
        <v>8540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92" t="s">
        <v>12</v>
      </c>
      <c r="B22" s="14" t="s">
        <v>161</v>
      </c>
      <c r="C22" s="31">
        <v>99074</v>
      </c>
      <c r="D22" s="13">
        <f t="shared" si="2"/>
        <v>99074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92" t="s">
        <v>13</v>
      </c>
      <c r="B23" s="14" t="s">
        <v>145</v>
      </c>
      <c r="C23" s="31">
        <v>54447</v>
      </c>
      <c r="D23" s="13">
        <f t="shared" si="2"/>
        <v>54447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94" t="s">
        <v>14</v>
      </c>
      <c r="B24" s="30" t="s">
        <v>177</v>
      </c>
      <c r="C24" s="31">
        <v>396788</v>
      </c>
      <c r="D24" s="13">
        <f t="shared" si="2"/>
        <v>396788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v>393043</v>
      </c>
      <c r="D25" s="13">
        <f t="shared" si="2"/>
        <v>393043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v>2675</v>
      </c>
      <c r="D26" s="13">
        <f t="shared" si="2"/>
        <v>2675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v>1070</v>
      </c>
      <c r="D27" s="13">
        <f t="shared" si="2"/>
        <v>1070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v>21622</v>
      </c>
      <c r="D29" s="13">
        <f t="shared" si="2"/>
        <v>21622</v>
      </c>
      <c r="E29" s="38" t="str">
        <f t="shared" si="0"/>
        <v>-</v>
      </c>
      <c r="F29" s="39">
        <f t="shared" si="1"/>
        <v>1</v>
      </c>
    </row>
    <row r="30" spans="1:6" ht="31.5" customHeight="1" x14ac:dyDescent="0.2">
      <c r="A30" s="93" t="s">
        <v>152</v>
      </c>
      <c r="B30" s="45" t="s">
        <v>163</v>
      </c>
      <c r="C30" s="31">
        <v>8000</v>
      </c>
      <c r="D30" s="13">
        <f t="shared" si="2"/>
        <v>8000</v>
      </c>
      <c r="E30" s="38" t="str">
        <f t="shared" si="0"/>
        <v>-</v>
      </c>
      <c r="F30" s="39">
        <f t="shared" si="1"/>
        <v>1</v>
      </c>
    </row>
    <row r="31" spans="1:6" ht="33" customHeight="1" x14ac:dyDescent="0.2">
      <c r="A31" s="95" t="s">
        <v>108</v>
      </c>
      <c r="B31" s="16" t="s">
        <v>111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v>12591</v>
      </c>
      <c r="D32" s="13">
        <f t="shared" si="2"/>
        <v>12591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178</v>
      </c>
      <c r="B33" s="16" t="s">
        <v>179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v>1000</v>
      </c>
      <c r="D34" s="13">
        <f t="shared" si="2"/>
        <v>1000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196</v>
      </c>
      <c r="B35" s="16" t="s">
        <v>197</v>
      </c>
      <c r="C35" s="31">
        <v>440</v>
      </c>
      <c r="D35" s="13">
        <f>C35+785</f>
        <v>1225</v>
      </c>
      <c r="E35" s="38">
        <f>IF(C35=D35,"-",D35-C35)</f>
        <v>785</v>
      </c>
      <c r="F35" s="39">
        <f>IF(C35=0,"-",D35/C35)</f>
        <v>2.7841</v>
      </c>
    </row>
    <row r="36" spans="1:6" s="2" customFormat="1" ht="31.5" customHeight="1" x14ac:dyDescent="0.2">
      <c r="A36" s="96" t="s">
        <v>56</v>
      </c>
      <c r="B36" s="17" t="s">
        <v>57</v>
      </c>
      <c r="C36" s="32">
        <v>306</v>
      </c>
      <c r="D36" s="37">
        <f>C36</f>
        <v>306</v>
      </c>
      <c r="E36" s="7" t="str">
        <f t="shared" si="0"/>
        <v>-</v>
      </c>
      <c r="F36" s="40">
        <f t="shared" si="1"/>
        <v>1</v>
      </c>
    </row>
    <row r="37" spans="1:6" s="2" customFormat="1" ht="31.5" customHeight="1" x14ac:dyDescent="0.2">
      <c r="A37" s="96" t="s">
        <v>55</v>
      </c>
      <c r="B37" s="17" t="s">
        <v>58</v>
      </c>
      <c r="C37" s="32">
        <v>109052</v>
      </c>
      <c r="D37" s="37">
        <f>C37</f>
        <v>109052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2">
        <v>35502</v>
      </c>
      <c r="D38" s="37">
        <f>C38</f>
        <v>35502</v>
      </c>
      <c r="E38" s="7" t="str">
        <f t="shared" si="0"/>
        <v>-</v>
      </c>
      <c r="F38" s="40">
        <f t="shared" si="1"/>
        <v>1</v>
      </c>
    </row>
    <row r="39" spans="1:6" s="2" customFormat="1" ht="42.75" customHeight="1" x14ac:dyDescent="0.2">
      <c r="A39" s="96" t="s">
        <v>153</v>
      </c>
      <c r="B39" s="17" t="s">
        <v>154</v>
      </c>
      <c r="C39" s="32">
        <f>C11+C13+C24+C30</f>
        <v>602565</v>
      </c>
      <c r="D39" s="32">
        <f>D11+D13+D24+D30</f>
        <v>602565</v>
      </c>
      <c r="E39" s="7" t="str">
        <f t="shared" si="0"/>
        <v>-</v>
      </c>
      <c r="F39" s="40">
        <f t="shared" si="1"/>
        <v>1</v>
      </c>
    </row>
    <row r="40" spans="1:6" ht="30" customHeight="1" x14ac:dyDescent="0.2">
      <c r="A40" s="97" t="s">
        <v>130</v>
      </c>
      <c r="B40" s="85" t="s">
        <v>183</v>
      </c>
      <c r="C40" s="71">
        <f>C41+C42+C43+C51+C53+C59+C60+C58</f>
        <v>26529</v>
      </c>
      <c r="D40" s="71">
        <f>D41+D42+D43+D51+D53+D59+D60+D58</f>
        <v>26529</v>
      </c>
      <c r="E40" s="68" t="str">
        <f t="shared" si="0"/>
        <v>-</v>
      </c>
      <c r="F40" s="86">
        <f t="shared" si="1"/>
        <v>1</v>
      </c>
    </row>
    <row r="41" spans="1:6" ht="28.5" customHeight="1" x14ac:dyDescent="0.2">
      <c r="A41" s="95" t="s">
        <v>16</v>
      </c>
      <c r="B41" s="18" t="s">
        <v>17</v>
      </c>
      <c r="C41" s="31">
        <v>1381</v>
      </c>
      <c r="D41" s="33">
        <f>C41</f>
        <v>1381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95" t="s">
        <v>18</v>
      </c>
      <c r="B42" s="18" t="s">
        <v>19</v>
      </c>
      <c r="C42" s="31">
        <v>2881</v>
      </c>
      <c r="D42" s="33">
        <f t="shared" ref="D42:D60" si="3">C42</f>
        <v>2881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20</v>
      </c>
      <c r="B43" s="19" t="s">
        <v>184</v>
      </c>
      <c r="C43" s="33">
        <f>C44+C46+C47+C48+C49+C50</f>
        <v>122</v>
      </c>
      <c r="D43" s="33">
        <f>D44+D46+D47+D48+D49+D50</f>
        <v>122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8" t="s">
        <v>37</v>
      </c>
      <c r="B44" s="46" t="s">
        <v>30</v>
      </c>
      <c r="C44" s="31">
        <v>28</v>
      </c>
      <c r="D44" s="33">
        <f t="shared" si="3"/>
        <v>28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98" t="s">
        <v>38</v>
      </c>
      <c r="B45" s="47" t="s">
        <v>31</v>
      </c>
      <c r="C45" s="31">
        <v>28</v>
      </c>
      <c r="D45" s="33">
        <f t="shared" si="3"/>
        <v>28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39</v>
      </c>
      <c r="B46" s="46" t="s">
        <v>32</v>
      </c>
      <c r="C46" s="31">
        <v>13</v>
      </c>
      <c r="D46" s="33">
        <f t="shared" si="3"/>
        <v>13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40</v>
      </c>
      <c r="B47" s="46" t="s">
        <v>33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98" t="s">
        <v>41</v>
      </c>
      <c r="B48" s="46" t="s">
        <v>34</v>
      </c>
      <c r="C48" s="31">
        <v>0</v>
      </c>
      <c r="D48" s="33">
        <f t="shared" si="3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42</v>
      </c>
      <c r="B49" s="46" t="s">
        <v>35</v>
      </c>
      <c r="C49" s="31">
        <v>44</v>
      </c>
      <c r="D49" s="33">
        <f t="shared" si="3"/>
        <v>44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98" t="s">
        <v>43</v>
      </c>
      <c r="B50" s="46" t="s">
        <v>36</v>
      </c>
      <c r="C50" s="31">
        <v>37</v>
      </c>
      <c r="D50" s="33">
        <f t="shared" si="3"/>
        <v>37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5" t="s">
        <v>21</v>
      </c>
      <c r="B51" s="18" t="s">
        <v>155</v>
      </c>
      <c r="C51" s="31">
        <v>15007</v>
      </c>
      <c r="D51" s="33">
        <f t="shared" si="3"/>
        <v>15007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8" t="s">
        <v>156</v>
      </c>
      <c r="B52" s="46" t="s">
        <v>157</v>
      </c>
      <c r="C52" s="31">
        <v>10</v>
      </c>
      <c r="D52" s="33">
        <f t="shared" si="3"/>
        <v>10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95" t="s">
        <v>22</v>
      </c>
      <c r="B53" s="19" t="s">
        <v>182</v>
      </c>
      <c r="C53" s="29">
        <f>C54+C55+C56+C57</f>
        <v>3365</v>
      </c>
      <c r="D53" s="29">
        <f>D54+D55+D56+D57</f>
        <v>3365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8" t="s">
        <v>48</v>
      </c>
      <c r="B54" s="46" t="s">
        <v>44</v>
      </c>
      <c r="C54" s="31">
        <v>2576</v>
      </c>
      <c r="D54" s="33">
        <f t="shared" si="3"/>
        <v>2576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49</v>
      </c>
      <c r="B55" s="46" t="s">
        <v>45</v>
      </c>
      <c r="C55" s="31">
        <v>368</v>
      </c>
      <c r="D55" s="33">
        <f t="shared" si="3"/>
        <v>368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50</v>
      </c>
      <c r="B56" s="46" t="s">
        <v>46</v>
      </c>
      <c r="C56" s="31">
        <v>0</v>
      </c>
      <c r="D56" s="33">
        <f t="shared" si="3"/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98" t="s">
        <v>51</v>
      </c>
      <c r="B57" s="46" t="s">
        <v>47</v>
      </c>
      <c r="C57" s="31">
        <v>421</v>
      </c>
      <c r="D57" s="33">
        <f t="shared" si="3"/>
        <v>421</v>
      </c>
      <c r="E57" s="38" t="str">
        <f t="shared" si="0"/>
        <v>-</v>
      </c>
      <c r="F57" s="39">
        <f t="shared" si="1"/>
        <v>1</v>
      </c>
    </row>
    <row r="58" spans="1:6" ht="28.5" customHeight="1" x14ac:dyDescent="0.2">
      <c r="A58" s="95" t="s">
        <v>23</v>
      </c>
      <c r="B58" s="18" t="s">
        <v>24</v>
      </c>
      <c r="C58" s="31">
        <v>0</v>
      </c>
      <c r="D58" s="33">
        <f t="shared" si="3"/>
        <v>0</v>
      </c>
      <c r="E58" s="38" t="str">
        <f t="shared" si="0"/>
        <v>-</v>
      </c>
      <c r="F58" s="39" t="str">
        <f t="shared" si="1"/>
        <v>-</v>
      </c>
    </row>
    <row r="59" spans="1:6" ht="28.5" customHeight="1" x14ac:dyDescent="0.2">
      <c r="A59" s="95" t="s">
        <v>25</v>
      </c>
      <c r="B59" s="18" t="s">
        <v>158</v>
      </c>
      <c r="C59" s="31">
        <v>3500</v>
      </c>
      <c r="D59" s="33">
        <f t="shared" si="3"/>
        <v>3500</v>
      </c>
      <c r="E59" s="38" t="str">
        <f t="shared" si="0"/>
        <v>-</v>
      </c>
      <c r="F59" s="41">
        <f t="shared" si="1"/>
        <v>1</v>
      </c>
    </row>
    <row r="60" spans="1:6" ht="28.5" customHeight="1" x14ac:dyDescent="0.2">
      <c r="A60" s="95" t="s">
        <v>26</v>
      </c>
      <c r="B60" s="18" t="s">
        <v>27</v>
      </c>
      <c r="C60" s="31">
        <v>273</v>
      </c>
      <c r="D60" s="33">
        <f t="shared" si="3"/>
        <v>273</v>
      </c>
      <c r="E60" s="38" t="str">
        <f t="shared" si="0"/>
        <v>-</v>
      </c>
      <c r="F60" s="39">
        <f t="shared" si="1"/>
        <v>1</v>
      </c>
    </row>
    <row r="61" spans="1:6" ht="30" customHeight="1" x14ac:dyDescent="0.2">
      <c r="A61" s="99" t="s">
        <v>132</v>
      </c>
      <c r="B61" s="77" t="s">
        <v>159</v>
      </c>
      <c r="C61" s="87">
        <f>C62+C63+C64+C65</f>
        <v>4000</v>
      </c>
      <c r="D61" s="87">
        <f>D62+D63+D64+D65</f>
        <v>4000</v>
      </c>
      <c r="E61" s="68" t="str">
        <f t="shared" si="0"/>
        <v>-</v>
      </c>
      <c r="F61" s="88">
        <f t="shared" si="1"/>
        <v>1</v>
      </c>
    </row>
    <row r="62" spans="1:6" ht="42" customHeight="1" x14ac:dyDescent="0.2">
      <c r="A62" s="95" t="s">
        <v>99</v>
      </c>
      <c r="B62" s="18" t="s">
        <v>112</v>
      </c>
      <c r="C62" s="31">
        <v>0</v>
      </c>
      <c r="D62" s="33">
        <f>C62</f>
        <v>0</v>
      </c>
      <c r="E62" s="29" t="str">
        <f t="shared" si="0"/>
        <v>-</v>
      </c>
      <c r="F62" s="39" t="str">
        <f t="shared" si="1"/>
        <v>-</v>
      </c>
    </row>
    <row r="63" spans="1:6" ht="31.5" customHeight="1" x14ac:dyDescent="0.2">
      <c r="A63" s="95" t="s">
        <v>28</v>
      </c>
      <c r="B63" s="18" t="s">
        <v>53</v>
      </c>
      <c r="C63" s="31">
        <v>3000</v>
      </c>
      <c r="D63" s="33">
        <f>C63</f>
        <v>3000</v>
      </c>
      <c r="E63" s="29" t="str">
        <f t="shared" si="0"/>
        <v>-</v>
      </c>
      <c r="F63" s="39">
        <f t="shared" si="1"/>
        <v>1</v>
      </c>
    </row>
    <row r="64" spans="1:6" ht="31.5" customHeight="1" x14ac:dyDescent="0.2">
      <c r="A64" s="95" t="s">
        <v>29</v>
      </c>
      <c r="B64" s="18" t="s">
        <v>101</v>
      </c>
      <c r="C64" s="31">
        <v>0</v>
      </c>
      <c r="D64" s="33">
        <f>C64</f>
        <v>0</v>
      </c>
      <c r="E64" s="29" t="str">
        <f t="shared" si="0"/>
        <v>-</v>
      </c>
      <c r="F64" s="39" t="str">
        <f t="shared" si="1"/>
        <v>-</v>
      </c>
    </row>
    <row r="65" spans="1:6" ht="31.5" customHeight="1" x14ac:dyDescent="0.2">
      <c r="A65" s="95" t="s">
        <v>100</v>
      </c>
      <c r="B65" s="18" t="s">
        <v>102</v>
      </c>
      <c r="C65" s="31">
        <v>1000</v>
      </c>
      <c r="D65" s="33">
        <f>C65</f>
        <v>1000</v>
      </c>
      <c r="E65" s="29" t="str">
        <f t="shared" si="0"/>
        <v>-</v>
      </c>
      <c r="F65" s="39">
        <f t="shared" si="1"/>
        <v>1</v>
      </c>
    </row>
    <row r="66" spans="1:6" ht="32.25" customHeight="1" x14ac:dyDescent="0.2">
      <c r="A66" s="99" t="s">
        <v>134</v>
      </c>
      <c r="B66" s="77" t="s">
        <v>113</v>
      </c>
      <c r="C66" s="87">
        <v>810</v>
      </c>
      <c r="D66" s="87">
        <f>C66</f>
        <v>810</v>
      </c>
      <c r="E66" s="68" t="str">
        <f t="shared" si="0"/>
        <v>-</v>
      </c>
      <c r="F66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pageSetUpPr fitToPage="1"/>
  </sheetPr>
  <dimension ref="A1:F66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J7" sqref="J7"/>
      <selection pane="topRight" activeCell="J7" sqref="J7"/>
      <selection pane="bottomLeft" activeCell="J7" sqref="J7"/>
      <selection pane="bottomRight" activeCell="J7" sqref="J7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2.75" customHeight="1" x14ac:dyDescent="0.2">
      <c r="A1" s="112" t="s">
        <v>202</v>
      </c>
      <c r="B1" s="112"/>
      <c r="C1" s="112"/>
      <c r="D1" s="112"/>
      <c r="E1" s="112"/>
      <c r="F1" s="112"/>
    </row>
    <row r="2" spans="1:6" s="22" customFormat="1" ht="33" customHeight="1" x14ac:dyDescent="0.2">
      <c r="A2" s="54" t="s">
        <v>68</v>
      </c>
      <c r="B2" s="54"/>
      <c r="C2" s="55"/>
    </row>
    <row r="3" spans="1:6" ht="33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195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198</v>
      </c>
      <c r="C6" s="83">
        <f>C7+C8+C9+C14+C15+C16+C17+C18+C19+C20+C21+C22+C23+C24+C28+C29+C31+C32+C33+C34+C35</f>
        <v>2322669</v>
      </c>
      <c r="D6" s="83">
        <f>D7+D8+D9+D14+D15+D16+D17+D18+D19+D20+D21+D22+D23+D24+D28+D29+D31+D32+D33+D34+D35</f>
        <v>2331521</v>
      </c>
      <c r="E6" s="68">
        <f>IF(C6=D6,"-",D6-C6)</f>
        <v>8852</v>
      </c>
      <c r="F6" s="84">
        <f>IF(C6=0,"-",D6/C6)</f>
        <v>1.004</v>
      </c>
    </row>
    <row r="7" spans="1:6" ht="33" customHeight="1" x14ac:dyDescent="0.2">
      <c r="A7" s="92" t="s">
        <v>1</v>
      </c>
      <c r="B7" s="14" t="s">
        <v>116</v>
      </c>
      <c r="C7" s="31">
        <v>324000</v>
      </c>
      <c r="D7" s="13">
        <f>C7</f>
        <v>324000</v>
      </c>
      <c r="E7" s="38" t="str">
        <f t="shared" ref="E7:E66" si="0">IF(C7=D7,"-",D7-C7)</f>
        <v>-</v>
      </c>
      <c r="F7" s="39">
        <f t="shared" ref="F7:F66" si="1">IF(C7=0,"-",D7/C7)</f>
        <v>1</v>
      </c>
    </row>
    <row r="8" spans="1:6" ht="33" customHeight="1" x14ac:dyDescent="0.2">
      <c r="A8" s="92" t="s">
        <v>2</v>
      </c>
      <c r="B8" s="14" t="s">
        <v>117</v>
      </c>
      <c r="C8" s="31">
        <v>137040</v>
      </c>
      <c r="D8" s="13">
        <f>C8</f>
        <v>137040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92" t="s">
        <v>3</v>
      </c>
      <c r="B9" s="14" t="s">
        <v>114</v>
      </c>
      <c r="C9" s="31">
        <v>1231030</v>
      </c>
      <c r="D9" s="13">
        <f>C9+5481</f>
        <v>1236511</v>
      </c>
      <c r="E9" s="38">
        <f t="shared" si="0"/>
        <v>5481</v>
      </c>
      <c r="F9" s="39">
        <f t="shared" si="1"/>
        <v>1.0044999999999999</v>
      </c>
    </row>
    <row r="10" spans="1:6" ht="31.5" customHeight="1" x14ac:dyDescent="0.2">
      <c r="A10" s="93" t="s">
        <v>54</v>
      </c>
      <c r="B10" s="45" t="s">
        <v>199</v>
      </c>
      <c r="C10" s="31">
        <v>91500</v>
      </c>
      <c r="D10" s="13">
        <f>C10</f>
        <v>91500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93" t="s">
        <v>139</v>
      </c>
      <c r="B11" s="45" t="s">
        <v>142</v>
      </c>
      <c r="C11" s="31">
        <v>83501</v>
      </c>
      <c r="D11" s="13">
        <f t="shared" ref="D11:D34" si="2">C11</f>
        <v>83501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v>45960</v>
      </c>
      <c r="D12" s="13">
        <f t="shared" si="2"/>
        <v>45960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93" t="s">
        <v>141</v>
      </c>
      <c r="B13" s="45" t="s">
        <v>144</v>
      </c>
      <c r="C13" s="31">
        <v>24250</v>
      </c>
      <c r="D13" s="13">
        <f t="shared" si="2"/>
        <v>24250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v>90000</v>
      </c>
      <c r="D14" s="13">
        <f>C14+2701</f>
        <v>92701</v>
      </c>
      <c r="E14" s="38">
        <f t="shared" si="0"/>
        <v>2701</v>
      </c>
      <c r="F14" s="39">
        <f t="shared" si="1"/>
        <v>1.03</v>
      </c>
    </row>
    <row r="15" spans="1:6" ht="33" customHeight="1" x14ac:dyDescent="0.2">
      <c r="A15" s="92" t="s">
        <v>5</v>
      </c>
      <c r="B15" s="14" t="s">
        <v>118</v>
      </c>
      <c r="C15" s="31">
        <v>62810</v>
      </c>
      <c r="D15" s="13">
        <f t="shared" si="2"/>
        <v>62810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92" t="s">
        <v>6</v>
      </c>
      <c r="B16" s="14" t="s">
        <v>124</v>
      </c>
      <c r="C16" s="31">
        <v>38040</v>
      </c>
      <c r="D16" s="13">
        <f t="shared" si="2"/>
        <v>38040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92" t="s">
        <v>7</v>
      </c>
      <c r="B17" s="14" t="s">
        <v>123</v>
      </c>
      <c r="C17" s="31">
        <v>22420</v>
      </c>
      <c r="D17" s="13">
        <f t="shared" si="2"/>
        <v>22420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92" t="s">
        <v>8</v>
      </c>
      <c r="B18" s="14" t="s">
        <v>119</v>
      </c>
      <c r="C18" s="31">
        <v>64200</v>
      </c>
      <c r="D18" s="13">
        <f t="shared" si="2"/>
        <v>64200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92" t="s">
        <v>9</v>
      </c>
      <c r="B19" s="14" t="s">
        <v>120</v>
      </c>
      <c r="C19" s="31">
        <v>20500</v>
      </c>
      <c r="D19" s="13">
        <f t="shared" si="2"/>
        <v>20500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92" t="s">
        <v>10</v>
      </c>
      <c r="B20" s="14" t="s">
        <v>125</v>
      </c>
      <c r="C20" s="31">
        <v>1730</v>
      </c>
      <c r="D20" s="13">
        <f t="shared" si="2"/>
        <v>1730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v>5004</v>
      </c>
      <c r="D21" s="13">
        <f t="shared" si="2"/>
        <v>5004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92" t="s">
        <v>12</v>
      </c>
      <c r="B22" s="14" t="s">
        <v>161</v>
      </c>
      <c r="C22" s="31">
        <v>65400</v>
      </c>
      <c r="D22" s="13">
        <f t="shared" si="2"/>
        <v>65400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92" t="s">
        <v>13</v>
      </c>
      <c r="B23" s="14" t="s">
        <v>145</v>
      </c>
      <c r="C23" s="31">
        <v>30500</v>
      </c>
      <c r="D23" s="13">
        <f t="shared" si="2"/>
        <v>30500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94" t="s">
        <v>14</v>
      </c>
      <c r="B24" s="30" t="s">
        <v>177</v>
      </c>
      <c r="C24" s="31">
        <v>222700</v>
      </c>
      <c r="D24" s="13">
        <f t="shared" si="2"/>
        <v>222700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v>221000</v>
      </c>
      <c r="D25" s="13">
        <f t="shared" si="2"/>
        <v>221000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v>1200</v>
      </c>
      <c r="D26" s="13">
        <f t="shared" si="2"/>
        <v>1200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v>500</v>
      </c>
      <c r="D27" s="13">
        <f t="shared" si="2"/>
        <v>500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v>0</v>
      </c>
      <c r="D29" s="13">
        <f t="shared" si="2"/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v>6755</v>
      </c>
      <c r="D32" s="13">
        <f t="shared" si="2"/>
        <v>6755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178</v>
      </c>
      <c r="B33" s="16" t="s">
        <v>179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v>100</v>
      </c>
      <c r="D34" s="13">
        <f t="shared" si="2"/>
        <v>100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196</v>
      </c>
      <c r="B35" s="16" t="s">
        <v>197</v>
      </c>
      <c r="C35" s="31">
        <v>440</v>
      </c>
      <c r="D35" s="13">
        <f>C35+670</f>
        <v>1110</v>
      </c>
      <c r="E35" s="38">
        <f>IF(C35=D35,"-",D35-C35)</f>
        <v>670</v>
      </c>
      <c r="F35" s="39">
        <f>IF(C35=0,"-",D35/C35)</f>
        <v>2.5226999999999999</v>
      </c>
    </row>
    <row r="36" spans="1:6" s="2" customFormat="1" ht="31.5" customHeight="1" x14ac:dyDescent="0.2">
      <c r="A36" s="96" t="s">
        <v>56</v>
      </c>
      <c r="B36" s="17" t="s">
        <v>57</v>
      </c>
      <c r="C36" s="32">
        <v>306</v>
      </c>
      <c r="D36" s="37">
        <f>C36</f>
        <v>306</v>
      </c>
      <c r="E36" s="7" t="str">
        <f t="shared" si="0"/>
        <v>-</v>
      </c>
      <c r="F36" s="40">
        <f t="shared" si="1"/>
        <v>1</v>
      </c>
    </row>
    <row r="37" spans="1:6" s="2" customFormat="1" ht="31.5" customHeight="1" x14ac:dyDescent="0.2">
      <c r="A37" s="96" t="s">
        <v>55</v>
      </c>
      <c r="B37" s="17" t="s">
        <v>58</v>
      </c>
      <c r="C37" s="32">
        <v>73356</v>
      </c>
      <c r="D37" s="37">
        <f>C37</f>
        <v>73356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2">
        <v>22301</v>
      </c>
      <c r="D38" s="37">
        <f>C38</f>
        <v>22301</v>
      </c>
      <c r="E38" s="7" t="str">
        <f t="shared" si="0"/>
        <v>-</v>
      </c>
      <c r="F38" s="40">
        <f t="shared" si="1"/>
        <v>1</v>
      </c>
    </row>
    <row r="39" spans="1:6" s="2" customFormat="1" ht="42.75" customHeight="1" x14ac:dyDescent="0.2">
      <c r="A39" s="96" t="s">
        <v>153</v>
      </c>
      <c r="B39" s="17" t="s">
        <v>154</v>
      </c>
      <c r="C39" s="32">
        <f>C11+C13+C24+C30</f>
        <v>330451</v>
      </c>
      <c r="D39" s="32">
        <f>D11+D13+D24+D30</f>
        <v>330451</v>
      </c>
      <c r="E39" s="7" t="str">
        <f t="shared" si="0"/>
        <v>-</v>
      </c>
      <c r="F39" s="40">
        <f t="shared" si="1"/>
        <v>1</v>
      </c>
    </row>
    <row r="40" spans="1:6" ht="30" customHeight="1" x14ac:dyDescent="0.2">
      <c r="A40" s="97" t="s">
        <v>130</v>
      </c>
      <c r="B40" s="85" t="s">
        <v>183</v>
      </c>
      <c r="C40" s="71">
        <f>C41+C42+C43+C51+C53+C59+C60+C58</f>
        <v>17584</v>
      </c>
      <c r="D40" s="71">
        <f>D41+D42+D43+D51+D53+D59+D60+D58</f>
        <v>17584</v>
      </c>
      <c r="E40" s="68" t="str">
        <f t="shared" si="0"/>
        <v>-</v>
      </c>
      <c r="F40" s="86">
        <f t="shared" si="1"/>
        <v>1</v>
      </c>
    </row>
    <row r="41" spans="1:6" ht="28.5" customHeight="1" x14ac:dyDescent="0.2">
      <c r="A41" s="95" t="s">
        <v>16</v>
      </c>
      <c r="B41" s="18" t="s">
        <v>17</v>
      </c>
      <c r="C41" s="31">
        <v>595</v>
      </c>
      <c r="D41" s="33">
        <f>C41</f>
        <v>595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95" t="s">
        <v>18</v>
      </c>
      <c r="B42" s="18" t="s">
        <v>19</v>
      </c>
      <c r="C42" s="31">
        <v>1272</v>
      </c>
      <c r="D42" s="33">
        <f t="shared" ref="D42:D60" si="3">C42</f>
        <v>1272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20</v>
      </c>
      <c r="B43" s="19" t="s">
        <v>184</v>
      </c>
      <c r="C43" s="33">
        <f>C44+C46+C47+C48+C49+C50</f>
        <v>251</v>
      </c>
      <c r="D43" s="33">
        <f>D44+D46+D47+D48+D49+D50</f>
        <v>251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8" t="s">
        <v>37</v>
      </c>
      <c r="B44" s="46" t="s">
        <v>30</v>
      </c>
      <c r="C44" s="31">
        <v>19</v>
      </c>
      <c r="D44" s="33">
        <f t="shared" si="3"/>
        <v>19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98" t="s">
        <v>38</v>
      </c>
      <c r="B45" s="47" t="s">
        <v>31</v>
      </c>
      <c r="C45" s="31">
        <v>19</v>
      </c>
      <c r="D45" s="33">
        <f t="shared" si="3"/>
        <v>19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39</v>
      </c>
      <c r="B46" s="46" t="s">
        <v>32</v>
      </c>
      <c r="C46" s="31">
        <v>76</v>
      </c>
      <c r="D46" s="33">
        <f t="shared" si="3"/>
        <v>76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40</v>
      </c>
      <c r="B47" s="46" t="s">
        <v>33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98" t="s">
        <v>41</v>
      </c>
      <c r="B48" s="46" t="s">
        <v>34</v>
      </c>
      <c r="C48" s="31">
        <v>0</v>
      </c>
      <c r="D48" s="33">
        <f t="shared" si="3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42</v>
      </c>
      <c r="B49" s="46" t="s">
        <v>35</v>
      </c>
      <c r="C49" s="31">
        <v>150</v>
      </c>
      <c r="D49" s="33">
        <f t="shared" si="3"/>
        <v>150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98" t="s">
        <v>43</v>
      </c>
      <c r="B50" s="46" t="s">
        <v>36</v>
      </c>
      <c r="C50" s="31">
        <v>6</v>
      </c>
      <c r="D50" s="33">
        <f t="shared" si="3"/>
        <v>6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5" t="s">
        <v>21</v>
      </c>
      <c r="B51" s="18" t="s">
        <v>155</v>
      </c>
      <c r="C51" s="31">
        <v>10668</v>
      </c>
      <c r="D51" s="33">
        <f t="shared" si="3"/>
        <v>10668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8" t="s">
        <v>156</v>
      </c>
      <c r="B52" s="46" t="s">
        <v>157</v>
      </c>
      <c r="C52" s="31">
        <v>0</v>
      </c>
      <c r="D52" s="33">
        <f t="shared" si="3"/>
        <v>0</v>
      </c>
      <c r="E52" s="38" t="str">
        <f t="shared" si="0"/>
        <v>-</v>
      </c>
      <c r="F52" s="39" t="str">
        <f t="shared" si="1"/>
        <v>-</v>
      </c>
    </row>
    <row r="53" spans="1:6" ht="28.5" customHeight="1" x14ac:dyDescent="0.2">
      <c r="A53" s="95" t="s">
        <v>22</v>
      </c>
      <c r="B53" s="19" t="s">
        <v>182</v>
      </c>
      <c r="C53" s="29">
        <f>C54+C55+C56+C57</f>
        <v>2395</v>
      </c>
      <c r="D53" s="29">
        <f>D54+D55+D56+D57</f>
        <v>2395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8" t="s">
        <v>48</v>
      </c>
      <c r="B54" s="46" t="s">
        <v>44</v>
      </c>
      <c r="C54" s="31">
        <v>1831</v>
      </c>
      <c r="D54" s="33">
        <f t="shared" si="3"/>
        <v>1831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49</v>
      </c>
      <c r="B55" s="46" t="s">
        <v>45</v>
      </c>
      <c r="C55" s="31">
        <v>262</v>
      </c>
      <c r="D55" s="33">
        <f t="shared" si="3"/>
        <v>262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50</v>
      </c>
      <c r="B56" s="46" t="s">
        <v>46</v>
      </c>
      <c r="C56" s="31">
        <v>0</v>
      </c>
      <c r="D56" s="33">
        <f t="shared" si="3"/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98" t="s">
        <v>51</v>
      </c>
      <c r="B57" s="46" t="s">
        <v>47</v>
      </c>
      <c r="C57" s="31">
        <v>302</v>
      </c>
      <c r="D57" s="33">
        <f t="shared" si="3"/>
        <v>302</v>
      </c>
      <c r="E57" s="38" t="str">
        <f t="shared" si="0"/>
        <v>-</v>
      </c>
      <c r="F57" s="39">
        <f t="shared" si="1"/>
        <v>1</v>
      </c>
    </row>
    <row r="58" spans="1:6" ht="28.5" customHeight="1" x14ac:dyDescent="0.2">
      <c r="A58" s="95" t="s">
        <v>23</v>
      </c>
      <c r="B58" s="18" t="s">
        <v>24</v>
      </c>
      <c r="C58" s="31">
        <v>0</v>
      </c>
      <c r="D58" s="33">
        <f t="shared" si="3"/>
        <v>0</v>
      </c>
      <c r="E58" s="38" t="str">
        <f t="shared" si="0"/>
        <v>-</v>
      </c>
      <c r="F58" s="39" t="str">
        <f t="shared" si="1"/>
        <v>-</v>
      </c>
    </row>
    <row r="59" spans="1:6" ht="28.5" customHeight="1" x14ac:dyDescent="0.2">
      <c r="A59" s="95" t="s">
        <v>25</v>
      </c>
      <c r="B59" s="18" t="s">
        <v>158</v>
      </c>
      <c r="C59" s="31">
        <v>2253</v>
      </c>
      <c r="D59" s="33">
        <f t="shared" si="3"/>
        <v>2253</v>
      </c>
      <c r="E59" s="38" t="str">
        <f t="shared" si="0"/>
        <v>-</v>
      </c>
      <c r="F59" s="41">
        <f t="shared" si="1"/>
        <v>1</v>
      </c>
    </row>
    <row r="60" spans="1:6" ht="28.5" customHeight="1" x14ac:dyDescent="0.2">
      <c r="A60" s="95" t="s">
        <v>26</v>
      </c>
      <c r="B60" s="18" t="s">
        <v>27</v>
      </c>
      <c r="C60" s="31">
        <v>150</v>
      </c>
      <c r="D60" s="33">
        <f t="shared" si="3"/>
        <v>150</v>
      </c>
      <c r="E60" s="38" t="str">
        <f t="shared" si="0"/>
        <v>-</v>
      </c>
      <c r="F60" s="39">
        <f t="shared" si="1"/>
        <v>1</v>
      </c>
    </row>
    <row r="61" spans="1:6" ht="30" customHeight="1" x14ac:dyDescent="0.2">
      <c r="A61" s="99" t="s">
        <v>132</v>
      </c>
      <c r="B61" s="77" t="s">
        <v>159</v>
      </c>
      <c r="C61" s="87">
        <f>C62+C63+C64+C65</f>
        <v>1650</v>
      </c>
      <c r="D61" s="87">
        <f>D62+D63+D64+D65</f>
        <v>1650</v>
      </c>
      <c r="E61" s="68" t="str">
        <f t="shared" si="0"/>
        <v>-</v>
      </c>
      <c r="F61" s="88">
        <f t="shared" si="1"/>
        <v>1</v>
      </c>
    </row>
    <row r="62" spans="1:6" ht="42" customHeight="1" x14ac:dyDescent="0.2">
      <c r="A62" s="95" t="s">
        <v>99</v>
      </c>
      <c r="B62" s="18" t="s">
        <v>112</v>
      </c>
      <c r="C62" s="31">
        <v>0</v>
      </c>
      <c r="D62" s="33">
        <f>C62</f>
        <v>0</v>
      </c>
      <c r="E62" s="29" t="str">
        <f t="shared" si="0"/>
        <v>-</v>
      </c>
      <c r="F62" s="39" t="str">
        <f t="shared" si="1"/>
        <v>-</v>
      </c>
    </row>
    <row r="63" spans="1:6" ht="31.5" customHeight="1" x14ac:dyDescent="0.2">
      <c r="A63" s="95" t="s">
        <v>28</v>
      </c>
      <c r="B63" s="18" t="s">
        <v>53</v>
      </c>
      <c r="C63" s="31">
        <v>700</v>
      </c>
      <c r="D63" s="33">
        <f>C63</f>
        <v>700</v>
      </c>
      <c r="E63" s="29" t="str">
        <f t="shared" si="0"/>
        <v>-</v>
      </c>
      <c r="F63" s="39">
        <f t="shared" si="1"/>
        <v>1</v>
      </c>
    </row>
    <row r="64" spans="1:6" ht="31.5" customHeight="1" x14ac:dyDescent="0.2">
      <c r="A64" s="95" t="s">
        <v>29</v>
      </c>
      <c r="B64" s="18" t="s">
        <v>101</v>
      </c>
      <c r="C64" s="31">
        <v>0</v>
      </c>
      <c r="D64" s="33">
        <f>C64</f>
        <v>0</v>
      </c>
      <c r="E64" s="29" t="str">
        <f t="shared" si="0"/>
        <v>-</v>
      </c>
      <c r="F64" s="39" t="str">
        <f t="shared" si="1"/>
        <v>-</v>
      </c>
    </row>
    <row r="65" spans="1:6" ht="31.5" customHeight="1" x14ac:dyDescent="0.2">
      <c r="A65" s="95" t="s">
        <v>100</v>
      </c>
      <c r="B65" s="18" t="s">
        <v>102</v>
      </c>
      <c r="C65" s="31">
        <v>950</v>
      </c>
      <c r="D65" s="33">
        <f>C65</f>
        <v>950</v>
      </c>
      <c r="E65" s="29" t="str">
        <f t="shared" si="0"/>
        <v>-</v>
      </c>
      <c r="F65" s="39">
        <f t="shared" si="1"/>
        <v>1</v>
      </c>
    </row>
    <row r="66" spans="1:6" ht="32.25" customHeight="1" x14ac:dyDescent="0.2">
      <c r="A66" s="99" t="s">
        <v>134</v>
      </c>
      <c r="B66" s="77" t="s">
        <v>113</v>
      </c>
      <c r="C66" s="87">
        <v>360</v>
      </c>
      <c r="D66" s="87">
        <f>C66</f>
        <v>360</v>
      </c>
      <c r="E66" s="68" t="str">
        <f t="shared" si="0"/>
        <v>-</v>
      </c>
      <c r="F66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A1:F66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J7" sqref="J7"/>
      <selection pane="topRight" activeCell="J7" sqref="J7"/>
      <selection pane="bottomLeft" activeCell="J7" sqref="J7"/>
      <selection pane="bottomRight" activeCell="J7" sqref="J7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2.75" customHeight="1" x14ac:dyDescent="0.2">
      <c r="A1" s="112" t="s">
        <v>202</v>
      </c>
      <c r="B1" s="112"/>
      <c r="C1" s="112"/>
      <c r="D1" s="112"/>
      <c r="E1" s="112"/>
      <c r="F1" s="112"/>
    </row>
    <row r="2" spans="1:6" s="22" customFormat="1" ht="33" customHeight="1" x14ac:dyDescent="0.2">
      <c r="A2" s="54" t="s">
        <v>69</v>
      </c>
      <c r="B2" s="54"/>
      <c r="C2" s="55"/>
    </row>
    <row r="3" spans="1:6" ht="33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195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198</v>
      </c>
      <c r="C6" s="83">
        <f>C7+C8+C9+C14+C15+C16+C17+C18+C19+C20+C21+C22+C23+C24+C28+C29+C31+C32+C33+C34+C35</f>
        <v>4506612</v>
      </c>
      <c r="D6" s="83">
        <f>D7+D8+D9+D14+D15+D16+D17+D18+D19+D20+D21+D22+D23+D24+D28+D29+D31+D32+D33+D34+D35</f>
        <v>4523738</v>
      </c>
      <c r="E6" s="68">
        <f>IF(C6=D6,"-",D6-C6)</f>
        <v>17126</v>
      </c>
      <c r="F6" s="84">
        <f>IF(C6=0,"-",D6/C6)</f>
        <v>1.004</v>
      </c>
    </row>
    <row r="7" spans="1:6" ht="33" customHeight="1" x14ac:dyDescent="0.2">
      <c r="A7" s="92" t="s">
        <v>1</v>
      </c>
      <c r="B7" s="14" t="s">
        <v>116</v>
      </c>
      <c r="C7" s="31">
        <v>655715</v>
      </c>
      <c r="D7" s="13">
        <f>C7</f>
        <v>655715</v>
      </c>
      <c r="E7" s="38" t="str">
        <f t="shared" ref="E7:E66" si="0">IF(C7=D7,"-",D7-C7)</f>
        <v>-</v>
      </c>
      <c r="F7" s="39">
        <f t="shared" ref="F7:F66" si="1">IF(C7=0,"-",D7/C7)</f>
        <v>1</v>
      </c>
    </row>
    <row r="8" spans="1:6" ht="33" customHeight="1" x14ac:dyDescent="0.2">
      <c r="A8" s="92" t="s">
        <v>2</v>
      </c>
      <c r="B8" s="14" t="s">
        <v>117</v>
      </c>
      <c r="C8" s="31">
        <v>258891</v>
      </c>
      <c r="D8" s="13">
        <f>C8</f>
        <v>258891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92" t="s">
        <v>3</v>
      </c>
      <c r="B9" s="14" t="s">
        <v>114</v>
      </c>
      <c r="C9" s="31">
        <v>2249862</v>
      </c>
      <c r="D9" s="13">
        <f>C9+9857</f>
        <v>2259719</v>
      </c>
      <c r="E9" s="38">
        <f t="shared" si="0"/>
        <v>9857</v>
      </c>
      <c r="F9" s="39">
        <f t="shared" si="1"/>
        <v>1.0044</v>
      </c>
    </row>
    <row r="10" spans="1:6" ht="31.5" customHeight="1" x14ac:dyDescent="0.2">
      <c r="A10" s="93" t="s">
        <v>54</v>
      </c>
      <c r="B10" s="45" t="s">
        <v>199</v>
      </c>
      <c r="C10" s="31">
        <v>226118</v>
      </c>
      <c r="D10" s="13">
        <f>C10</f>
        <v>226118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93" t="s">
        <v>139</v>
      </c>
      <c r="B11" s="45" t="s">
        <v>142</v>
      </c>
      <c r="C11" s="31">
        <v>207499</v>
      </c>
      <c r="D11" s="13">
        <f t="shared" ref="D11:D34" si="2">C11</f>
        <v>207499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v>88928</v>
      </c>
      <c r="D12" s="13">
        <f t="shared" si="2"/>
        <v>88928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93" t="s">
        <v>141</v>
      </c>
      <c r="B13" s="45" t="s">
        <v>144</v>
      </c>
      <c r="C13" s="31">
        <v>49264</v>
      </c>
      <c r="D13" s="13">
        <f t="shared" si="2"/>
        <v>49264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v>180328</v>
      </c>
      <c r="D14" s="13">
        <f>C14+4119</f>
        <v>184447</v>
      </c>
      <c r="E14" s="38">
        <f t="shared" si="0"/>
        <v>4119</v>
      </c>
      <c r="F14" s="39">
        <f t="shared" si="1"/>
        <v>1.0227999999999999</v>
      </c>
    </row>
    <row r="15" spans="1:6" ht="33" customHeight="1" x14ac:dyDescent="0.2">
      <c r="A15" s="92" t="s">
        <v>5</v>
      </c>
      <c r="B15" s="14" t="s">
        <v>118</v>
      </c>
      <c r="C15" s="31">
        <v>134165</v>
      </c>
      <c r="D15" s="13">
        <f t="shared" si="2"/>
        <v>134165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92" t="s">
        <v>6</v>
      </c>
      <c r="B16" s="14" t="s">
        <v>124</v>
      </c>
      <c r="C16" s="31">
        <v>62218</v>
      </c>
      <c r="D16" s="13">
        <f t="shared" si="2"/>
        <v>62218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92" t="s">
        <v>7</v>
      </c>
      <c r="B17" s="14" t="s">
        <v>123</v>
      </c>
      <c r="C17" s="31">
        <v>44478</v>
      </c>
      <c r="D17" s="13">
        <f t="shared" si="2"/>
        <v>44478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92" t="s">
        <v>8</v>
      </c>
      <c r="B18" s="14" t="s">
        <v>119</v>
      </c>
      <c r="C18" s="31">
        <v>119266</v>
      </c>
      <c r="D18" s="13">
        <f t="shared" si="2"/>
        <v>119266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92" t="s">
        <v>9</v>
      </c>
      <c r="B19" s="14" t="s">
        <v>120</v>
      </c>
      <c r="C19" s="31">
        <v>32000</v>
      </c>
      <c r="D19" s="13">
        <f t="shared" si="2"/>
        <v>32000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92" t="s">
        <v>10</v>
      </c>
      <c r="B20" s="14" t="s">
        <v>125</v>
      </c>
      <c r="C20" s="31">
        <v>1539</v>
      </c>
      <c r="D20" s="13">
        <f t="shared" si="2"/>
        <v>1539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v>11145</v>
      </c>
      <c r="D21" s="13">
        <f t="shared" si="2"/>
        <v>11145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92" t="s">
        <v>12</v>
      </c>
      <c r="B22" s="14" t="s">
        <v>161</v>
      </c>
      <c r="C22" s="31">
        <v>131794</v>
      </c>
      <c r="D22" s="13">
        <f t="shared" si="2"/>
        <v>131794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92" t="s">
        <v>13</v>
      </c>
      <c r="B23" s="14" t="s">
        <v>145</v>
      </c>
      <c r="C23" s="31">
        <v>60000</v>
      </c>
      <c r="D23" s="13">
        <f t="shared" si="2"/>
        <v>60000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94" t="s">
        <v>14</v>
      </c>
      <c r="B24" s="30" t="s">
        <v>177</v>
      </c>
      <c r="C24" s="31">
        <v>550168</v>
      </c>
      <c r="D24" s="13">
        <f t="shared" si="2"/>
        <v>550168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v>548471</v>
      </c>
      <c r="D25" s="13">
        <f t="shared" si="2"/>
        <v>548471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v>931</v>
      </c>
      <c r="D26" s="13">
        <f t="shared" si="2"/>
        <v>931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v>766</v>
      </c>
      <c r="D27" s="13">
        <f t="shared" si="2"/>
        <v>766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v>0</v>
      </c>
      <c r="D29" s="13">
        <f t="shared" si="2"/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v>13808</v>
      </c>
      <c r="D32" s="13">
        <f t="shared" si="2"/>
        <v>13808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178</v>
      </c>
      <c r="B33" s="16" t="s">
        <v>179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v>50</v>
      </c>
      <c r="D34" s="13">
        <f t="shared" si="2"/>
        <v>50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196</v>
      </c>
      <c r="B35" s="16" t="s">
        <v>197</v>
      </c>
      <c r="C35" s="31">
        <v>1185</v>
      </c>
      <c r="D35" s="13">
        <f>C35+3150</f>
        <v>4335</v>
      </c>
      <c r="E35" s="38">
        <f>IF(C35=D35,"-",D35-C35)</f>
        <v>3150</v>
      </c>
      <c r="F35" s="39">
        <f>IF(C35=0,"-",D35/C35)</f>
        <v>3.6581999999999999</v>
      </c>
    </row>
    <row r="36" spans="1:6" s="2" customFormat="1" ht="31.5" customHeight="1" x14ac:dyDescent="0.2">
      <c r="A36" s="96" t="s">
        <v>56</v>
      </c>
      <c r="B36" s="17" t="s">
        <v>57</v>
      </c>
      <c r="C36" s="32">
        <v>200</v>
      </c>
      <c r="D36" s="37">
        <f>C36</f>
        <v>200</v>
      </c>
      <c r="E36" s="7" t="str">
        <f t="shared" si="0"/>
        <v>-</v>
      </c>
      <c r="F36" s="40">
        <f t="shared" si="1"/>
        <v>1</v>
      </c>
    </row>
    <row r="37" spans="1:6" s="2" customFormat="1" ht="31.5" customHeight="1" x14ac:dyDescent="0.2">
      <c r="A37" s="96" t="s">
        <v>55</v>
      </c>
      <c r="B37" s="17" t="s">
        <v>58</v>
      </c>
      <c r="C37" s="32">
        <v>106506</v>
      </c>
      <c r="D37" s="37">
        <f>C37</f>
        <v>106506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2">
        <v>34757</v>
      </c>
      <c r="D38" s="37">
        <f>C38</f>
        <v>34757</v>
      </c>
      <c r="E38" s="7" t="str">
        <f t="shared" si="0"/>
        <v>-</v>
      </c>
      <c r="F38" s="40">
        <f t="shared" si="1"/>
        <v>1</v>
      </c>
    </row>
    <row r="39" spans="1:6" s="2" customFormat="1" ht="42.75" customHeight="1" x14ac:dyDescent="0.2">
      <c r="A39" s="96" t="s">
        <v>153</v>
      </c>
      <c r="B39" s="17" t="s">
        <v>154</v>
      </c>
      <c r="C39" s="32">
        <f>C11+C13+C24+C30</f>
        <v>806931</v>
      </c>
      <c r="D39" s="32">
        <f>D11+D13+D24+D30</f>
        <v>806931</v>
      </c>
      <c r="E39" s="7" t="str">
        <f t="shared" si="0"/>
        <v>-</v>
      </c>
      <c r="F39" s="40">
        <f t="shared" si="1"/>
        <v>1</v>
      </c>
    </row>
    <row r="40" spans="1:6" ht="30" customHeight="1" x14ac:dyDescent="0.2">
      <c r="A40" s="97" t="s">
        <v>130</v>
      </c>
      <c r="B40" s="85" t="s">
        <v>183</v>
      </c>
      <c r="C40" s="71">
        <f>C41+C42+C43+C51+C53+C59+C60+C58</f>
        <v>32651</v>
      </c>
      <c r="D40" s="71">
        <f>D41+D42+D43+D51+D53+D59+D60+D58</f>
        <v>32651</v>
      </c>
      <c r="E40" s="68" t="str">
        <f t="shared" si="0"/>
        <v>-</v>
      </c>
      <c r="F40" s="86">
        <f t="shared" si="1"/>
        <v>1</v>
      </c>
    </row>
    <row r="41" spans="1:6" ht="28.5" customHeight="1" x14ac:dyDescent="0.2">
      <c r="A41" s="95" t="s">
        <v>16</v>
      </c>
      <c r="B41" s="18" t="s">
        <v>17</v>
      </c>
      <c r="C41" s="31">
        <v>1636</v>
      </c>
      <c r="D41" s="33">
        <f>C41</f>
        <v>1636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95" t="s">
        <v>18</v>
      </c>
      <c r="B42" s="18" t="s">
        <v>19</v>
      </c>
      <c r="C42" s="31">
        <v>3365</v>
      </c>
      <c r="D42" s="33">
        <f t="shared" ref="D42:D60" si="3">C42</f>
        <v>3365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20</v>
      </c>
      <c r="B43" s="19" t="s">
        <v>184</v>
      </c>
      <c r="C43" s="33">
        <f>C44+C46+C47+C48+C49+C50</f>
        <v>155</v>
      </c>
      <c r="D43" s="33">
        <f>D44+D46+D47+D48+D49+D50</f>
        <v>155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8" t="s">
        <v>37</v>
      </c>
      <c r="B44" s="46" t="s">
        <v>30</v>
      </c>
      <c r="C44" s="31">
        <v>53</v>
      </c>
      <c r="D44" s="33">
        <f t="shared" si="3"/>
        <v>53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98" t="s">
        <v>38</v>
      </c>
      <c r="B45" s="47" t="s">
        <v>31</v>
      </c>
      <c r="C45" s="31">
        <v>53</v>
      </c>
      <c r="D45" s="33">
        <f t="shared" si="3"/>
        <v>53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39</v>
      </c>
      <c r="B46" s="46" t="s">
        <v>32</v>
      </c>
      <c r="C46" s="31">
        <v>37</v>
      </c>
      <c r="D46" s="33">
        <f t="shared" si="3"/>
        <v>37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40</v>
      </c>
      <c r="B47" s="46" t="s">
        <v>33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98" t="s">
        <v>41</v>
      </c>
      <c r="B48" s="46" t="s">
        <v>34</v>
      </c>
      <c r="C48" s="31">
        <v>0</v>
      </c>
      <c r="D48" s="33">
        <f t="shared" si="3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42</v>
      </c>
      <c r="B49" s="46" t="s">
        <v>35</v>
      </c>
      <c r="C49" s="31">
        <v>45</v>
      </c>
      <c r="D49" s="33">
        <f t="shared" si="3"/>
        <v>45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98" t="s">
        <v>43</v>
      </c>
      <c r="B50" s="46" t="s">
        <v>36</v>
      </c>
      <c r="C50" s="31">
        <v>20</v>
      </c>
      <c r="D50" s="33">
        <f t="shared" si="3"/>
        <v>20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5" t="s">
        <v>21</v>
      </c>
      <c r="B51" s="18" t="s">
        <v>155</v>
      </c>
      <c r="C51" s="31">
        <v>20605</v>
      </c>
      <c r="D51" s="33">
        <f t="shared" si="3"/>
        <v>20605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8" t="s">
        <v>156</v>
      </c>
      <c r="B52" s="46" t="s">
        <v>157</v>
      </c>
      <c r="C52" s="31">
        <v>100</v>
      </c>
      <c r="D52" s="33">
        <f t="shared" si="3"/>
        <v>100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95" t="s">
        <v>22</v>
      </c>
      <c r="B53" s="19" t="s">
        <v>182</v>
      </c>
      <c r="C53" s="29">
        <f>C54+C55+C56+C57</f>
        <v>4620</v>
      </c>
      <c r="D53" s="29">
        <f>D54+D55+D56+D57</f>
        <v>4620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8" t="s">
        <v>48</v>
      </c>
      <c r="B54" s="46" t="s">
        <v>44</v>
      </c>
      <c r="C54" s="31">
        <v>3538</v>
      </c>
      <c r="D54" s="33">
        <f t="shared" si="3"/>
        <v>3538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49</v>
      </c>
      <c r="B55" s="46" t="s">
        <v>45</v>
      </c>
      <c r="C55" s="31">
        <v>505</v>
      </c>
      <c r="D55" s="33">
        <f t="shared" si="3"/>
        <v>505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50</v>
      </c>
      <c r="B56" s="46" t="s">
        <v>46</v>
      </c>
      <c r="C56" s="31">
        <v>0</v>
      </c>
      <c r="D56" s="33">
        <f t="shared" si="3"/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98" t="s">
        <v>51</v>
      </c>
      <c r="B57" s="46" t="s">
        <v>47</v>
      </c>
      <c r="C57" s="31">
        <v>577</v>
      </c>
      <c r="D57" s="33">
        <f t="shared" si="3"/>
        <v>577</v>
      </c>
      <c r="E57" s="38" t="str">
        <f t="shared" si="0"/>
        <v>-</v>
      </c>
      <c r="F57" s="39">
        <f t="shared" si="1"/>
        <v>1</v>
      </c>
    </row>
    <row r="58" spans="1:6" ht="28.5" customHeight="1" x14ac:dyDescent="0.2">
      <c r="A58" s="95" t="s">
        <v>23</v>
      </c>
      <c r="B58" s="18" t="s">
        <v>24</v>
      </c>
      <c r="C58" s="31">
        <v>0</v>
      </c>
      <c r="D58" s="33">
        <f t="shared" si="3"/>
        <v>0</v>
      </c>
      <c r="E58" s="38" t="str">
        <f t="shared" si="0"/>
        <v>-</v>
      </c>
      <c r="F58" s="39" t="str">
        <f t="shared" si="1"/>
        <v>-</v>
      </c>
    </row>
    <row r="59" spans="1:6" ht="28.5" customHeight="1" x14ac:dyDescent="0.2">
      <c r="A59" s="95" t="s">
        <v>25</v>
      </c>
      <c r="B59" s="18" t="s">
        <v>158</v>
      </c>
      <c r="C59" s="31">
        <v>1999</v>
      </c>
      <c r="D59" s="33">
        <f t="shared" si="3"/>
        <v>1999</v>
      </c>
      <c r="E59" s="38" t="str">
        <f t="shared" si="0"/>
        <v>-</v>
      </c>
      <c r="F59" s="41">
        <f t="shared" si="1"/>
        <v>1</v>
      </c>
    </row>
    <row r="60" spans="1:6" ht="28.5" customHeight="1" x14ac:dyDescent="0.2">
      <c r="A60" s="95" t="s">
        <v>26</v>
      </c>
      <c r="B60" s="18" t="s">
        <v>27</v>
      </c>
      <c r="C60" s="31">
        <v>271</v>
      </c>
      <c r="D60" s="33">
        <f t="shared" si="3"/>
        <v>271</v>
      </c>
      <c r="E60" s="38" t="str">
        <f t="shared" si="0"/>
        <v>-</v>
      </c>
      <c r="F60" s="39">
        <f t="shared" si="1"/>
        <v>1</v>
      </c>
    </row>
    <row r="61" spans="1:6" ht="30" customHeight="1" x14ac:dyDescent="0.2">
      <c r="A61" s="99" t="s">
        <v>132</v>
      </c>
      <c r="B61" s="77" t="s">
        <v>159</v>
      </c>
      <c r="C61" s="87">
        <f>C62+C63+C64+C65</f>
        <v>2967</v>
      </c>
      <c r="D61" s="87">
        <f>D62+D63+D64+D65</f>
        <v>2967</v>
      </c>
      <c r="E61" s="68" t="str">
        <f t="shared" si="0"/>
        <v>-</v>
      </c>
      <c r="F61" s="88">
        <f t="shared" si="1"/>
        <v>1</v>
      </c>
    </row>
    <row r="62" spans="1:6" ht="42" customHeight="1" x14ac:dyDescent="0.2">
      <c r="A62" s="95" t="s">
        <v>99</v>
      </c>
      <c r="B62" s="18" t="s">
        <v>112</v>
      </c>
      <c r="C62" s="31">
        <v>57</v>
      </c>
      <c r="D62" s="33">
        <f>C62</f>
        <v>57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95" t="s">
        <v>28</v>
      </c>
      <c r="B63" s="18" t="s">
        <v>53</v>
      </c>
      <c r="C63" s="31">
        <v>1210</v>
      </c>
      <c r="D63" s="33">
        <f>C63</f>
        <v>1210</v>
      </c>
      <c r="E63" s="29" t="str">
        <f t="shared" si="0"/>
        <v>-</v>
      </c>
      <c r="F63" s="39">
        <f t="shared" si="1"/>
        <v>1</v>
      </c>
    </row>
    <row r="64" spans="1:6" ht="31.5" customHeight="1" x14ac:dyDescent="0.2">
      <c r="A64" s="95" t="s">
        <v>29</v>
      </c>
      <c r="B64" s="18" t="s">
        <v>101</v>
      </c>
      <c r="C64" s="31">
        <v>0</v>
      </c>
      <c r="D64" s="33">
        <f>C64</f>
        <v>0</v>
      </c>
      <c r="E64" s="29" t="str">
        <f t="shared" si="0"/>
        <v>-</v>
      </c>
      <c r="F64" s="39" t="str">
        <f t="shared" si="1"/>
        <v>-</v>
      </c>
    </row>
    <row r="65" spans="1:6" ht="31.5" customHeight="1" x14ac:dyDescent="0.2">
      <c r="A65" s="95" t="s">
        <v>100</v>
      </c>
      <c r="B65" s="18" t="s">
        <v>102</v>
      </c>
      <c r="C65" s="31">
        <v>1700</v>
      </c>
      <c r="D65" s="33">
        <f>C65</f>
        <v>1700</v>
      </c>
      <c r="E65" s="29" t="str">
        <f t="shared" si="0"/>
        <v>-</v>
      </c>
      <c r="F65" s="39">
        <f t="shared" si="1"/>
        <v>1</v>
      </c>
    </row>
    <row r="66" spans="1:6" ht="32.25" customHeight="1" x14ac:dyDescent="0.2">
      <c r="A66" s="99" t="s">
        <v>134</v>
      </c>
      <c r="B66" s="77" t="s">
        <v>113</v>
      </c>
      <c r="C66" s="87">
        <v>1000</v>
      </c>
      <c r="D66" s="87">
        <f>C66</f>
        <v>1000</v>
      </c>
      <c r="E66" s="68" t="str">
        <f t="shared" si="0"/>
        <v>-</v>
      </c>
      <c r="F66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>
    <pageSetUpPr fitToPage="1"/>
  </sheetPr>
  <dimension ref="A1:F66"/>
  <sheetViews>
    <sheetView showGridLines="0" view="pageBreakPreview" zoomScale="55" zoomScaleNormal="70" zoomScaleSheetLayoutView="55" workbookViewId="0">
      <pane xSplit="2" ySplit="6" topLeftCell="C9" activePane="bottomRight" state="frozen"/>
      <selection activeCell="J7" sqref="J7"/>
      <selection pane="topRight" activeCell="J7" sqref="J7"/>
      <selection pane="bottomLeft" activeCell="J7" sqref="J7"/>
      <selection pane="bottomRight" activeCell="J7" sqref="J7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2.75" customHeight="1" x14ac:dyDescent="0.2">
      <c r="A1" s="112" t="s">
        <v>202</v>
      </c>
      <c r="B1" s="112"/>
      <c r="C1" s="112"/>
      <c r="D1" s="112"/>
      <c r="E1" s="112"/>
      <c r="F1" s="112"/>
    </row>
    <row r="2" spans="1:6" s="22" customFormat="1" ht="33" customHeight="1" x14ac:dyDescent="0.2">
      <c r="A2" s="54" t="s">
        <v>70</v>
      </c>
      <c r="B2" s="54"/>
      <c r="C2" s="55"/>
    </row>
    <row r="3" spans="1:6" ht="33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195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198</v>
      </c>
      <c r="C6" s="83">
        <f>C7+C8+C9+C14+C15+C16+C17+C18+C19+C20+C21+C22+C23+C24+C28+C29+C31+C32+C33+C34+C35</f>
        <v>9415860</v>
      </c>
      <c r="D6" s="83">
        <f>D7+D8+D9+D14+D15+D16+D17+D18+D19+D20+D21+D22+D23+D24+D28+D29+D31+D32+D33+D34+D35</f>
        <v>9451488</v>
      </c>
      <c r="E6" s="68">
        <f>IF(C6=D6,"-",D6-C6)</f>
        <v>35628</v>
      </c>
      <c r="F6" s="84">
        <f>IF(C6=0,"-",D6/C6)</f>
        <v>1.004</v>
      </c>
    </row>
    <row r="7" spans="1:6" ht="33" customHeight="1" x14ac:dyDescent="0.2">
      <c r="A7" s="92" t="s">
        <v>1</v>
      </c>
      <c r="B7" s="14" t="s">
        <v>116</v>
      </c>
      <c r="C7" s="31">
        <v>1236418</v>
      </c>
      <c r="D7" s="13">
        <f>C7</f>
        <v>1236418</v>
      </c>
      <c r="E7" s="38" t="str">
        <f t="shared" ref="E7:E66" si="0">IF(C7=D7,"-",D7-C7)</f>
        <v>-</v>
      </c>
      <c r="F7" s="39">
        <f t="shared" ref="F7:F66" si="1">IF(C7=0,"-",D7/C7)</f>
        <v>1</v>
      </c>
    </row>
    <row r="8" spans="1:6" ht="33" customHeight="1" x14ac:dyDescent="0.2">
      <c r="A8" s="92" t="s">
        <v>2</v>
      </c>
      <c r="B8" s="14" t="s">
        <v>117</v>
      </c>
      <c r="C8" s="31">
        <v>628894</v>
      </c>
      <c r="D8" s="13">
        <f>C8</f>
        <v>628894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92" t="s">
        <v>3</v>
      </c>
      <c r="B9" s="14" t="s">
        <v>114</v>
      </c>
      <c r="C9" s="31">
        <v>4752755</v>
      </c>
      <c r="D9" s="13">
        <f>C9+24946</f>
        <v>4777701</v>
      </c>
      <c r="E9" s="38">
        <f t="shared" si="0"/>
        <v>24946</v>
      </c>
      <c r="F9" s="39">
        <f t="shared" si="1"/>
        <v>1.0052000000000001</v>
      </c>
    </row>
    <row r="10" spans="1:6" ht="31.5" customHeight="1" x14ac:dyDescent="0.2">
      <c r="A10" s="93" t="s">
        <v>54</v>
      </c>
      <c r="B10" s="45" t="s">
        <v>199</v>
      </c>
      <c r="C10" s="31">
        <v>455346</v>
      </c>
      <c r="D10" s="13">
        <f>C10</f>
        <v>455346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93" t="s">
        <v>139</v>
      </c>
      <c r="B11" s="45" t="s">
        <v>142</v>
      </c>
      <c r="C11" s="31">
        <v>411460</v>
      </c>
      <c r="D11" s="13">
        <f t="shared" ref="D11:D34" si="2">C11</f>
        <v>411460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v>169779</v>
      </c>
      <c r="D12" s="13">
        <f t="shared" si="2"/>
        <v>169779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93" t="s">
        <v>141</v>
      </c>
      <c r="B13" s="45" t="s">
        <v>144</v>
      </c>
      <c r="C13" s="31">
        <v>74937</v>
      </c>
      <c r="D13" s="13">
        <f t="shared" si="2"/>
        <v>74937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v>351700</v>
      </c>
      <c r="D14" s="13">
        <f>C14+6582</f>
        <v>358282</v>
      </c>
      <c r="E14" s="38">
        <f t="shared" si="0"/>
        <v>6582</v>
      </c>
      <c r="F14" s="39">
        <f t="shared" si="1"/>
        <v>1.0186999999999999</v>
      </c>
    </row>
    <row r="15" spans="1:6" ht="33" customHeight="1" x14ac:dyDescent="0.2">
      <c r="A15" s="92" t="s">
        <v>5</v>
      </c>
      <c r="B15" s="14" t="s">
        <v>118</v>
      </c>
      <c r="C15" s="31">
        <v>288890</v>
      </c>
      <c r="D15" s="13">
        <f t="shared" si="2"/>
        <v>288890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92" t="s">
        <v>6</v>
      </c>
      <c r="B16" s="14" t="s">
        <v>124</v>
      </c>
      <c r="C16" s="31">
        <v>260702</v>
      </c>
      <c r="D16" s="13">
        <f t="shared" si="2"/>
        <v>260702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92" t="s">
        <v>7</v>
      </c>
      <c r="B17" s="14" t="s">
        <v>123</v>
      </c>
      <c r="C17" s="31">
        <v>81687</v>
      </c>
      <c r="D17" s="13">
        <f t="shared" si="2"/>
        <v>81687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92" t="s">
        <v>8</v>
      </c>
      <c r="B18" s="14" t="s">
        <v>119</v>
      </c>
      <c r="C18" s="31">
        <v>204744</v>
      </c>
      <c r="D18" s="13">
        <f t="shared" si="2"/>
        <v>204744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92" t="s">
        <v>9</v>
      </c>
      <c r="B19" s="14" t="s">
        <v>120</v>
      </c>
      <c r="C19" s="31">
        <v>73014</v>
      </c>
      <c r="D19" s="13">
        <f t="shared" si="2"/>
        <v>73014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92" t="s">
        <v>10</v>
      </c>
      <c r="B20" s="14" t="s">
        <v>125</v>
      </c>
      <c r="C20" s="31">
        <v>4975</v>
      </c>
      <c r="D20" s="13">
        <f t="shared" si="2"/>
        <v>4975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v>32868</v>
      </c>
      <c r="D21" s="13">
        <f t="shared" si="2"/>
        <v>32868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92" t="s">
        <v>12</v>
      </c>
      <c r="B22" s="14" t="s">
        <v>161</v>
      </c>
      <c r="C22" s="31">
        <v>243371</v>
      </c>
      <c r="D22" s="13">
        <f t="shared" si="2"/>
        <v>243371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92" t="s">
        <v>13</v>
      </c>
      <c r="B23" s="14" t="s">
        <v>145</v>
      </c>
      <c r="C23" s="31">
        <v>164381</v>
      </c>
      <c r="D23" s="13">
        <f t="shared" si="2"/>
        <v>164381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94" t="s">
        <v>14</v>
      </c>
      <c r="B24" s="30" t="s">
        <v>177</v>
      </c>
      <c r="C24" s="31">
        <v>1040221</v>
      </c>
      <c r="D24" s="13">
        <f t="shared" si="2"/>
        <v>1040221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v>1038631</v>
      </c>
      <c r="D25" s="13">
        <f t="shared" si="2"/>
        <v>1038631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v>1029</v>
      </c>
      <c r="D26" s="13">
        <f t="shared" si="2"/>
        <v>1029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v>561</v>
      </c>
      <c r="D27" s="13">
        <f t="shared" si="2"/>
        <v>561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v>0</v>
      </c>
      <c r="D29" s="13">
        <f t="shared" si="2"/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v>46710</v>
      </c>
      <c r="D32" s="13">
        <f t="shared" si="2"/>
        <v>46710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178</v>
      </c>
      <c r="B33" s="16" t="s">
        <v>179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v>3000</v>
      </c>
      <c r="D34" s="13">
        <f t="shared" si="2"/>
        <v>3000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196</v>
      </c>
      <c r="B35" s="16" t="s">
        <v>197</v>
      </c>
      <c r="C35" s="31">
        <v>1530</v>
      </c>
      <c r="D35" s="13">
        <f>C35+4100</f>
        <v>5630</v>
      </c>
      <c r="E35" s="38">
        <f>IF(C35=D35,"-",D35-C35)</f>
        <v>4100</v>
      </c>
      <c r="F35" s="39">
        <f>IF(C35=0,"-",D35/C35)</f>
        <v>3.6797</v>
      </c>
    </row>
    <row r="36" spans="1:6" s="2" customFormat="1" ht="31.5" customHeight="1" x14ac:dyDescent="0.2">
      <c r="A36" s="96" t="s">
        <v>56</v>
      </c>
      <c r="B36" s="17" t="s">
        <v>57</v>
      </c>
      <c r="C36" s="32">
        <v>306</v>
      </c>
      <c r="D36" s="37">
        <f>C36</f>
        <v>306</v>
      </c>
      <c r="E36" s="7" t="str">
        <f t="shared" si="0"/>
        <v>-</v>
      </c>
      <c r="F36" s="40">
        <f t="shared" si="1"/>
        <v>1</v>
      </c>
    </row>
    <row r="37" spans="1:6" s="2" customFormat="1" ht="31.5" customHeight="1" x14ac:dyDescent="0.2">
      <c r="A37" s="96" t="s">
        <v>55</v>
      </c>
      <c r="B37" s="17" t="s">
        <v>58</v>
      </c>
      <c r="C37" s="32">
        <v>202473</v>
      </c>
      <c r="D37" s="37">
        <f>C37</f>
        <v>202473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2">
        <v>77355</v>
      </c>
      <c r="D38" s="37">
        <f>C38</f>
        <v>77355</v>
      </c>
      <c r="E38" s="7" t="str">
        <f t="shared" si="0"/>
        <v>-</v>
      </c>
      <c r="F38" s="40">
        <f t="shared" si="1"/>
        <v>1</v>
      </c>
    </row>
    <row r="39" spans="1:6" s="2" customFormat="1" ht="42.75" customHeight="1" x14ac:dyDescent="0.2">
      <c r="A39" s="96" t="s">
        <v>153</v>
      </c>
      <c r="B39" s="17" t="s">
        <v>154</v>
      </c>
      <c r="C39" s="32">
        <f>C11+C13+C24+C30</f>
        <v>1526618</v>
      </c>
      <c r="D39" s="32">
        <f>D11+D13+D24+D30</f>
        <v>1526618</v>
      </c>
      <c r="E39" s="7" t="str">
        <f t="shared" si="0"/>
        <v>-</v>
      </c>
      <c r="F39" s="40">
        <f t="shared" si="1"/>
        <v>1</v>
      </c>
    </row>
    <row r="40" spans="1:6" ht="30" customHeight="1" x14ac:dyDescent="0.2">
      <c r="A40" s="97" t="s">
        <v>130</v>
      </c>
      <c r="B40" s="85" t="s">
        <v>183</v>
      </c>
      <c r="C40" s="71">
        <f>C41+C42+C43+C51+C53+C59+C60+C58</f>
        <v>68611</v>
      </c>
      <c r="D40" s="71">
        <f>D41+D42+D43+D51+D53+D59+D60+D58</f>
        <v>68611</v>
      </c>
      <c r="E40" s="68" t="str">
        <f t="shared" si="0"/>
        <v>-</v>
      </c>
      <c r="F40" s="86">
        <f t="shared" si="1"/>
        <v>1</v>
      </c>
    </row>
    <row r="41" spans="1:6" ht="28.5" customHeight="1" x14ac:dyDescent="0.2">
      <c r="A41" s="95" t="s">
        <v>16</v>
      </c>
      <c r="B41" s="18" t="s">
        <v>17</v>
      </c>
      <c r="C41" s="31">
        <v>2479</v>
      </c>
      <c r="D41" s="33">
        <f>C41</f>
        <v>2479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95" t="s">
        <v>18</v>
      </c>
      <c r="B42" s="18" t="s">
        <v>19</v>
      </c>
      <c r="C42" s="31">
        <v>9107</v>
      </c>
      <c r="D42" s="33">
        <f t="shared" ref="D42:D60" si="3">C42</f>
        <v>9107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20</v>
      </c>
      <c r="B43" s="19" t="s">
        <v>184</v>
      </c>
      <c r="C43" s="33">
        <f>C44+C46+C47+C48+C49+C50</f>
        <v>475</v>
      </c>
      <c r="D43" s="33">
        <f>D44+D46+D47+D48+D49+D50</f>
        <v>475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8" t="s">
        <v>37</v>
      </c>
      <c r="B44" s="46" t="s">
        <v>30</v>
      </c>
      <c r="C44" s="31">
        <v>130</v>
      </c>
      <c r="D44" s="33">
        <f t="shared" si="3"/>
        <v>130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98" t="s">
        <v>38</v>
      </c>
      <c r="B45" s="47" t="s">
        <v>31</v>
      </c>
      <c r="C45" s="31">
        <v>130</v>
      </c>
      <c r="D45" s="33">
        <f t="shared" si="3"/>
        <v>130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39</v>
      </c>
      <c r="B46" s="46" t="s">
        <v>32</v>
      </c>
      <c r="C46" s="31">
        <v>10</v>
      </c>
      <c r="D46" s="33">
        <f t="shared" si="3"/>
        <v>10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40</v>
      </c>
      <c r="B47" s="46" t="s">
        <v>33</v>
      </c>
      <c r="C47" s="31">
        <v>1</v>
      </c>
      <c r="D47" s="33">
        <f t="shared" si="3"/>
        <v>1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98" t="s">
        <v>41</v>
      </c>
      <c r="B48" s="46" t="s">
        <v>34</v>
      </c>
      <c r="C48" s="31">
        <v>0</v>
      </c>
      <c r="D48" s="33">
        <f t="shared" si="3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42</v>
      </c>
      <c r="B49" s="46" t="s">
        <v>35</v>
      </c>
      <c r="C49" s="31">
        <v>310</v>
      </c>
      <c r="D49" s="33">
        <f t="shared" si="3"/>
        <v>310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98" t="s">
        <v>43</v>
      </c>
      <c r="B50" s="46" t="s">
        <v>36</v>
      </c>
      <c r="C50" s="31">
        <v>24</v>
      </c>
      <c r="D50" s="33">
        <f t="shared" si="3"/>
        <v>24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5" t="s">
        <v>21</v>
      </c>
      <c r="B51" s="18" t="s">
        <v>155</v>
      </c>
      <c r="C51" s="31">
        <v>40930</v>
      </c>
      <c r="D51" s="33">
        <f t="shared" si="3"/>
        <v>40930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8" t="s">
        <v>156</v>
      </c>
      <c r="B52" s="46" t="s">
        <v>157</v>
      </c>
      <c r="C52" s="31">
        <v>250</v>
      </c>
      <c r="D52" s="33">
        <f t="shared" si="3"/>
        <v>250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95" t="s">
        <v>22</v>
      </c>
      <c r="B53" s="19" t="s">
        <v>182</v>
      </c>
      <c r="C53" s="29">
        <f>C54+C55+C56+C57</f>
        <v>9175</v>
      </c>
      <c r="D53" s="29">
        <f>D54+D55+D56+D57</f>
        <v>9175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8" t="s">
        <v>48</v>
      </c>
      <c r="B54" s="46" t="s">
        <v>44</v>
      </c>
      <c r="C54" s="31">
        <v>7021</v>
      </c>
      <c r="D54" s="33">
        <f t="shared" si="3"/>
        <v>7021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49</v>
      </c>
      <c r="B55" s="46" t="s">
        <v>45</v>
      </c>
      <c r="C55" s="31">
        <v>1003</v>
      </c>
      <c r="D55" s="33">
        <f t="shared" si="3"/>
        <v>1003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50</v>
      </c>
      <c r="B56" s="46" t="s">
        <v>46</v>
      </c>
      <c r="C56" s="31">
        <v>0</v>
      </c>
      <c r="D56" s="33">
        <f t="shared" si="3"/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98" t="s">
        <v>51</v>
      </c>
      <c r="B57" s="46" t="s">
        <v>47</v>
      </c>
      <c r="C57" s="31">
        <v>1151</v>
      </c>
      <c r="D57" s="33">
        <f t="shared" si="3"/>
        <v>1151</v>
      </c>
      <c r="E57" s="38" t="str">
        <f t="shared" si="0"/>
        <v>-</v>
      </c>
      <c r="F57" s="39">
        <f t="shared" si="1"/>
        <v>1</v>
      </c>
    </row>
    <row r="58" spans="1:6" ht="28.5" customHeight="1" x14ac:dyDescent="0.2">
      <c r="A58" s="95" t="s">
        <v>23</v>
      </c>
      <c r="B58" s="18" t="s">
        <v>24</v>
      </c>
      <c r="C58" s="31">
        <v>0</v>
      </c>
      <c r="D58" s="33">
        <f t="shared" si="3"/>
        <v>0</v>
      </c>
      <c r="E58" s="38" t="str">
        <f t="shared" si="0"/>
        <v>-</v>
      </c>
      <c r="F58" s="39" t="str">
        <f t="shared" si="1"/>
        <v>-</v>
      </c>
    </row>
    <row r="59" spans="1:6" ht="28.5" customHeight="1" x14ac:dyDescent="0.2">
      <c r="A59" s="95" t="s">
        <v>25</v>
      </c>
      <c r="B59" s="18" t="s">
        <v>158</v>
      </c>
      <c r="C59" s="31">
        <v>6136</v>
      </c>
      <c r="D59" s="33">
        <f t="shared" si="3"/>
        <v>6136</v>
      </c>
      <c r="E59" s="38" t="str">
        <f t="shared" si="0"/>
        <v>-</v>
      </c>
      <c r="F59" s="41">
        <f t="shared" si="1"/>
        <v>1</v>
      </c>
    </row>
    <row r="60" spans="1:6" ht="28.5" customHeight="1" x14ac:dyDescent="0.2">
      <c r="A60" s="95" t="s">
        <v>26</v>
      </c>
      <c r="B60" s="18" t="s">
        <v>27</v>
      </c>
      <c r="C60" s="31">
        <v>309</v>
      </c>
      <c r="D60" s="33">
        <f t="shared" si="3"/>
        <v>309</v>
      </c>
      <c r="E60" s="38" t="str">
        <f t="shared" si="0"/>
        <v>-</v>
      </c>
      <c r="F60" s="39">
        <f t="shared" si="1"/>
        <v>1</v>
      </c>
    </row>
    <row r="61" spans="1:6" ht="30" customHeight="1" x14ac:dyDescent="0.2">
      <c r="A61" s="99" t="s">
        <v>132</v>
      </c>
      <c r="B61" s="77" t="s">
        <v>159</v>
      </c>
      <c r="C61" s="87">
        <f>C62+C63+C64+C65</f>
        <v>15522</v>
      </c>
      <c r="D61" s="87">
        <f>D62+D63+D64+D65</f>
        <v>15522</v>
      </c>
      <c r="E61" s="68" t="str">
        <f t="shared" si="0"/>
        <v>-</v>
      </c>
      <c r="F61" s="88">
        <f t="shared" si="1"/>
        <v>1</v>
      </c>
    </row>
    <row r="62" spans="1:6" ht="42" customHeight="1" x14ac:dyDescent="0.2">
      <c r="A62" s="95" t="s">
        <v>99</v>
      </c>
      <c r="B62" s="18" t="s">
        <v>112</v>
      </c>
      <c r="C62" s="31">
        <v>300</v>
      </c>
      <c r="D62" s="33">
        <f>C62</f>
        <v>300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95" t="s">
        <v>28</v>
      </c>
      <c r="B63" s="18" t="s">
        <v>53</v>
      </c>
      <c r="C63" s="31">
        <v>11108</v>
      </c>
      <c r="D63" s="33">
        <f>C63</f>
        <v>11108</v>
      </c>
      <c r="E63" s="29" t="str">
        <f t="shared" si="0"/>
        <v>-</v>
      </c>
      <c r="F63" s="39">
        <f t="shared" si="1"/>
        <v>1</v>
      </c>
    </row>
    <row r="64" spans="1:6" ht="31.5" customHeight="1" x14ac:dyDescent="0.2">
      <c r="A64" s="95" t="s">
        <v>29</v>
      </c>
      <c r="B64" s="18" t="s">
        <v>101</v>
      </c>
      <c r="C64" s="31">
        <v>0</v>
      </c>
      <c r="D64" s="33">
        <f>C64</f>
        <v>0</v>
      </c>
      <c r="E64" s="29" t="str">
        <f t="shared" si="0"/>
        <v>-</v>
      </c>
      <c r="F64" s="39" t="str">
        <f t="shared" si="1"/>
        <v>-</v>
      </c>
    </row>
    <row r="65" spans="1:6" ht="31.5" customHeight="1" x14ac:dyDescent="0.2">
      <c r="A65" s="95" t="s">
        <v>100</v>
      </c>
      <c r="B65" s="18" t="s">
        <v>102</v>
      </c>
      <c r="C65" s="31">
        <v>4114</v>
      </c>
      <c r="D65" s="33">
        <f>C65</f>
        <v>4114</v>
      </c>
      <c r="E65" s="29" t="str">
        <f t="shared" si="0"/>
        <v>-</v>
      </c>
      <c r="F65" s="39">
        <f t="shared" si="1"/>
        <v>1</v>
      </c>
    </row>
    <row r="66" spans="1:6" ht="32.25" customHeight="1" x14ac:dyDescent="0.2">
      <c r="A66" s="99" t="s">
        <v>134</v>
      </c>
      <c r="B66" s="77" t="s">
        <v>113</v>
      </c>
      <c r="C66" s="87">
        <v>1355</v>
      </c>
      <c r="D66" s="87">
        <f>C66</f>
        <v>1355</v>
      </c>
      <c r="E66" s="68" t="str">
        <f t="shared" si="0"/>
        <v>-</v>
      </c>
      <c r="F66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:F66"/>
  <sheetViews>
    <sheetView showGridLines="0" view="pageBreakPreview" zoomScale="55" zoomScaleNormal="70" zoomScaleSheetLayoutView="55" workbookViewId="0">
      <pane ySplit="6" topLeftCell="A7" activePane="bottomLeft" state="frozen"/>
      <selection activeCell="J7" sqref="J7"/>
      <selection pane="bottomLeft" activeCell="J7" sqref="J7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2.75" customHeight="1" x14ac:dyDescent="0.2">
      <c r="A1" s="112" t="s">
        <v>202</v>
      </c>
      <c r="B1" s="112"/>
      <c r="C1" s="112"/>
      <c r="D1" s="112"/>
      <c r="E1" s="112"/>
      <c r="F1" s="112"/>
    </row>
    <row r="2" spans="1:6" s="22" customFormat="1" ht="33" customHeight="1" x14ac:dyDescent="0.2">
      <c r="A2" s="54" t="s">
        <v>71</v>
      </c>
      <c r="B2" s="54"/>
      <c r="C2" s="55"/>
    </row>
    <row r="3" spans="1:6" ht="33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195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198</v>
      </c>
      <c r="C6" s="83">
        <f>C7+C8+C9+C14+C15+C16+C17+C18+C19+C20+C21+C22+C23+C24+C28+C29+C31+C32+C33+C34+C35</f>
        <v>2575392</v>
      </c>
      <c r="D6" s="83">
        <f>D7+D8+D9+D14+D15+D16+D17+D18+D19+D20+D21+D22+D23+D24+D28+D29+D31+D32+D33+D34+D35</f>
        <v>2583883</v>
      </c>
      <c r="E6" s="68">
        <f>IF(C6=D6,"-",D6-C6)</f>
        <v>8491</v>
      </c>
      <c r="F6" s="84">
        <f>IF(C6=0,"-",D6/C6)</f>
        <v>1.0029999999999999</v>
      </c>
    </row>
    <row r="7" spans="1:6" ht="33" customHeight="1" x14ac:dyDescent="0.2">
      <c r="A7" s="92" t="s">
        <v>1</v>
      </c>
      <c r="B7" s="14" t="s">
        <v>116</v>
      </c>
      <c r="C7" s="31">
        <v>322518</v>
      </c>
      <c r="D7" s="13">
        <f>C7</f>
        <v>322518</v>
      </c>
      <c r="E7" s="38" t="str">
        <f t="shared" ref="E7:E66" si="0">IF(C7=D7,"-",D7-C7)</f>
        <v>-</v>
      </c>
      <c r="F7" s="39">
        <f t="shared" ref="F7:F66" si="1">IF(C7=0,"-",D7/C7)</f>
        <v>1</v>
      </c>
    </row>
    <row r="8" spans="1:6" ht="33" customHeight="1" x14ac:dyDescent="0.2">
      <c r="A8" s="92" t="s">
        <v>2</v>
      </c>
      <c r="B8" s="14" t="s">
        <v>117</v>
      </c>
      <c r="C8" s="31">
        <v>148225</v>
      </c>
      <c r="D8" s="13">
        <f>C8</f>
        <v>148225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92" t="s">
        <v>3</v>
      </c>
      <c r="B9" s="14" t="s">
        <v>114</v>
      </c>
      <c r="C9" s="31">
        <v>1345223</v>
      </c>
      <c r="D9" s="13">
        <f>C9+5678</f>
        <v>1350901</v>
      </c>
      <c r="E9" s="38">
        <f t="shared" si="0"/>
        <v>5678</v>
      </c>
      <c r="F9" s="39">
        <f t="shared" si="1"/>
        <v>1.0042</v>
      </c>
    </row>
    <row r="10" spans="1:6" ht="31.5" customHeight="1" x14ac:dyDescent="0.2">
      <c r="A10" s="93" t="s">
        <v>54</v>
      </c>
      <c r="B10" s="45" t="s">
        <v>199</v>
      </c>
      <c r="C10" s="31">
        <v>114152</v>
      </c>
      <c r="D10" s="13">
        <f>C10</f>
        <v>114152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93" t="s">
        <v>139</v>
      </c>
      <c r="B11" s="45" t="s">
        <v>142</v>
      </c>
      <c r="C11" s="31">
        <v>102152</v>
      </c>
      <c r="D11" s="13">
        <f t="shared" ref="D11:D34" si="2">C11</f>
        <v>102152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v>58603</v>
      </c>
      <c r="D12" s="13">
        <f t="shared" si="2"/>
        <v>58603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93" t="s">
        <v>141</v>
      </c>
      <c r="B13" s="45" t="s">
        <v>144</v>
      </c>
      <c r="C13" s="31">
        <v>27103</v>
      </c>
      <c r="D13" s="13">
        <f t="shared" si="2"/>
        <v>27103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v>90028</v>
      </c>
      <c r="D14" s="13">
        <f>C14+1838</f>
        <v>91866</v>
      </c>
      <c r="E14" s="38">
        <f t="shared" si="0"/>
        <v>1838</v>
      </c>
      <c r="F14" s="39">
        <f t="shared" si="1"/>
        <v>1.0204</v>
      </c>
    </row>
    <row r="15" spans="1:6" ht="33" customHeight="1" x14ac:dyDescent="0.2">
      <c r="A15" s="92" t="s">
        <v>5</v>
      </c>
      <c r="B15" s="14" t="s">
        <v>118</v>
      </c>
      <c r="C15" s="31">
        <v>82422</v>
      </c>
      <c r="D15" s="13">
        <f t="shared" si="2"/>
        <v>82422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92" t="s">
        <v>6</v>
      </c>
      <c r="B16" s="14" t="s">
        <v>124</v>
      </c>
      <c r="C16" s="31">
        <v>60180</v>
      </c>
      <c r="D16" s="13">
        <f t="shared" si="2"/>
        <v>60180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92" t="s">
        <v>7</v>
      </c>
      <c r="B17" s="14" t="s">
        <v>123</v>
      </c>
      <c r="C17" s="31">
        <v>30335</v>
      </c>
      <c r="D17" s="13">
        <f t="shared" si="2"/>
        <v>30335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92" t="s">
        <v>8</v>
      </c>
      <c r="B18" s="14" t="s">
        <v>119</v>
      </c>
      <c r="C18" s="31">
        <v>69548</v>
      </c>
      <c r="D18" s="13">
        <f t="shared" si="2"/>
        <v>69548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92" t="s">
        <v>9</v>
      </c>
      <c r="B19" s="14" t="s">
        <v>120</v>
      </c>
      <c r="C19" s="31">
        <v>26757</v>
      </c>
      <c r="D19" s="13">
        <f t="shared" si="2"/>
        <v>26757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92" t="s">
        <v>10</v>
      </c>
      <c r="B20" s="14" t="s">
        <v>125</v>
      </c>
      <c r="C20" s="31">
        <v>1660</v>
      </c>
      <c r="D20" s="13">
        <f t="shared" si="2"/>
        <v>1660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v>6079</v>
      </c>
      <c r="D21" s="13">
        <f t="shared" si="2"/>
        <v>6079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92" t="s">
        <v>12</v>
      </c>
      <c r="B22" s="14" t="s">
        <v>161</v>
      </c>
      <c r="C22" s="31">
        <v>56052</v>
      </c>
      <c r="D22" s="13">
        <f t="shared" si="2"/>
        <v>56052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92" t="s">
        <v>13</v>
      </c>
      <c r="B23" s="14" t="s">
        <v>145</v>
      </c>
      <c r="C23" s="31">
        <v>34500</v>
      </c>
      <c r="D23" s="13">
        <f t="shared" si="2"/>
        <v>34500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94" t="s">
        <v>14</v>
      </c>
      <c r="B24" s="30" t="s">
        <v>177</v>
      </c>
      <c r="C24" s="31">
        <v>254313</v>
      </c>
      <c r="D24" s="13">
        <f t="shared" si="2"/>
        <v>254313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v>253523</v>
      </c>
      <c r="D25" s="13">
        <f t="shared" si="2"/>
        <v>253523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v>590</v>
      </c>
      <c r="D26" s="13">
        <f t="shared" si="2"/>
        <v>590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v>200</v>
      </c>
      <c r="D27" s="13">
        <f t="shared" si="2"/>
        <v>200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v>19393</v>
      </c>
      <c r="D29" s="13">
        <f t="shared" si="2"/>
        <v>19393</v>
      </c>
      <c r="E29" s="38" t="str">
        <f t="shared" si="0"/>
        <v>-</v>
      </c>
      <c r="F29" s="39">
        <f t="shared" si="1"/>
        <v>1</v>
      </c>
    </row>
    <row r="30" spans="1:6" ht="31.5" customHeight="1" x14ac:dyDescent="0.2">
      <c r="A30" s="93" t="s">
        <v>152</v>
      </c>
      <c r="B30" s="45" t="s">
        <v>163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v>27180</v>
      </c>
      <c r="D32" s="13">
        <f t="shared" si="2"/>
        <v>27180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178</v>
      </c>
      <c r="B33" s="16" t="s">
        <v>179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v>529</v>
      </c>
      <c r="D34" s="13">
        <f t="shared" si="2"/>
        <v>529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196</v>
      </c>
      <c r="B35" s="16" t="s">
        <v>197</v>
      </c>
      <c r="C35" s="31">
        <v>450</v>
      </c>
      <c r="D35" s="13">
        <f>C35+975</f>
        <v>1425</v>
      </c>
      <c r="E35" s="38">
        <f>IF(C35=D35,"-",D35-C35)</f>
        <v>975</v>
      </c>
      <c r="F35" s="39">
        <f>IF(C35=0,"-",D35/C35)</f>
        <v>3.1667000000000001</v>
      </c>
    </row>
    <row r="36" spans="1:6" s="2" customFormat="1" ht="31.5" customHeight="1" x14ac:dyDescent="0.2">
      <c r="A36" s="96" t="s">
        <v>56</v>
      </c>
      <c r="B36" s="17" t="s">
        <v>57</v>
      </c>
      <c r="C36" s="32">
        <v>306</v>
      </c>
      <c r="D36" s="37">
        <f>C36</f>
        <v>306</v>
      </c>
      <c r="E36" s="7" t="str">
        <f t="shared" si="0"/>
        <v>-</v>
      </c>
      <c r="F36" s="40">
        <f t="shared" si="1"/>
        <v>1</v>
      </c>
    </row>
    <row r="37" spans="1:6" s="2" customFormat="1" ht="31.5" customHeight="1" x14ac:dyDescent="0.2">
      <c r="A37" s="96" t="s">
        <v>55</v>
      </c>
      <c r="B37" s="17" t="s">
        <v>58</v>
      </c>
      <c r="C37" s="32">
        <v>57750</v>
      </c>
      <c r="D37" s="37">
        <f>C37</f>
        <v>57750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2">
        <v>23614</v>
      </c>
      <c r="D38" s="37">
        <f>C38</f>
        <v>23614</v>
      </c>
      <c r="E38" s="7" t="str">
        <f t="shared" si="0"/>
        <v>-</v>
      </c>
      <c r="F38" s="40">
        <f t="shared" si="1"/>
        <v>1</v>
      </c>
    </row>
    <row r="39" spans="1:6" s="2" customFormat="1" ht="42.75" customHeight="1" x14ac:dyDescent="0.2">
      <c r="A39" s="96" t="s">
        <v>153</v>
      </c>
      <c r="B39" s="17" t="s">
        <v>154</v>
      </c>
      <c r="C39" s="32">
        <f>C11+C13+C24+C30</f>
        <v>383568</v>
      </c>
      <c r="D39" s="32">
        <f>D11+D13+D24+D30</f>
        <v>383568</v>
      </c>
      <c r="E39" s="7" t="str">
        <f t="shared" si="0"/>
        <v>-</v>
      </c>
      <c r="F39" s="40">
        <f t="shared" si="1"/>
        <v>1</v>
      </c>
    </row>
    <row r="40" spans="1:6" ht="30" customHeight="1" x14ac:dyDescent="0.2">
      <c r="A40" s="97" t="s">
        <v>130</v>
      </c>
      <c r="B40" s="85" t="s">
        <v>183</v>
      </c>
      <c r="C40" s="71">
        <f>C41+C42+C43+C51+C53+C59+C60+C58</f>
        <v>17756</v>
      </c>
      <c r="D40" s="71">
        <f>D41+D42+D43+D51+D53+D59+D60+D58</f>
        <v>17756</v>
      </c>
      <c r="E40" s="68" t="str">
        <f t="shared" si="0"/>
        <v>-</v>
      </c>
      <c r="F40" s="86">
        <f t="shared" si="1"/>
        <v>1</v>
      </c>
    </row>
    <row r="41" spans="1:6" ht="28.5" customHeight="1" x14ac:dyDescent="0.2">
      <c r="A41" s="95" t="s">
        <v>16</v>
      </c>
      <c r="B41" s="18" t="s">
        <v>17</v>
      </c>
      <c r="C41" s="31">
        <v>632</v>
      </c>
      <c r="D41" s="33">
        <f>C41</f>
        <v>632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95" t="s">
        <v>18</v>
      </c>
      <c r="B42" s="18" t="s">
        <v>19</v>
      </c>
      <c r="C42" s="31">
        <v>2215</v>
      </c>
      <c r="D42" s="33">
        <f t="shared" ref="D42:D60" si="3">C42</f>
        <v>2215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20</v>
      </c>
      <c r="B43" s="19" t="s">
        <v>184</v>
      </c>
      <c r="C43" s="33">
        <f>C44+C46+C47+C48+C49+C50</f>
        <v>61</v>
      </c>
      <c r="D43" s="33">
        <f>D44+D46+D47+D48+D49+D50</f>
        <v>61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8" t="s">
        <v>37</v>
      </c>
      <c r="B44" s="46" t="s">
        <v>30</v>
      </c>
      <c r="C44" s="31">
        <v>7</v>
      </c>
      <c r="D44" s="33">
        <f t="shared" si="3"/>
        <v>7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98" t="s">
        <v>38</v>
      </c>
      <c r="B45" s="47" t="s">
        <v>31</v>
      </c>
      <c r="C45" s="31">
        <v>7</v>
      </c>
      <c r="D45" s="33">
        <f t="shared" si="3"/>
        <v>7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39</v>
      </c>
      <c r="B46" s="46" t="s">
        <v>32</v>
      </c>
      <c r="C46" s="31">
        <v>17</v>
      </c>
      <c r="D46" s="33">
        <f t="shared" si="3"/>
        <v>17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40</v>
      </c>
      <c r="B47" s="46" t="s">
        <v>33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98" t="s">
        <v>41</v>
      </c>
      <c r="B48" s="46" t="s">
        <v>34</v>
      </c>
      <c r="C48" s="31">
        <v>0</v>
      </c>
      <c r="D48" s="33">
        <f t="shared" si="3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42</v>
      </c>
      <c r="B49" s="46" t="s">
        <v>35</v>
      </c>
      <c r="C49" s="31">
        <v>20</v>
      </c>
      <c r="D49" s="33">
        <f t="shared" si="3"/>
        <v>20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98" t="s">
        <v>43</v>
      </c>
      <c r="B50" s="46" t="s">
        <v>36</v>
      </c>
      <c r="C50" s="31">
        <v>17</v>
      </c>
      <c r="D50" s="33">
        <f t="shared" si="3"/>
        <v>17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5" t="s">
        <v>21</v>
      </c>
      <c r="B51" s="18" t="s">
        <v>155</v>
      </c>
      <c r="C51" s="31">
        <v>11600</v>
      </c>
      <c r="D51" s="33">
        <f t="shared" si="3"/>
        <v>11600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8" t="s">
        <v>156</v>
      </c>
      <c r="B52" s="46" t="s">
        <v>157</v>
      </c>
      <c r="C52" s="31">
        <v>36</v>
      </c>
      <c r="D52" s="33">
        <f t="shared" si="3"/>
        <v>36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95" t="s">
        <v>22</v>
      </c>
      <c r="B53" s="19" t="s">
        <v>182</v>
      </c>
      <c r="C53" s="29">
        <f>C54+C55+C56+C57</f>
        <v>2603</v>
      </c>
      <c r="D53" s="29">
        <f>D54+D55+D56+D57</f>
        <v>2603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8" t="s">
        <v>48</v>
      </c>
      <c r="B54" s="46" t="s">
        <v>44</v>
      </c>
      <c r="C54" s="31">
        <v>1992</v>
      </c>
      <c r="D54" s="33">
        <f t="shared" si="3"/>
        <v>1992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49</v>
      </c>
      <c r="B55" s="46" t="s">
        <v>45</v>
      </c>
      <c r="C55" s="31">
        <v>285</v>
      </c>
      <c r="D55" s="33">
        <f t="shared" si="3"/>
        <v>285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50</v>
      </c>
      <c r="B56" s="46" t="s">
        <v>46</v>
      </c>
      <c r="C56" s="31">
        <v>0</v>
      </c>
      <c r="D56" s="33">
        <f t="shared" si="3"/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98" t="s">
        <v>51</v>
      </c>
      <c r="B57" s="46" t="s">
        <v>47</v>
      </c>
      <c r="C57" s="31">
        <v>326</v>
      </c>
      <c r="D57" s="33">
        <f t="shared" si="3"/>
        <v>326</v>
      </c>
      <c r="E57" s="38" t="str">
        <f t="shared" si="0"/>
        <v>-</v>
      </c>
      <c r="F57" s="39">
        <f t="shared" si="1"/>
        <v>1</v>
      </c>
    </row>
    <row r="58" spans="1:6" ht="28.5" customHeight="1" x14ac:dyDescent="0.2">
      <c r="A58" s="95" t="s">
        <v>23</v>
      </c>
      <c r="B58" s="18" t="s">
        <v>24</v>
      </c>
      <c r="C58" s="31">
        <v>0</v>
      </c>
      <c r="D58" s="33">
        <f t="shared" si="3"/>
        <v>0</v>
      </c>
      <c r="E58" s="38" t="str">
        <f t="shared" si="0"/>
        <v>-</v>
      </c>
      <c r="F58" s="39" t="str">
        <f t="shared" si="1"/>
        <v>-</v>
      </c>
    </row>
    <row r="59" spans="1:6" ht="28.5" customHeight="1" x14ac:dyDescent="0.2">
      <c r="A59" s="95" t="s">
        <v>25</v>
      </c>
      <c r="B59" s="18" t="s">
        <v>158</v>
      </c>
      <c r="C59" s="31">
        <v>460</v>
      </c>
      <c r="D59" s="33">
        <f t="shared" si="3"/>
        <v>460</v>
      </c>
      <c r="E59" s="38" t="str">
        <f t="shared" si="0"/>
        <v>-</v>
      </c>
      <c r="F59" s="41">
        <f t="shared" si="1"/>
        <v>1</v>
      </c>
    </row>
    <row r="60" spans="1:6" ht="28.5" customHeight="1" x14ac:dyDescent="0.2">
      <c r="A60" s="95" t="s">
        <v>26</v>
      </c>
      <c r="B60" s="18" t="s">
        <v>27</v>
      </c>
      <c r="C60" s="31">
        <v>185</v>
      </c>
      <c r="D60" s="33">
        <f t="shared" si="3"/>
        <v>185</v>
      </c>
      <c r="E60" s="38" t="str">
        <f t="shared" si="0"/>
        <v>-</v>
      </c>
      <c r="F60" s="39">
        <f t="shared" si="1"/>
        <v>1</v>
      </c>
    </row>
    <row r="61" spans="1:6" ht="30" customHeight="1" x14ac:dyDescent="0.2">
      <c r="A61" s="99" t="s">
        <v>132</v>
      </c>
      <c r="B61" s="77" t="s">
        <v>159</v>
      </c>
      <c r="C61" s="87">
        <f>C62+C63+C64+C65</f>
        <v>10795</v>
      </c>
      <c r="D61" s="87">
        <f>D62+D63+D64+D65</f>
        <v>10795</v>
      </c>
      <c r="E61" s="68" t="str">
        <f t="shared" si="0"/>
        <v>-</v>
      </c>
      <c r="F61" s="88">
        <f t="shared" si="1"/>
        <v>1</v>
      </c>
    </row>
    <row r="62" spans="1:6" ht="42" customHeight="1" x14ac:dyDescent="0.2">
      <c r="A62" s="95" t="s">
        <v>99</v>
      </c>
      <c r="B62" s="18" t="s">
        <v>112</v>
      </c>
      <c r="C62" s="31">
        <v>0</v>
      </c>
      <c r="D62" s="33">
        <f>C62</f>
        <v>0</v>
      </c>
      <c r="E62" s="29" t="str">
        <f t="shared" si="0"/>
        <v>-</v>
      </c>
      <c r="F62" s="39" t="str">
        <f t="shared" si="1"/>
        <v>-</v>
      </c>
    </row>
    <row r="63" spans="1:6" ht="31.5" customHeight="1" x14ac:dyDescent="0.2">
      <c r="A63" s="95" t="s">
        <v>28</v>
      </c>
      <c r="B63" s="18" t="s">
        <v>53</v>
      </c>
      <c r="C63" s="31">
        <v>10239</v>
      </c>
      <c r="D63" s="33">
        <f>C63</f>
        <v>10239</v>
      </c>
      <c r="E63" s="29" t="str">
        <f t="shared" si="0"/>
        <v>-</v>
      </c>
      <c r="F63" s="39">
        <f t="shared" si="1"/>
        <v>1</v>
      </c>
    </row>
    <row r="64" spans="1:6" ht="31.5" customHeight="1" x14ac:dyDescent="0.2">
      <c r="A64" s="95" t="s">
        <v>29</v>
      </c>
      <c r="B64" s="18" t="s">
        <v>101</v>
      </c>
      <c r="C64" s="31">
        <v>0</v>
      </c>
      <c r="D64" s="33">
        <f>C64</f>
        <v>0</v>
      </c>
      <c r="E64" s="29" t="str">
        <f t="shared" si="0"/>
        <v>-</v>
      </c>
      <c r="F64" s="39" t="str">
        <f t="shared" si="1"/>
        <v>-</v>
      </c>
    </row>
    <row r="65" spans="1:6" ht="31.5" customHeight="1" x14ac:dyDescent="0.2">
      <c r="A65" s="95" t="s">
        <v>100</v>
      </c>
      <c r="B65" s="18" t="s">
        <v>102</v>
      </c>
      <c r="C65" s="31">
        <v>556</v>
      </c>
      <c r="D65" s="33">
        <f>C65</f>
        <v>556</v>
      </c>
      <c r="E65" s="29" t="str">
        <f t="shared" si="0"/>
        <v>-</v>
      </c>
      <c r="F65" s="39">
        <f t="shared" si="1"/>
        <v>1</v>
      </c>
    </row>
    <row r="66" spans="1:6" ht="32.25" customHeight="1" x14ac:dyDescent="0.2">
      <c r="A66" s="99" t="s">
        <v>134</v>
      </c>
      <c r="B66" s="77" t="s">
        <v>113</v>
      </c>
      <c r="C66" s="87">
        <v>3885</v>
      </c>
      <c r="D66" s="87">
        <f>C66</f>
        <v>3885</v>
      </c>
      <c r="E66" s="68" t="str">
        <f t="shared" si="0"/>
        <v>-</v>
      </c>
      <c r="F66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pageSetUpPr fitToPage="1"/>
  </sheetPr>
  <dimension ref="A1:F66"/>
  <sheetViews>
    <sheetView showGridLines="0" view="pageBreakPreview" zoomScale="55" zoomScaleNormal="70" zoomScaleSheetLayoutView="55" workbookViewId="0">
      <pane xSplit="2" ySplit="6" topLeftCell="C9" activePane="bottomRight" state="frozen"/>
      <selection activeCell="J7" sqref="J7"/>
      <selection pane="topRight" activeCell="J7" sqref="J7"/>
      <selection pane="bottomLeft" activeCell="J7" sqref="J7"/>
      <selection pane="bottomRight" activeCell="J7" sqref="J7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2.75" customHeight="1" x14ac:dyDescent="0.2">
      <c r="A1" s="112" t="s">
        <v>202</v>
      </c>
      <c r="B1" s="112"/>
      <c r="C1" s="112"/>
      <c r="D1" s="112"/>
      <c r="E1" s="112"/>
      <c r="F1" s="112"/>
    </row>
    <row r="2" spans="1:6" s="22" customFormat="1" ht="33" customHeight="1" x14ac:dyDescent="0.2">
      <c r="A2" s="54" t="s">
        <v>72</v>
      </c>
      <c r="B2" s="54"/>
      <c r="C2" s="55"/>
    </row>
    <row r="3" spans="1:6" ht="33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195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198</v>
      </c>
      <c r="C6" s="83">
        <f>C7+C8+C9+C14+C15+C16+C17+C18+C19+C20+C21+C22+C23+C24+C28+C29+C31+C32+C33+C34+C35</f>
        <v>2692723</v>
      </c>
      <c r="D6" s="83">
        <f>D7+D8+D9+D14+D15+D16+D17+D18+D19+D20+D21+D22+D23+D24+D28+D29+D31+D32+D33+D34+D35</f>
        <v>2701566</v>
      </c>
      <c r="E6" s="68">
        <f>IF(C6=D6,"-",D6-C6)</f>
        <v>8843</v>
      </c>
      <c r="F6" s="84">
        <f>IF(C6=0,"-",D6/C6)</f>
        <v>1.0029999999999999</v>
      </c>
    </row>
    <row r="7" spans="1:6" ht="33" customHeight="1" x14ac:dyDescent="0.2">
      <c r="A7" s="92" t="s">
        <v>1</v>
      </c>
      <c r="B7" s="14" t="s">
        <v>116</v>
      </c>
      <c r="C7" s="31">
        <v>372944</v>
      </c>
      <c r="D7" s="13">
        <f>C7</f>
        <v>372944</v>
      </c>
      <c r="E7" s="38" t="str">
        <f t="shared" ref="E7:E66" si="0">IF(C7=D7,"-",D7-C7)</f>
        <v>-</v>
      </c>
      <c r="F7" s="39">
        <f t="shared" ref="F7:F66" si="1">IF(C7=0,"-",D7/C7)</f>
        <v>1</v>
      </c>
    </row>
    <row r="8" spans="1:6" ht="33" customHeight="1" x14ac:dyDescent="0.2">
      <c r="A8" s="92" t="s">
        <v>2</v>
      </c>
      <c r="B8" s="14" t="s">
        <v>117</v>
      </c>
      <c r="C8" s="31">
        <v>162603</v>
      </c>
      <c r="D8" s="13">
        <f>C8</f>
        <v>162603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92" t="s">
        <v>3</v>
      </c>
      <c r="B9" s="14" t="s">
        <v>114</v>
      </c>
      <c r="C9" s="31">
        <v>1394800</v>
      </c>
      <c r="D9" s="13">
        <f>C9+5930</f>
        <v>1400730</v>
      </c>
      <c r="E9" s="38">
        <f t="shared" si="0"/>
        <v>5930</v>
      </c>
      <c r="F9" s="39">
        <f t="shared" si="1"/>
        <v>1.0043</v>
      </c>
    </row>
    <row r="10" spans="1:6" ht="31.5" customHeight="1" x14ac:dyDescent="0.2">
      <c r="A10" s="93" t="s">
        <v>54</v>
      </c>
      <c r="B10" s="45" t="s">
        <v>199</v>
      </c>
      <c r="C10" s="31">
        <v>106344</v>
      </c>
      <c r="D10" s="13">
        <f>C10</f>
        <v>106344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93" t="s">
        <v>139</v>
      </c>
      <c r="B11" s="45" t="s">
        <v>142</v>
      </c>
      <c r="C11" s="31">
        <v>95519</v>
      </c>
      <c r="D11" s="13">
        <f t="shared" ref="D11:D34" si="2">C11</f>
        <v>95519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v>48395</v>
      </c>
      <c r="D12" s="13">
        <f t="shared" si="2"/>
        <v>48395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93" t="s">
        <v>141</v>
      </c>
      <c r="B13" s="45" t="s">
        <v>144</v>
      </c>
      <c r="C13" s="31">
        <v>21530</v>
      </c>
      <c r="D13" s="13">
        <f t="shared" si="2"/>
        <v>21530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v>105383</v>
      </c>
      <c r="D14" s="13">
        <f>C14+2223</f>
        <v>107606</v>
      </c>
      <c r="E14" s="38">
        <f t="shared" si="0"/>
        <v>2223</v>
      </c>
      <c r="F14" s="39">
        <f t="shared" si="1"/>
        <v>1.0210999999999999</v>
      </c>
    </row>
    <row r="15" spans="1:6" ht="33" customHeight="1" x14ac:dyDescent="0.2">
      <c r="A15" s="92" t="s">
        <v>5</v>
      </c>
      <c r="B15" s="14" t="s">
        <v>118</v>
      </c>
      <c r="C15" s="31">
        <v>76217</v>
      </c>
      <c r="D15" s="13">
        <f t="shared" si="2"/>
        <v>76217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92" t="s">
        <v>6</v>
      </c>
      <c r="B16" s="14" t="s">
        <v>124</v>
      </c>
      <c r="C16" s="31">
        <v>46098</v>
      </c>
      <c r="D16" s="13">
        <f t="shared" si="2"/>
        <v>46098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92" t="s">
        <v>7</v>
      </c>
      <c r="B17" s="14" t="s">
        <v>123</v>
      </c>
      <c r="C17" s="31">
        <v>24113</v>
      </c>
      <c r="D17" s="13">
        <f t="shared" si="2"/>
        <v>24113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92" t="s">
        <v>8</v>
      </c>
      <c r="B18" s="14" t="s">
        <v>119</v>
      </c>
      <c r="C18" s="31">
        <v>80845</v>
      </c>
      <c r="D18" s="13">
        <f t="shared" si="2"/>
        <v>80845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92" t="s">
        <v>9</v>
      </c>
      <c r="B19" s="14" t="s">
        <v>120</v>
      </c>
      <c r="C19" s="31">
        <v>21295</v>
      </c>
      <c r="D19" s="13">
        <f t="shared" si="2"/>
        <v>21295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92" t="s">
        <v>10</v>
      </c>
      <c r="B20" s="14" t="s">
        <v>125</v>
      </c>
      <c r="C20" s="31">
        <v>2925</v>
      </c>
      <c r="D20" s="13">
        <f t="shared" si="2"/>
        <v>2925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v>6704</v>
      </c>
      <c r="D21" s="13">
        <f t="shared" si="2"/>
        <v>6704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92" t="s">
        <v>12</v>
      </c>
      <c r="B22" s="14" t="s">
        <v>161</v>
      </c>
      <c r="C22" s="31">
        <v>66785</v>
      </c>
      <c r="D22" s="13">
        <f t="shared" si="2"/>
        <v>66785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92" t="s">
        <v>13</v>
      </c>
      <c r="B23" s="14" t="s">
        <v>145</v>
      </c>
      <c r="C23" s="31">
        <v>34984</v>
      </c>
      <c r="D23" s="13">
        <f t="shared" si="2"/>
        <v>34984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94" t="s">
        <v>14</v>
      </c>
      <c r="B24" s="30" t="s">
        <v>177</v>
      </c>
      <c r="C24" s="31">
        <v>281372</v>
      </c>
      <c r="D24" s="13">
        <f t="shared" si="2"/>
        <v>281372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v>280702</v>
      </c>
      <c r="D25" s="13">
        <f t="shared" si="2"/>
        <v>280702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v>520</v>
      </c>
      <c r="D26" s="13">
        <f t="shared" si="2"/>
        <v>520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v>150</v>
      </c>
      <c r="D27" s="13">
        <f t="shared" si="2"/>
        <v>150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v>0</v>
      </c>
      <c r="D29" s="13">
        <f t="shared" si="2"/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v>15057</v>
      </c>
      <c r="D32" s="13">
        <f t="shared" si="2"/>
        <v>15057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178</v>
      </c>
      <c r="B33" s="16" t="s">
        <v>179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v>208</v>
      </c>
      <c r="D34" s="13">
        <f t="shared" si="2"/>
        <v>208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196</v>
      </c>
      <c r="B35" s="16" t="s">
        <v>197</v>
      </c>
      <c r="C35" s="31">
        <v>390</v>
      </c>
      <c r="D35" s="13">
        <f>C35+690</f>
        <v>1080</v>
      </c>
      <c r="E35" s="38">
        <f>IF(C35=D35,"-",D35-C35)</f>
        <v>690</v>
      </c>
      <c r="F35" s="39">
        <f>IF(C35=0,"-",D35/C35)</f>
        <v>2.7692000000000001</v>
      </c>
    </row>
    <row r="36" spans="1:6" s="2" customFormat="1" ht="31.5" customHeight="1" x14ac:dyDescent="0.2">
      <c r="A36" s="96" t="s">
        <v>56</v>
      </c>
      <c r="B36" s="17" t="s">
        <v>57</v>
      </c>
      <c r="C36" s="32">
        <v>0</v>
      </c>
      <c r="D36" s="37">
        <f>C36</f>
        <v>0</v>
      </c>
      <c r="E36" s="7" t="str">
        <f t="shared" si="0"/>
        <v>-</v>
      </c>
      <c r="F36" s="40" t="str">
        <f t="shared" si="1"/>
        <v>-</v>
      </c>
    </row>
    <row r="37" spans="1:6" s="2" customFormat="1" ht="31.5" customHeight="1" x14ac:dyDescent="0.2">
      <c r="A37" s="96" t="s">
        <v>55</v>
      </c>
      <c r="B37" s="17" t="s">
        <v>58</v>
      </c>
      <c r="C37" s="32">
        <v>96531</v>
      </c>
      <c r="D37" s="37">
        <f>C37</f>
        <v>96531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2">
        <v>21132</v>
      </c>
      <c r="D38" s="37">
        <f>C38</f>
        <v>21132</v>
      </c>
      <c r="E38" s="7" t="str">
        <f t="shared" si="0"/>
        <v>-</v>
      </c>
      <c r="F38" s="40">
        <f t="shared" si="1"/>
        <v>1</v>
      </c>
    </row>
    <row r="39" spans="1:6" s="2" customFormat="1" ht="42.75" customHeight="1" x14ac:dyDescent="0.2">
      <c r="A39" s="96" t="s">
        <v>153</v>
      </c>
      <c r="B39" s="17" t="s">
        <v>154</v>
      </c>
      <c r="C39" s="32">
        <f>C11+C13+C24+C30</f>
        <v>398421</v>
      </c>
      <c r="D39" s="32">
        <f>D11+D13+D24+D30</f>
        <v>398421</v>
      </c>
      <c r="E39" s="7" t="str">
        <f t="shared" si="0"/>
        <v>-</v>
      </c>
      <c r="F39" s="40">
        <f t="shared" si="1"/>
        <v>1</v>
      </c>
    </row>
    <row r="40" spans="1:6" ht="30" customHeight="1" x14ac:dyDescent="0.2">
      <c r="A40" s="97" t="s">
        <v>130</v>
      </c>
      <c r="B40" s="85" t="s">
        <v>183</v>
      </c>
      <c r="C40" s="71">
        <f>C41+C42+C43+C51+C53+C59+C60+C58</f>
        <v>20119</v>
      </c>
      <c r="D40" s="71">
        <f>D41+D42+D43+D51+D53+D59+D60+D58</f>
        <v>20119</v>
      </c>
      <c r="E40" s="68" t="str">
        <f t="shared" si="0"/>
        <v>-</v>
      </c>
      <c r="F40" s="86">
        <f t="shared" si="1"/>
        <v>1</v>
      </c>
    </row>
    <row r="41" spans="1:6" ht="28.5" customHeight="1" x14ac:dyDescent="0.2">
      <c r="A41" s="95" t="s">
        <v>16</v>
      </c>
      <c r="B41" s="18" t="s">
        <v>17</v>
      </c>
      <c r="C41" s="31">
        <v>629</v>
      </c>
      <c r="D41" s="33">
        <f>C41</f>
        <v>629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95" t="s">
        <v>18</v>
      </c>
      <c r="B42" s="18" t="s">
        <v>19</v>
      </c>
      <c r="C42" s="31">
        <v>2285</v>
      </c>
      <c r="D42" s="33">
        <f t="shared" ref="D42:D60" si="3">C42</f>
        <v>2285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20</v>
      </c>
      <c r="B43" s="19" t="s">
        <v>184</v>
      </c>
      <c r="C43" s="33">
        <f>C44+C46+C47+C48+C49+C50</f>
        <v>141</v>
      </c>
      <c r="D43" s="33">
        <f>D44+D46+D47+D48+D49+D50</f>
        <v>141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8" t="s">
        <v>37</v>
      </c>
      <c r="B44" s="46" t="s">
        <v>30</v>
      </c>
      <c r="C44" s="31">
        <v>31</v>
      </c>
      <c r="D44" s="33">
        <f t="shared" si="3"/>
        <v>31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98" t="s">
        <v>38</v>
      </c>
      <c r="B45" s="47" t="s">
        <v>31</v>
      </c>
      <c r="C45" s="31">
        <v>28</v>
      </c>
      <c r="D45" s="33">
        <f t="shared" si="3"/>
        <v>28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39</v>
      </c>
      <c r="B46" s="46" t="s">
        <v>32</v>
      </c>
      <c r="C46" s="31">
        <v>11</v>
      </c>
      <c r="D46" s="33">
        <f t="shared" si="3"/>
        <v>11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40</v>
      </c>
      <c r="B47" s="46" t="s">
        <v>33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98" t="s">
        <v>41</v>
      </c>
      <c r="B48" s="46" t="s">
        <v>34</v>
      </c>
      <c r="C48" s="31">
        <v>0</v>
      </c>
      <c r="D48" s="33">
        <f t="shared" si="3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42</v>
      </c>
      <c r="B49" s="46" t="s">
        <v>35</v>
      </c>
      <c r="C49" s="31">
        <v>96</v>
      </c>
      <c r="D49" s="33">
        <f t="shared" si="3"/>
        <v>96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98" t="s">
        <v>43</v>
      </c>
      <c r="B50" s="46" t="s">
        <v>36</v>
      </c>
      <c r="C50" s="31">
        <v>3</v>
      </c>
      <c r="D50" s="33">
        <f t="shared" si="3"/>
        <v>3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5" t="s">
        <v>21</v>
      </c>
      <c r="B51" s="18" t="s">
        <v>155</v>
      </c>
      <c r="C51" s="31">
        <v>12324</v>
      </c>
      <c r="D51" s="33">
        <f t="shared" si="3"/>
        <v>12324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8" t="s">
        <v>156</v>
      </c>
      <c r="B52" s="46" t="s">
        <v>157</v>
      </c>
      <c r="C52" s="31">
        <v>30</v>
      </c>
      <c r="D52" s="33">
        <f t="shared" si="3"/>
        <v>30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95" t="s">
        <v>22</v>
      </c>
      <c r="B53" s="19" t="s">
        <v>182</v>
      </c>
      <c r="C53" s="29">
        <f>C54+C55+C56+C57</f>
        <v>2749</v>
      </c>
      <c r="D53" s="29">
        <f>D54+D55+D56+D57</f>
        <v>2749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8" t="s">
        <v>48</v>
      </c>
      <c r="B54" s="46" t="s">
        <v>44</v>
      </c>
      <c r="C54" s="31">
        <v>2117</v>
      </c>
      <c r="D54" s="33">
        <f t="shared" si="3"/>
        <v>2117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49</v>
      </c>
      <c r="B55" s="46" t="s">
        <v>45</v>
      </c>
      <c r="C55" s="31">
        <v>302</v>
      </c>
      <c r="D55" s="33">
        <f t="shared" si="3"/>
        <v>302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50</v>
      </c>
      <c r="B56" s="46" t="s">
        <v>46</v>
      </c>
      <c r="C56" s="31">
        <v>0</v>
      </c>
      <c r="D56" s="33">
        <f t="shared" si="3"/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98" t="s">
        <v>51</v>
      </c>
      <c r="B57" s="46" t="s">
        <v>47</v>
      </c>
      <c r="C57" s="31">
        <v>330</v>
      </c>
      <c r="D57" s="33">
        <f t="shared" si="3"/>
        <v>330</v>
      </c>
      <c r="E57" s="38" t="str">
        <f t="shared" si="0"/>
        <v>-</v>
      </c>
      <c r="F57" s="39">
        <f t="shared" si="1"/>
        <v>1</v>
      </c>
    </row>
    <row r="58" spans="1:6" ht="28.5" customHeight="1" x14ac:dyDescent="0.2">
      <c r="A58" s="95" t="s">
        <v>23</v>
      </c>
      <c r="B58" s="18" t="s">
        <v>24</v>
      </c>
      <c r="C58" s="31">
        <v>0</v>
      </c>
      <c r="D58" s="33">
        <f t="shared" si="3"/>
        <v>0</v>
      </c>
      <c r="E58" s="38" t="str">
        <f t="shared" si="0"/>
        <v>-</v>
      </c>
      <c r="F58" s="39" t="str">
        <f t="shared" si="1"/>
        <v>-</v>
      </c>
    </row>
    <row r="59" spans="1:6" ht="28.5" customHeight="1" x14ac:dyDescent="0.2">
      <c r="A59" s="95" t="s">
        <v>25</v>
      </c>
      <c r="B59" s="18" t="s">
        <v>158</v>
      </c>
      <c r="C59" s="31">
        <v>1822</v>
      </c>
      <c r="D59" s="33">
        <f t="shared" si="3"/>
        <v>1822</v>
      </c>
      <c r="E59" s="38" t="str">
        <f t="shared" si="0"/>
        <v>-</v>
      </c>
      <c r="F59" s="41">
        <f t="shared" si="1"/>
        <v>1</v>
      </c>
    </row>
    <row r="60" spans="1:6" ht="28.5" customHeight="1" x14ac:dyDescent="0.2">
      <c r="A60" s="95" t="s">
        <v>26</v>
      </c>
      <c r="B60" s="18" t="s">
        <v>27</v>
      </c>
      <c r="C60" s="31">
        <v>169</v>
      </c>
      <c r="D60" s="33">
        <f t="shared" si="3"/>
        <v>169</v>
      </c>
      <c r="E60" s="38" t="str">
        <f t="shared" si="0"/>
        <v>-</v>
      </c>
      <c r="F60" s="39">
        <f t="shared" si="1"/>
        <v>1</v>
      </c>
    </row>
    <row r="61" spans="1:6" ht="30" customHeight="1" x14ac:dyDescent="0.2">
      <c r="A61" s="99" t="s">
        <v>132</v>
      </c>
      <c r="B61" s="77" t="s">
        <v>159</v>
      </c>
      <c r="C61" s="87">
        <f>C62+C63+C64+C65</f>
        <v>946</v>
      </c>
      <c r="D61" s="87">
        <f>D62+D63+D64+D65</f>
        <v>946</v>
      </c>
      <c r="E61" s="68" t="str">
        <f t="shared" si="0"/>
        <v>-</v>
      </c>
      <c r="F61" s="88">
        <f t="shared" si="1"/>
        <v>1</v>
      </c>
    </row>
    <row r="62" spans="1:6" ht="42" customHeight="1" x14ac:dyDescent="0.2">
      <c r="A62" s="95" t="s">
        <v>99</v>
      </c>
      <c r="B62" s="18" t="s">
        <v>112</v>
      </c>
      <c r="C62" s="31">
        <v>0</v>
      </c>
      <c r="D62" s="33">
        <f>C62</f>
        <v>0</v>
      </c>
      <c r="E62" s="29" t="str">
        <f t="shared" si="0"/>
        <v>-</v>
      </c>
      <c r="F62" s="39" t="str">
        <f t="shared" si="1"/>
        <v>-</v>
      </c>
    </row>
    <row r="63" spans="1:6" ht="31.5" customHeight="1" x14ac:dyDescent="0.2">
      <c r="A63" s="95" t="s">
        <v>28</v>
      </c>
      <c r="B63" s="18" t="s">
        <v>53</v>
      </c>
      <c r="C63" s="31">
        <v>209</v>
      </c>
      <c r="D63" s="33">
        <f>C63</f>
        <v>209</v>
      </c>
      <c r="E63" s="29" t="str">
        <f t="shared" si="0"/>
        <v>-</v>
      </c>
      <c r="F63" s="39">
        <f t="shared" si="1"/>
        <v>1</v>
      </c>
    </row>
    <row r="64" spans="1:6" ht="31.5" customHeight="1" x14ac:dyDescent="0.2">
      <c r="A64" s="95" t="s">
        <v>29</v>
      </c>
      <c r="B64" s="18" t="s">
        <v>101</v>
      </c>
      <c r="C64" s="31">
        <v>0</v>
      </c>
      <c r="D64" s="33">
        <f>C64</f>
        <v>0</v>
      </c>
      <c r="E64" s="29" t="str">
        <f t="shared" si="0"/>
        <v>-</v>
      </c>
      <c r="F64" s="39" t="str">
        <f t="shared" si="1"/>
        <v>-</v>
      </c>
    </row>
    <row r="65" spans="1:6" ht="31.5" customHeight="1" x14ac:dyDescent="0.2">
      <c r="A65" s="95" t="s">
        <v>100</v>
      </c>
      <c r="B65" s="18" t="s">
        <v>102</v>
      </c>
      <c r="C65" s="31">
        <v>737</v>
      </c>
      <c r="D65" s="33">
        <f>C65</f>
        <v>737</v>
      </c>
      <c r="E65" s="29" t="str">
        <f t="shared" si="0"/>
        <v>-</v>
      </c>
      <c r="F65" s="39">
        <f t="shared" si="1"/>
        <v>1</v>
      </c>
    </row>
    <row r="66" spans="1:6" ht="32.25" customHeight="1" x14ac:dyDescent="0.2">
      <c r="A66" s="99" t="s">
        <v>134</v>
      </c>
      <c r="B66" s="77" t="s">
        <v>113</v>
      </c>
      <c r="C66" s="87">
        <v>45</v>
      </c>
      <c r="D66" s="87">
        <f>C66</f>
        <v>45</v>
      </c>
      <c r="E66" s="68" t="str">
        <f t="shared" si="0"/>
        <v>-</v>
      </c>
      <c r="F66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pageSetUpPr fitToPage="1"/>
  </sheetPr>
  <dimension ref="A1:F66"/>
  <sheetViews>
    <sheetView showGridLines="0" view="pageBreakPreview" zoomScale="55" zoomScaleNormal="70" zoomScaleSheetLayoutView="55" workbookViewId="0">
      <pane xSplit="2" ySplit="6" topLeftCell="C9" activePane="bottomRight" state="frozen"/>
      <selection activeCell="J7" sqref="J7"/>
      <selection pane="topRight" activeCell="J7" sqref="J7"/>
      <selection pane="bottomLeft" activeCell="J7" sqref="J7"/>
      <selection pane="bottomRight" activeCell="J7" sqref="J7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2.75" customHeight="1" x14ac:dyDescent="0.2">
      <c r="A1" s="112" t="s">
        <v>202</v>
      </c>
      <c r="B1" s="112"/>
      <c r="C1" s="112"/>
      <c r="D1" s="112"/>
      <c r="E1" s="112"/>
      <c r="F1" s="112"/>
    </row>
    <row r="2" spans="1:6" s="22" customFormat="1" ht="33" customHeight="1" x14ac:dyDescent="0.2">
      <c r="A2" s="54" t="s">
        <v>73</v>
      </c>
      <c r="B2" s="54"/>
      <c r="C2" s="55"/>
    </row>
    <row r="3" spans="1:6" ht="33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195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198</v>
      </c>
      <c r="C6" s="83">
        <f>C7+C8+C9+C14+C15+C16+C17+C18+C19+C20+C21+C22+C23+C24+C28+C29+C31+C32+C33+C34+C35</f>
        <v>6961023</v>
      </c>
      <c r="D6" s="83">
        <f>D7+D8+D9+D14+D15+D16+D17+D18+D19+D20+D21+D22+D23+D24+D28+D29+D31+D32+D33+D34+D35</f>
        <v>6981983</v>
      </c>
      <c r="E6" s="68">
        <f>IF(C6=D6,"-",D6-C6)</f>
        <v>20960</v>
      </c>
      <c r="F6" s="84">
        <f>IF(C6=0,"-",D6/C6)</f>
        <v>1.0029999999999999</v>
      </c>
    </row>
    <row r="7" spans="1:6" ht="33" customHeight="1" x14ac:dyDescent="0.2">
      <c r="A7" s="92" t="s">
        <v>1</v>
      </c>
      <c r="B7" s="14" t="s">
        <v>116</v>
      </c>
      <c r="C7" s="31">
        <v>955000</v>
      </c>
      <c r="D7" s="13">
        <f>C7</f>
        <v>955000</v>
      </c>
      <c r="E7" s="38" t="str">
        <f t="shared" ref="E7:E66" si="0">IF(C7=D7,"-",D7-C7)</f>
        <v>-</v>
      </c>
      <c r="F7" s="39">
        <f t="shared" ref="F7:F66" si="1">IF(C7=0,"-",D7/C7)</f>
        <v>1</v>
      </c>
    </row>
    <row r="8" spans="1:6" ht="33" customHeight="1" x14ac:dyDescent="0.2">
      <c r="A8" s="92" t="s">
        <v>2</v>
      </c>
      <c r="B8" s="14" t="s">
        <v>117</v>
      </c>
      <c r="C8" s="31">
        <v>438589</v>
      </c>
      <c r="D8" s="13">
        <f>C8</f>
        <v>438589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92" t="s">
        <v>3</v>
      </c>
      <c r="B9" s="14" t="s">
        <v>114</v>
      </c>
      <c r="C9" s="31">
        <v>3565771</v>
      </c>
      <c r="D9" s="13">
        <f>C9+15291</f>
        <v>3581062</v>
      </c>
      <c r="E9" s="38">
        <f t="shared" si="0"/>
        <v>15291</v>
      </c>
      <c r="F9" s="39">
        <f t="shared" si="1"/>
        <v>1.0043</v>
      </c>
    </row>
    <row r="10" spans="1:6" ht="31.5" customHeight="1" x14ac:dyDescent="0.2">
      <c r="A10" s="93" t="s">
        <v>54</v>
      </c>
      <c r="B10" s="45" t="s">
        <v>199</v>
      </c>
      <c r="C10" s="31">
        <v>334279</v>
      </c>
      <c r="D10" s="13">
        <f>C10</f>
        <v>334279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93" t="s">
        <v>139</v>
      </c>
      <c r="B11" s="45" t="s">
        <v>142</v>
      </c>
      <c r="C11" s="31">
        <v>306369</v>
      </c>
      <c r="D11" s="13">
        <f t="shared" ref="D11:D34" si="2">C11</f>
        <v>306369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v>139738</v>
      </c>
      <c r="D12" s="13">
        <f t="shared" si="2"/>
        <v>139738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93" t="s">
        <v>141</v>
      </c>
      <c r="B13" s="45" t="s">
        <v>144</v>
      </c>
      <c r="C13" s="31">
        <v>65734</v>
      </c>
      <c r="D13" s="13">
        <f t="shared" si="2"/>
        <v>65734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v>242367</v>
      </c>
      <c r="D14" s="13">
        <f>C14+2819</f>
        <v>245186</v>
      </c>
      <c r="E14" s="38">
        <f t="shared" si="0"/>
        <v>2819</v>
      </c>
      <c r="F14" s="39">
        <f t="shared" si="1"/>
        <v>1.0116000000000001</v>
      </c>
    </row>
    <row r="15" spans="1:6" ht="33" customHeight="1" x14ac:dyDescent="0.2">
      <c r="A15" s="92" t="s">
        <v>5</v>
      </c>
      <c r="B15" s="14" t="s">
        <v>118</v>
      </c>
      <c r="C15" s="31">
        <v>184351</v>
      </c>
      <c r="D15" s="13">
        <f t="shared" si="2"/>
        <v>184351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92" t="s">
        <v>6</v>
      </c>
      <c r="B16" s="14" t="s">
        <v>124</v>
      </c>
      <c r="C16" s="31">
        <v>90921</v>
      </c>
      <c r="D16" s="13">
        <f t="shared" si="2"/>
        <v>90921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92" t="s">
        <v>7</v>
      </c>
      <c r="B17" s="14" t="s">
        <v>123</v>
      </c>
      <c r="C17" s="31">
        <v>65162</v>
      </c>
      <c r="D17" s="13">
        <f t="shared" si="2"/>
        <v>65162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92" t="s">
        <v>8</v>
      </c>
      <c r="B18" s="14" t="s">
        <v>119</v>
      </c>
      <c r="C18" s="31">
        <v>153815</v>
      </c>
      <c r="D18" s="13">
        <f t="shared" si="2"/>
        <v>153815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92" t="s">
        <v>9</v>
      </c>
      <c r="B19" s="14" t="s">
        <v>120</v>
      </c>
      <c r="C19" s="31">
        <v>66000</v>
      </c>
      <c r="D19" s="13">
        <f t="shared" si="2"/>
        <v>66000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92" t="s">
        <v>10</v>
      </c>
      <c r="B20" s="14" t="s">
        <v>125</v>
      </c>
      <c r="C20" s="31">
        <v>3809</v>
      </c>
      <c r="D20" s="13">
        <f t="shared" si="2"/>
        <v>3809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v>19263</v>
      </c>
      <c r="D21" s="13">
        <f t="shared" si="2"/>
        <v>19263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92" t="s">
        <v>12</v>
      </c>
      <c r="B22" s="14" t="s">
        <v>161</v>
      </c>
      <c r="C22" s="31">
        <v>220254</v>
      </c>
      <c r="D22" s="13">
        <f t="shared" si="2"/>
        <v>220254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92" t="s">
        <v>13</v>
      </c>
      <c r="B23" s="14" t="s">
        <v>145</v>
      </c>
      <c r="C23" s="31">
        <v>92161</v>
      </c>
      <c r="D23" s="13">
        <f t="shared" si="2"/>
        <v>92161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94" t="s">
        <v>14</v>
      </c>
      <c r="B24" s="30" t="s">
        <v>177</v>
      </c>
      <c r="C24" s="31">
        <v>811070</v>
      </c>
      <c r="D24" s="13">
        <f t="shared" si="2"/>
        <v>811070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v>808820</v>
      </c>
      <c r="D25" s="13">
        <f t="shared" si="2"/>
        <v>808820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v>1500</v>
      </c>
      <c r="D26" s="13">
        <f t="shared" si="2"/>
        <v>1500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v>750</v>
      </c>
      <c r="D27" s="13">
        <f t="shared" si="2"/>
        <v>750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v>0</v>
      </c>
      <c r="D29" s="13">
        <f t="shared" si="2"/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v>46310</v>
      </c>
      <c r="D32" s="13">
        <f t="shared" si="2"/>
        <v>46310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178</v>
      </c>
      <c r="B33" s="16" t="s">
        <v>179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v>5000</v>
      </c>
      <c r="D34" s="13">
        <f t="shared" si="2"/>
        <v>5000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196</v>
      </c>
      <c r="B35" s="16" t="s">
        <v>197</v>
      </c>
      <c r="C35" s="31">
        <v>1180</v>
      </c>
      <c r="D35" s="13">
        <f>C35+2850</f>
        <v>4030</v>
      </c>
      <c r="E35" s="38">
        <f>IF(C35=D35,"-",D35-C35)</f>
        <v>2850</v>
      </c>
      <c r="F35" s="39">
        <f>IF(C35=0,"-",D35/C35)</f>
        <v>3.4152999999999998</v>
      </c>
    </row>
    <row r="36" spans="1:6" s="2" customFormat="1" ht="31.5" customHeight="1" x14ac:dyDescent="0.2">
      <c r="A36" s="96" t="s">
        <v>56</v>
      </c>
      <c r="B36" s="17" t="s">
        <v>57</v>
      </c>
      <c r="C36" s="32">
        <v>306</v>
      </c>
      <c r="D36" s="37">
        <f>C36</f>
        <v>306</v>
      </c>
      <c r="E36" s="7" t="str">
        <f t="shared" si="0"/>
        <v>-</v>
      </c>
      <c r="F36" s="40">
        <f t="shared" si="1"/>
        <v>1</v>
      </c>
    </row>
    <row r="37" spans="1:6" s="2" customFormat="1" ht="31.5" customHeight="1" x14ac:dyDescent="0.2">
      <c r="A37" s="96" t="s">
        <v>55</v>
      </c>
      <c r="B37" s="17" t="s">
        <v>58</v>
      </c>
      <c r="C37" s="32">
        <v>151671</v>
      </c>
      <c r="D37" s="37">
        <f>C37</f>
        <v>151671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2">
        <v>50651</v>
      </c>
      <c r="D38" s="37">
        <f>C38</f>
        <v>50651</v>
      </c>
      <c r="E38" s="7" t="str">
        <f t="shared" si="0"/>
        <v>-</v>
      </c>
      <c r="F38" s="40">
        <f t="shared" si="1"/>
        <v>1</v>
      </c>
    </row>
    <row r="39" spans="1:6" s="2" customFormat="1" ht="42.75" customHeight="1" x14ac:dyDescent="0.2">
      <c r="A39" s="96" t="s">
        <v>153</v>
      </c>
      <c r="B39" s="17" t="s">
        <v>154</v>
      </c>
      <c r="C39" s="32">
        <f>C11+C13+C24+C30</f>
        <v>1183173</v>
      </c>
      <c r="D39" s="32">
        <f>D11+D13+D24+D30</f>
        <v>1183173</v>
      </c>
      <c r="E39" s="7" t="str">
        <f t="shared" si="0"/>
        <v>-</v>
      </c>
      <c r="F39" s="40">
        <f t="shared" si="1"/>
        <v>1</v>
      </c>
    </row>
    <row r="40" spans="1:6" ht="30" customHeight="1" x14ac:dyDescent="0.2">
      <c r="A40" s="97" t="s">
        <v>130</v>
      </c>
      <c r="B40" s="85" t="s">
        <v>183</v>
      </c>
      <c r="C40" s="71">
        <f>C41+C42+C43+C51+C53+C59+C60+C58</f>
        <v>45177</v>
      </c>
      <c r="D40" s="71">
        <f>D41+D42+D43+D51+D53+D59+D60+D58</f>
        <v>45177</v>
      </c>
      <c r="E40" s="68" t="str">
        <f t="shared" si="0"/>
        <v>-</v>
      </c>
      <c r="F40" s="86">
        <f t="shared" si="1"/>
        <v>1</v>
      </c>
    </row>
    <row r="41" spans="1:6" ht="28.5" customHeight="1" x14ac:dyDescent="0.2">
      <c r="A41" s="95" t="s">
        <v>16</v>
      </c>
      <c r="B41" s="18" t="s">
        <v>17</v>
      </c>
      <c r="C41" s="31">
        <v>2414</v>
      </c>
      <c r="D41" s="33">
        <f>C41</f>
        <v>2414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95" t="s">
        <v>18</v>
      </c>
      <c r="B42" s="18" t="s">
        <v>19</v>
      </c>
      <c r="C42" s="31">
        <v>8149</v>
      </c>
      <c r="D42" s="33">
        <f t="shared" ref="D42:D60" si="3">C42</f>
        <v>8149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20</v>
      </c>
      <c r="B43" s="19" t="s">
        <v>184</v>
      </c>
      <c r="C43" s="33">
        <f>C44+C46+C47+C48+C49+C50</f>
        <v>567</v>
      </c>
      <c r="D43" s="33">
        <f>D44+D46+D47+D48+D49+D50</f>
        <v>567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8" t="s">
        <v>37</v>
      </c>
      <c r="B44" s="46" t="s">
        <v>30</v>
      </c>
      <c r="C44" s="31">
        <v>53</v>
      </c>
      <c r="D44" s="33">
        <f t="shared" si="3"/>
        <v>53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98" t="s">
        <v>38</v>
      </c>
      <c r="B45" s="47" t="s">
        <v>31</v>
      </c>
      <c r="C45" s="31">
        <v>53</v>
      </c>
      <c r="D45" s="33">
        <f t="shared" si="3"/>
        <v>53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39</v>
      </c>
      <c r="B46" s="46" t="s">
        <v>32</v>
      </c>
      <c r="C46" s="31">
        <v>246</v>
      </c>
      <c r="D46" s="33">
        <f t="shared" si="3"/>
        <v>246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40</v>
      </c>
      <c r="B47" s="46" t="s">
        <v>33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98" t="s">
        <v>41</v>
      </c>
      <c r="B48" s="46" t="s">
        <v>34</v>
      </c>
      <c r="C48" s="31">
        <v>0</v>
      </c>
      <c r="D48" s="33">
        <f t="shared" si="3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42</v>
      </c>
      <c r="B49" s="46" t="s">
        <v>35</v>
      </c>
      <c r="C49" s="31">
        <v>262</v>
      </c>
      <c r="D49" s="33">
        <f t="shared" si="3"/>
        <v>262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98" t="s">
        <v>43</v>
      </c>
      <c r="B50" s="46" t="s">
        <v>36</v>
      </c>
      <c r="C50" s="31">
        <v>6</v>
      </c>
      <c r="D50" s="33">
        <f t="shared" si="3"/>
        <v>6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5" t="s">
        <v>21</v>
      </c>
      <c r="B51" s="18" t="s">
        <v>155</v>
      </c>
      <c r="C51" s="31">
        <v>24868</v>
      </c>
      <c r="D51" s="33">
        <f t="shared" si="3"/>
        <v>24868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8" t="s">
        <v>156</v>
      </c>
      <c r="B52" s="46" t="s">
        <v>157</v>
      </c>
      <c r="C52" s="31">
        <v>123</v>
      </c>
      <c r="D52" s="33">
        <f t="shared" si="3"/>
        <v>123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95" t="s">
        <v>22</v>
      </c>
      <c r="B53" s="19" t="s">
        <v>182</v>
      </c>
      <c r="C53" s="29">
        <f>C54+C55+C56+C57</f>
        <v>5576</v>
      </c>
      <c r="D53" s="29">
        <f>D54+D55+D56+D57</f>
        <v>5576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8" t="s">
        <v>48</v>
      </c>
      <c r="B54" s="46" t="s">
        <v>44</v>
      </c>
      <c r="C54" s="31">
        <v>4270</v>
      </c>
      <c r="D54" s="33">
        <f t="shared" si="3"/>
        <v>4270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49</v>
      </c>
      <c r="B55" s="46" t="s">
        <v>45</v>
      </c>
      <c r="C55" s="31">
        <v>609</v>
      </c>
      <c r="D55" s="33">
        <f t="shared" si="3"/>
        <v>609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50</v>
      </c>
      <c r="B56" s="46" t="s">
        <v>46</v>
      </c>
      <c r="C56" s="31">
        <v>0</v>
      </c>
      <c r="D56" s="33">
        <f t="shared" si="3"/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98" t="s">
        <v>51</v>
      </c>
      <c r="B57" s="46" t="s">
        <v>47</v>
      </c>
      <c r="C57" s="31">
        <v>697</v>
      </c>
      <c r="D57" s="33">
        <f t="shared" si="3"/>
        <v>697</v>
      </c>
      <c r="E57" s="38" t="str">
        <f t="shared" si="0"/>
        <v>-</v>
      </c>
      <c r="F57" s="39">
        <f t="shared" si="1"/>
        <v>1</v>
      </c>
    </row>
    <row r="58" spans="1:6" ht="28.5" customHeight="1" x14ac:dyDescent="0.2">
      <c r="A58" s="95" t="s">
        <v>23</v>
      </c>
      <c r="B58" s="18" t="s">
        <v>24</v>
      </c>
      <c r="C58" s="31">
        <v>0</v>
      </c>
      <c r="D58" s="33">
        <f t="shared" si="3"/>
        <v>0</v>
      </c>
      <c r="E58" s="38" t="str">
        <f t="shared" si="0"/>
        <v>-</v>
      </c>
      <c r="F58" s="39" t="str">
        <f t="shared" si="1"/>
        <v>-</v>
      </c>
    </row>
    <row r="59" spans="1:6" ht="28.5" customHeight="1" x14ac:dyDescent="0.2">
      <c r="A59" s="95" t="s">
        <v>25</v>
      </c>
      <c r="B59" s="18" t="s">
        <v>158</v>
      </c>
      <c r="C59" s="31">
        <v>3073</v>
      </c>
      <c r="D59" s="33">
        <f t="shared" si="3"/>
        <v>3073</v>
      </c>
      <c r="E59" s="38" t="str">
        <f t="shared" si="0"/>
        <v>-</v>
      </c>
      <c r="F59" s="41">
        <f t="shared" si="1"/>
        <v>1</v>
      </c>
    </row>
    <row r="60" spans="1:6" ht="28.5" customHeight="1" x14ac:dyDescent="0.2">
      <c r="A60" s="95" t="s">
        <v>26</v>
      </c>
      <c r="B60" s="18" t="s">
        <v>27</v>
      </c>
      <c r="C60" s="31">
        <v>530</v>
      </c>
      <c r="D60" s="33">
        <f t="shared" si="3"/>
        <v>530</v>
      </c>
      <c r="E60" s="38" t="str">
        <f t="shared" si="0"/>
        <v>-</v>
      </c>
      <c r="F60" s="39">
        <f t="shared" si="1"/>
        <v>1</v>
      </c>
    </row>
    <row r="61" spans="1:6" ht="30" customHeight="1" x14ac:dyDescent="0.2">
      <c r="A61" s="99" t="s">
        <v>132</v>
      </c>
      <c r="B61" s="77" t="s">
        <v>159</v>
      </c>
      <c r="C61" s="87">
        <f>C62+C63+C64+C65</f>
        <v>19850</v>
      </c>
      <c r="D61" s="87">
        <f>D62+D63+D64+D65</f>
        <v>19850</v>
      </c>
      <c r="E61" s="68" t="str">
        <f t="shared" si="0"/>
        <v>-</v>
      </c>
      <c r="F61" s="88">
        <f t="shared" si="1"/>
        <v>1</v>
      </c>
    </row>
    <row r="62" spans="1:6" ht="42" customHeight="1" x14ac:dyDescent="0.2">
      <c r="A62" s="95" t="s">
        <v>99</v>
      </c>
      <c r="B62" s="18" t="s">
        <v>112</v>
      </c>
      <c r="C62" s="31">
        <v>50</v>
      </c>
      <c r="D62" s="33">
        <f>C62</f>
        <v>50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95" t="s">
        <v>28</v>
      </c>
      <c r="B63" s="18" t="s">
        <v>53</v>
      </c>
      <c r="C63" s="31">
        <v>18600</v>
      </c>
      <c r="D63" s="33">
        <f>C63</f>
        <v>18600</v>
      </c>
      <c r="E63" s="29" t="str">
        <f t="shared" si="0"/>
        <v>-</v>
      </c>
      <c r="F63" s="39">
        <f t="shared" si="1"/>
        <v>1</v>
      </c>
    </row>
    <row r="64" spans="1:6" ht="31.5" customHeight="1" x14ac:dyDescent="0.2">
      <c r="A64" s="95" t="s">
        <v>29</v>
      </c>
      <c r="B64" s="18" t="s">
        <v>101</v>
      </c>
      <c r="C64" s="31">
        <v>0</v>
      </c>
      <c r="D64" s="33">
        <f>C64</f>
        <v>0</v>
      </c>
      <c r="E64" s="29" t="str">
        <f t="shared" si="0"/>
        <v>-</v>
      </c>
      <c r="F64" s="39" t="str">
        <f t="shared" si="1"/>
        <v>-</v>
      </c>
    </row>
    <row r="65" spans="1:6" ht="31.5" customHeight="1" x14ac:dyDescent="0.2">
      <c r="A65" s="95" t="s">
        <v>100</v>
      </c>
      <c r="B65" s="18" t="s">
        <v>102</v>
      </c>
      <c r="C65" s="31">
        <v>1200</v>
      </c>
      <c r="D65" s="33">
        <f>C65</f>
        <v>1200</v>
      </c>
      <c r="E65" s="29" t="str">
        <f t="shared" si="0"/>
        <v>-</v>
      </c>
      <c r="F65" s="39">
        <f t="shared" si="1"/>
        <v>1</v>
      </c>
    </row>
    <row r="66" spans="1:6" ht="32.25" customHeight="1" x14ac:dyDescent="0.2">
      <c r="A66" s="99" t="s">
        <v>134</v>
      </c>
      <c r="B66" s="77" t="s">
        <v>113</v>
      </c>
      <c r="C66" s="87">
        <v>3200</v>
      </c>
      <c r="D66" s="87">
        <f>C66</f>
        <v>3200</v>
      </c>
      <c r="E66" s="68" t="str">
        <f t="shared" si="0"/>
        <v>-</v>
      </c>
      <c r="F66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pageSetUpPr fitToPage="1"/>
  </sheetPr>
  <dimension ref="A1:F66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J7" sqref="J7"/>
      <selection pane="topRight" activeCell="J7" sqref="J7"/>
      <selection pane="bottomLeft" activeCell="J7" sqref="J7"/>
      <selection pane="bottomRight" activeCell="J7" sqref="J7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2.75" customHeight="1" x14ac:dyDescent="0.2">
      <c r="A1" s="112" t="s">
        <v>202</v>
      </c>
      <c r="B1" s="112"/>
      <c r="C1" s="112"/>
      <c r="D1" s="112"/>
      <c r="E1" s="112"/>
      <c r="F1" s="112"/>
    </row>
    <row r="2" spans="1:6" s="22" customFormat="1" ht="33" customHeight="1" x14ac:dyDescent="0.2">
      <c r="A2" s="54" t="s">
        <v>74</v>
      </c>
      <c r="B2" s="54"/>
      <c r="C2" s="55"/>
    </row>
    <row r="3" spans="1:6" ht="33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195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198</v>
      </c>
      <c r="C6" s="83">
        <f>C7+C8+C9+C14+C15+C16+C17+C18+C19+C20+C21+C22+C23+C24+C28+C29+C31+C32+C33+C34+C35</f>
        <v>3358332</v>
      </c>
      <c r="D6" s="83">
        <f>D7+D8+D9+D14+D15+D16+D17+D18+D19+D20+D21+D22+D23+D24+D28+D29+D31+D32+D33+D34+D35</f>
        <v>3369152</v>
      </c>
      <c r="E6" s="68">
        <f>IF(C6=D6,"-",D6-C6)</f>
        <v>10820</v>
      </c>
      <c r="F6" s="84">
        <f>IF(C6=0,"-",D6/C6)</f>
        <v>1.0029999999999999</v>
      </c>
    </row>
    <row r="7" spans="1:6" ht="33" customHeight="1" x14ac:dyDescent="0.2">
      <c r="A7" s="92" t="s">
        <v>1</v>
      </c>
      <c r="B7" s="14" t="s">
        <v>116</v>
      </c>
      <c r="C7" s="31">
        <v>451771</v>
      </c>
      <c r="D7" s="13">
        <f>C7</f>
        <v>451771</v>
      </c>
      <c r="E7" s="38" t="str">
        <f t="shared" ref="E7:E66" si="0">IF(C7=D7,"-",D7-C7)</f>
        <v>-</v>
      </c>
      <c r="F7" s="39">
        <f t="shared" ref="F7:F66" si="1">IF(C7=0,"-",D7/C7)</f>
        <v>1</v>
      </c>
    </row>
    <row r="8" spans="1:6" ht="33" customHeight="1" x14ac:dyDescent="0.2">
      <c r="A8" s="92" t="s">
        <v>2</v>
      </c>
      <c r="B8" s="14" t="s">
        <v>117</v>
      </c>
      <c r="C8" s="31">
        <v>182800</v>
      </c>
      <c r="D8" s="13">
        <f>C8</f>
        <v>182800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92" t="s">
        <v>3</v>
      </c>
      <c r="B9" s="14" t="s">
        <v>114</v>
      </c>
      <c r="C9" s="31">
        <v>1763532</v>
      </c>
      <c r="D9" s="13">
        <f>C9+7335</f>
        <v>1770867</v>
      </c>
      <c r="E9" s="38">
        <f t="shared" si="0"/>
        <v>7335</v>
      </c>
      <c r="F9" s="39">
        <f t="shared" si="1"/>
        <v>1.0042</v>
      </c>
    </row>
    <row r="10" spans="1:6" ht="31.5" customHeight="1" x14ac:dyDescent="0.2">
      <c r="A10" s="93" t="s">
        <v>54</v>
      </c>
      <c r="B10" s="45" t="s">
        <v>199</v>
      </c>
      <c r="C10" s="31">
        <v>134200</v>
      </c>
      <c r="D10" s="13">
        <f>C10</f>
        <v>134200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93" t="s">
        <v>139</v>
      </c>
      <c r="B11" s="45" t="s">
        <v>142</v>
      </c>
      <c r="C11" s="31">
        <v>121500</v>
      </c>
      <c r="D11" s="13">
        <f t="shared" ref="D11:D34" si="2">C11</f>
        <v>121500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v>61700</v>
      </c>
      <c r="D12" s="13">
        <f t="shared" si="2"/>
        <v>61700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93" t="s">
        <v>141</v>
      </c>
      <c r="B13" s="45" t="s">
        <v>144</v>
      </c>
      <c r="C13" s="31">
        <v>28200</v>
      </c>
      <c r="D13" s="13">
        <f t="shared" si="2"/>
        <v>28200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v>107511</v>
      </c>
      <c r="D14" s="13">
        <f>C14+2805</f>
        <v>110316</v>
      </c>
      <c r="E14" s="38">
        <f t="shared" si="0"/>
        <v>2805</v>
      </c>
      <c r="F14" s="39">
        <f t="shared" si="1"/>
        <v>1.0261</v>
      </c>
    </row>
    <row r="15" spans="1:6" ht="33" customHeight="1" x14ac:dyDescent="0.2">
      <c r="A15" s="92" t="s">
        <v>5</v>
      </c>
      <c r="B15" s="14" t="s">
        <v>118</v>
      </c>
      <c r="C15" s="31">
        <v>82479</v>
      </c>
      <c r="D15" s="13">
        <f t="shared" si="2"/>
        <v>82479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92" t="s">
        <v>6</v>
      </c>
      <c r="B16" s="14" t="s">
        <v>124</v>
      </c>
      <c r="C16" s="31">
        <v>52376</v>
      </c>
      <c r="D16" s="13">
        <f t="shared" si="2"/>
        <v>52376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92" t="s">
        <v>7</v>
      </c>
      <c r="B17" s="14" t="s">
        <v>123</v>
      </c>
      <c r="C17" s="31">
        <v>18761</v>
      </c>
      <c r="D17" s="13">
        <f t="shared" si="2"/>
        <v>18761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92" t="s">
        <v>8</v>
      </c>
      <c r="B18" s="14" t="s">
        <v>119</v>
      </c>
      <c r="C18" s="31">
        <v>88454</v>
      </c>
      <c r="D18" s="13">
        <f t="shared" si="2"/>
        <v>88454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92" t="s">
        <v>9</v>
      </c>
      <c r="B19" s="14" t="s">
        <v>120</v>
      </c>
      <c r="C19" s="31">
        <v>29770</v>
      </c>
      <c r="D19" s="13">
        <f t="shared" si="2"/>
        <v>29770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92" t="s">
        <v>10</v>
      </c>
      <c r="B20" s="14" t="s">
        <v>125</v>
      </c>
      <c r="C20" s="31">
        <v>2528</v>
      </c>
      <c r="D20" s="13">
        <f t="shared" si="2"/>
        <v>2528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v>10433</v>
      </c>
      <c r="D21" s="13">
        <f t="shared" si="2"/>
        <v>10433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92" t="s">
        <v>12</v>
      </c>
      <c r="B22" s="14" t="s">
        <v>161</v>
      </c>
      <c r="C22" s="31">
        <v>128093</v>
      </c>
      <c r="D22" s="13">
        <f t="shared" si="2"/>
        <v>128093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92" t="s">
        <v>13</v>
      </c>
      <c r="B23" s="14" t="s">
        <v>145</v>
      </c>
      <c r="C23" s="31">
        <v>44000</v>
      </c>
      <c r="D23" s="13">
        <f t="shared" si="2"/>
        <v>44000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94" t="s">
        <v>14</v>
      </c>
      <c r="B24" s="30" t="s">
        <v>177</v>
      </c>
      <c r="C24" s="31">
        <v>381398</v>
      </c>
      <c r="D24" s="13">
        <f t="shared" si="2"/>
        <v>381398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v>380601</v>
      </c>
      <c r="D25" s="13">
        <f t="shared" si="2"/>
        <v>380601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v>430</v>
      </c>
      <c r="D26" s="13">
        <f t="shared" si="2"/>
        <v>430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v>367</v>
      </c>
      <c r="D27" s="13">
        <f t="shared" si="2"/>
        <v>367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v>0</v>
      </c>
      <c r="D29" s="13">
        <f t="shared" si="2"/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v>12036</v>
      </c>
      <c r="D32" s="13">
        <f t="shared" si="2"/>
        <v>12036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178</v>
      </c>
      <c r="B33" s="16" t="s">
        <v>179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v>2000</v>
      </c>
      <c r="D34" s="13">
        <f t="shared" si="2"/>
        <v>2000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196</v>
      </c>
      <c r="B35" s="16" t="s">
        <v>197</v>
      </c>
      <c r="C35" s="31">
        <v>390</v>
      </c>
      <c r="D35" s="13">
        <f>C35+680</f>
        <v>1070</v>
      </c>
      <c r="E35" s="38">
        <f>IF(C35=D35,"-",D35-C35)</f>
        <v>680</v>
      </c>
      <c r="F35" s="39">
        <f>IF(C35=0,"-",D35/C35)</f>
        <v>2.7435999999999998</v>
      </c>
    </row>
    <row r="36" spans="1:6" s="2" customFormat="1" ht="31.5" customHeight="1" x14ac:dyDescent="0.2">
      <c r="A36" s="96" t="s">
        <v>56</v>
      </c>
      <c r="B36" s="17" t="s">
        <v>57</v>
      </c>
      <c r="C36" s="32">
        <v>306</v>
      </c>
      <c r="D36" s="37">
        <f>C36</f>
        <v>306</v>
      </c>
      <c r="E36" s="7" t="str">
        <f t="shared" si="0"/>
        <v>-</v>
      </c>
      <c r="F36" s="40">
        <f t="shared" si="1"/>
        <v>1</v>
      </c>
    </row>
    <row r="37" spans="1:6" s="2" customFormat="1" ht="31.5" customHeight="1" x14ac:dyDescent="0.2">
      <c r="A37" s="96" t="s">
        <v>55</v>
      </c>
      <c r="B37" s="17" t="s">
        <v>58</v>
      </c>
      <c r="C37" s="32">
        <v>104549</v>
      </c>
      <c r="D37" s="37">
        <f>C37</f>
        <v>104549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2">
        <v>26238</v>
      </c>
      <c r="D38" s="37">
        <f>C38</f>
        <v>26238</v>
      </c>
      <c r="E38" s="7" t="str">
        <f t="shared" si="0"/>
        <v>-</v>
      </c>
      <c r="F38" s="40">
        <f t="shared" si="1"/>
        <v>1</v>
      </c>
    </row>
    <row r="39" spans="1:6" s="2" customFormat="1" ht="42.75" customHeight="1" x14ac:dyDescent="0.2">
      <c r="A39" s="96" t="s">
        <v>153</v>
      </c>
      <c r="B39" s="17" t="s">
        <v>154</v>
      </c>
      <c r="C39" s="32">
        <f>C11+C13+C24+C30</f>
        <v>531098</v>
      </c>
      <c r="D39" s="32">
        <f>D11+D13+D24+D30</f>
        <v>531098</v>
      </c>
      <c r="E39" s="7" t="str">
        <f t="shared" si="0"/>
        <v>-</v>
      </c>
      <c r="F39" s="40">
        <f t="shared" si="1"/>
        <v>1</v>
      </c>
    </row>
    <row r="40" spans="1:6" ht="30" customHeight="1" x14ac:dyDescent="0.2">
      <c r="A40" s="97" t="s">
        <v>130</v>
      </c>
      <c r="B40" s="85" t="s">
        <v>183</v>
      </c>
      <c r="C40" s="71">
        <f>C41+C42+C43+C51+C53+C59+C60+C58</f>
        <v>22645</v>
      </c>
      <c r="D40" s="71">
        <f>D41+D42+D43+D51+D53+D59+D60+D58</f>
        <v>22645</v>
      </c>
      <c r="E40" s="68" t="str">
        <f t="shared" si="0"/>
        <v>-</v>
      </c>
      <c r="F40" s="86">
        <f t="shared" si="1"/>
        <v>1</v>
      </c>
    </row>
    <row r="41" spans="1:6" ht="28.5" customHeight="1" x14ac:dyDescent="0.2">
      <c r="A41" s="95" t="s">
        <v>16</v>
      </c>
      <c r="B41" s="18" t="s">
        <v>17</v>
      </c>
      <c r="C41" s="31">
        <v>829</v>
      </c>
      <c r="D41" s="33">
        <f>C41</f>
        <v>829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95" t="s">
        <v>18</v>
      </c>
      <c r="B42" s="18" t="s">
        <v>19</v>
      </c>
      <c r="C42" s="31">
        <v>2970</v>
      </c>
      <c r="D42" s="33">
        <f t="shared" ref="D42:D60" si="3">C42</f>
        <v>2970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20</v>
      </c>
      <c r="B43" s="19" t="s">
        <v>184</v>
      </c>
      <c r="C43" s="33">
        <f>C44+C46+C47+C48+C49+C50</f>
        <v>231</v>
      </c>
      <c r="D43" s="33">
        <f>D44+D46+D47+D48+D49+D50</f>
        <v>231</v>
      </c>
      <c r="E43" s="38" t="str">
        <f t="shared" si="0"/>
        <v>-</v>
      </c>
      <c r="F43" s="39">
        <f t="shared" si="1"/>
        <v>1</v>
      </c>
    </row>
    <row r="44" spans="1:6" ht="23.25" customHeight="1" x14ac:dyDescent="0.2">
      <c r="A44" s="98" t="s">
        <v>37</v>
      </c>
      <c r="B44" s="46" t="s">
        <v>30</v>
      </c>
      <c r="C44" s="31">
        <v>26</v>
      </c>
      <c r="D44" s="33">
        <f t="shared" si="3"/>
        <v>26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98" t="s">
        <v>38</v>
      </c>
      <c r="B45" s="47" t="s">
        <v>31</v>
      </c>
      <c r="C45" s="31">
        <v>26</v>
      </c>
      <c r="D45" s="33">
        <f t="shared" si="3"/>
        <v>26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39</v>
      </c>
      <c r="B46" s="46" t="s">
        <v>32</v>
      </c>
      <c r="C46" s="31">
        <v>24</v>
      </c>
      <c r="D46" s="33">
        <f t="shared" si="3"/>
        <v>24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40</v>
      </c>
      <c r="B47" s="46" t="s">
        <v>33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98" t="s">
        <v>41</v>
      </c>
      <c r="B48" s="46" t="s">
        <v>34</v>
      </c>
      <c r="C48" s="31">
        <v>0</v>
      </c>
      <c r="D48" s="33">
        <f t="shared" si="3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42</v>
      </c>
      <c r="B49" s="46" t="s">
        <v>35</v>
      </c>
      <c r="C49" s="31">
        <v>140</v>
      </c>
      <c r="D49" s="33">
        <f t="shared" si="3"/>
        <v>140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98" t="s">
        <v>43</v>
      </c>
      <c r="B50" s="46" t="s">
        <v>36</v>
      </c>
      <c r="C50" s="31">
        <v>41</v>
      </c>
      <c r="D50" s="33">
        <f t="shared" si="3"/>
        <v>41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5" t="s">
        <v>21</v>
      </c>
      <c r="B51" s="18" t="s">
        <v>155</v>
      </c>
      <c r="C51" s="31">
        <v>14250</v>
      </c>
      <c r="D51" s="33">
        <f t="shared" si="3"/>
        <v>14250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8" t="s">
        <v>156</v>
      </c>
      <c r="B52" s="46" t="s">
        <v>157</v>
      </c>
      <c r="C52" s="31">
        <v>57</v>
      </c>
      <c r="D52" s="33">
        <f t="shared" si="3"/>
        <v>57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95" t="s">
        <v>22</v>
      </c>
      <c r="B53" s="19" t="s">
        <v>182</v>
      </c>
      <c r="C53" s="29">
        <f>C54+C55+C56+C57</f>
        <v>3195</v>
      </c>
      <c r="D53" s="29">
        <f>D54+D55+D56+D57</f>
        <v>3195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8" t="s">
        <v>48</v>
      </c>
      <c r="B54" s="46" t="s">
        <v>44</v>
      </c>
      <c r="C54" s="31">
        <v>2445</v>
      </c>
      <c r="D54" s="33">
        <f t="shared" si="3"/>
        <v>2445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49</v>
      </c>
      <c r="B55" s="46" t="s">
        <v>45</v>
      </c>
      <c r="C55" s="31">
        <v>349</v>
      </c>
      <c r="D55" s="33">
        <f t="shared" si="3"/>
        <v>349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50</v>
      </c>
      <c r="B56" s="46" t="s">
        <v>46</v>
      </c>
      <c r="C56" s="31">
        <v>0</v>
      </c>
      <c r="D56" s="33">
        <f t="shared" si="3"/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98" t="s">
        <v>51</v>
      </c>
      <c r="B57" s="46" t="s">
        <v>47</v>
      </c>
      <c r="C57" s="31">
        <v>401</v>
      </c>
      <c r="D57" s="33">
        <f t="shared" si="3"/>
        <v>401</v>
      </c>
      <c r="E57" s="38" t="str">
        <f t="shared" si="0"/>
        <v>-</v>
      </c>
      <c r="F57" s="39">
        <f t="shared" si="1"/>
        <v>1</v>
      </c>
    </row>
    <row r="58" spans="1:6" ht="28.5" customHeight="1" x14ac:dyDescent="0.2">
      <c r="A58" s="95" t="s">
        <v>23</v>
      </c>
      <c r="B58" s="18" t="s">
        <v>24</v>
      </c>
      <c r="C58" s="31">
        <v>0</v>
      </c>
      <c r="D58" s="33">
        <f t="shared" si="3"/>
        <v>0</v>
      </c>
      <c r="E58" s="38" t="str">
        <f t="shared" si="0"/>
        <v>-</v>
      </c>
      <c r="F58" s="39" t="str">
        <f t="shared" si="1"/>
        <v>-</v>
      </c>
    </row>
    <row r="59" spans="1:6" ht="28.5" customHeight="1" x14ac:dyDescent="0.2">
      <c r="A59" s="95" t="s">
        <v>25</v>
      </c>
      <c r="B59" s="18" t="s">
        <v>158</v>
      </c>
      <c r="C59" s="31">
        <v>1020</v>
      </c>
      <c r="D59" s="33">
        <f t="shared" si="3"/>
        <v>1020</v>
      </c>
      <c r="E59" s="38" t="str">
        <f t="shared" si="0"/>
        <v>-</v>
      </c>
      <c r="F59" s="41">
        <f t="shared" si="1"/>
        <v>1</v>
      </c>
    </row>
    <row r="60" spans="1:6" ht="28.5" customHeight="1" x14ac:dyDescent="0.2">
      <c r="A60" s="95" t="s">
        <v>26</v>
      </c>
      <c r="B60" s="18" t="s">
        <v>27</v>
      </c>
      <c r="C60" s="31">
        <v>150</v>
      </c>
      <c r="D60" s="33">
        <f t="shared" si="3"/>
        <v>150</v>
      </c>
      <c r="E60" s="38" t="str">
        <f t="shared" si="0"/>
        <v>-</v>
      </c>
      <c r="F60" s="39">
        <f t="shared" si="1"/>
        <v>1</v>
      </c>
    </row>
    <row r="61" spans="1:6" ht="30" customHeight="1" x14ac:dyDescent="0.2">
      <c r="A61" s="99" t="s">
        <v>132</v>
      </c>
      <c r="B61" s="77" t="s">
        <v>159</v>
      </c>
      <c r="C61" s="87">
        <f>C62+C63+C64+C65</f>
        <v>237</v>
      </c>
      <c r="D61" s="87">
        <f>D62+D63+D64+D65</f>
        <v>237</v>
      </c>
      <c r="E61" s="68" t="str">
        <f t="shared" si="0"/>
        <v>-</v>
      </c>
      <c r="F61" s="88">
        <f t="shared" si="1"/>
        <v>1</v>
      </c>
    </row>
    <row r="62" spans="1:6" ht="42" customHeight="1" x14ac:dyDescent="0.2">
      <c r="A62" s="95" t="s">
        <v>99</v>
      </c>
      <c r="B62" s="18" t="s">
        <v>112</v>
      </c>
      <c r="C62" s="31">
        <v>0</v>
      </c>
      <c r="D62" s="33">
        <f>C62</f>
        <v>0</v>
      </c>
      <c r="E62" s="29" t="str">
        <f t="shared" si="0"/>
        <v>-</v>
      </c>
      <c r="F62" s="39" t="str">
        <f t="shared" si="1"/>
        <v>-</v>
      </c>
    </row>
    <row r="63" spans="1:6" ht="31.5" customHeight="1" x14ac:dyDescent="0.2">
      <c r="A63" s="95" t="s">
        <v>28</v>
      </c>
      <c r="B63" s="18" t="s">
        <v>53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95" t="s">
        <v>29</v>
      </c>
      <c r="B64" s="18" t="s">
        <v>101</v>
      </c>
      <c r="C64" s="31">
        <v>0</v>
      </c>
      <c r="D64" s="33">
        <f>C64</f>
        <v>0</v>
      </c>
      <c r="E64" s="29" t="str">
        <f t="shared" si="0"/>
        <v>-</v>
      </c>
      <c r="F64" s="39" t="str">
        <f t="shared" si="1"/>
        <v>-</v>
      </c>
    </row>
    <row r="65" spans="1:6" ht="31.5" customHeight="1" x14ac:dyDescent="0.2">
      <c r="A65" s="95" t="s">
        <v>100</v>
      </c>
      <c r="B65" s="18" t="s">
        <v>102</v>
      </c>
      <c r="C65" s="31">
        <v>237</v>
      </c>
      <c r="D65" s="33">
        <f>C65</f>
        <v>237</v>
      </c>
      <c r="E65" s="29" t="str">
        <f t="shared" si="0"/>
        <v>-</v>
      </c>
      <c r="F65" s="39">
        <f t="shared" si="1"/>
        <v>1</v>
      </c>
    </row>
    <row r="66" spans="1:6" ht="32.25" customHeight="1" x14ac:dyDescent="0.2">
      <c r="A66" s="99" t="s">
        <v>134</v>
      </c>
      <c r="B66" s="77" t="s">
        <v>113</v>
      </c>
      <c r="C66" s="87">
        <v>66</v>
      </c>
      <c r="D66" s="87">
        <f>C66</f>
        <v>66</v>
      </c>
      <c r="E66" s="68" t="str">
        <f t="shared" si="0"/>
        <v>-</v>
      </c>
      <c r="F66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0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2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J7" sqref="J7"/>
      <selection pane="topRight" activeCell="J7" sqref="J7"/>
      <selection pane="bottomLeft" activeCell="J7" sqref="J7"/>
      <selection pane="bottomRight" activeCell="J7" sqref="J7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9" s="20" customFormat="1" ht="72.75" customHeight="1" x14ac:dyDescent="0.2">
      <c r="A1" s="112" t="s">
        <v>202</v>
      </c>
      <c r="B1" s="112"/>
      <c r="C1" s="112"/>
      <c r="D1" s="112"/>
      <c r="E1" s="112"/>
      <c r="F1" s="112"/>
    </row>
    <row r="2" spans="1:9" s="22" customFormat="1" ht="33" customHeight="1" x14ac:dyDescent="0.2">
      <c r="A2" s="54" t="s">
        <v>165</v>
      </c>
      <c r="B2" s="54"/>
      <c r="C2" s="55"/>
    </row>
    <row r="3" spans="1:9" ht="33" customHeight="1" x14ac:dyDescent="0.25">
      <c r="A3" s="90"/>
      <c r="B3" s="5"/>
      <c r="C3" s="35"/>
      <c r="D3" s="35"/>
      <c r="E3" s="35" t="s">
        <v>138</v>
      </c>
      <c r="F3" s="6"/>
    </row>
    <row r="4" spans="1:9" s="56" customFormat="1" ht="65.099999999999994" customHeight="1" x14ac:dyDescent="0.2">
      <c r="A4" s="62" t="s">
        <v>115</v>
      </c>
      <c r="B4" s="62" t="s">
        <v>52</v>
      </c>
      <c r="C4" s="63" t="s">
        <v>195</v>
      </c>
      <c r="D4" s="63" t="s">
        <v>167</v>
      </c>
      <c r="E4" s="64" t="s">
        <v>168</v>
      </c>
      <c r="F4" s="64" t="s">
        <v>169</v>
      </c>
    </row>
    <row r="5" spans="1:9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9" ht="30" customHeight="1" x14ac:dyDescent="0.2">
      <c r="A6" s="91" t="s">
        <v>0</v>
      </c>
      <c r="B6" s="44" t="s">
        <v>198</v>
      </c>
      <c r="C6" s="83">
        <f>C7+C8+C9+C14+C15+C16+C17+C18+C19+C20+C21+C22+C23+C24+C28+C29+C31+C32+C33+C34+C35</f>
        <v>1073389</v>
      </c>
      <c r="D6" s="83">
        <f>D7+D8+D9+D14+D15+D16+D17+D18+D19+D20+D21+D22+D23+D24+D28+D29+D31+D32+D33+D34+D35</f>
        <v>1073389</v>
      </c>
      <c r="E6" s="68" t="str">
        <f>IF(C6=D6,"-",D6-C6)</f>
        <v>-</v>
      </c>
      <c r="F6" s="84">
        <f>IF(C6=0,"-",D6/C6)</f>
        <v>1</v>
      </c>
      <c r="I6" s="34"/>
    </row>
    <row r="7" spans="1:9" ht="33" customHeight="1" x14ac:dyDescent="0.2">
      <c r="A7" s="92" t="s">
        <v>1</v>
      </c>
      <c r="B7" s="14" t="s">
        <v>116</v>
      </c>
      <c r="C7" s="31">
        <v>0</v>
      </c>
      <c r="D7" s="13">
        <f>C7</f>
        <v>0</v>
      </c>
      <c r="E7" s="38" t="str">
        <f t="shared" ref="E7:E66" si="0">IF(C7=D7,"-",D7-C7)</f>
        <v>-</v>
      </c>
      <c r="F7" s="39" t="str">
        <f t="shared" ref="F7:F66" si="1">IF(C7=0,"-",D7/C7)</f>
        <v>-</v>
      </c>
      <c r="I7" s="34"/>
    </row>
    <row r="8" spans="1:9" ht="33" customHeight="1" x14ac:dyDescent="0.2">
      <c r="A8" s="92" t="s">
        <v>2</v>
      </c>
      <c r="B8" s="14" t="s">
        <v>117</v>
      </c>
      <c r="C8" s="31">
        <v>0</v>
      </c>
      <c r="D8" s="13">
        <f>C8</f>
        <v>0</v>
      </c>
      <c r="E8" s="38" t="str">
        <f t="shared" si="0"/>
        <v>-</v>
      </c>
      <c r="F8" s="39" t="str">
        <f t="shared" si="1"/>
        <v>-</v>
      </c>
      <c r="I8" s="34"/>
    </row>
    <row r="9" spans="1:9" ht="33" customHeight="1" x14ac:dyDescent="0.2">
      <c r="A9" s="92" t="s">
        <v>3</v>
      </c>
      <c r="B9" s="14" t="s">
        <v>114</v>
      </c>
      <c r="C9" s="31">
        <v>0</v>
      </c>
      <c r="D9" s="13">
        <f t="shared" ref="D9:D34" si="2">C9</f>
        <v>0</v>
      </c>
      <c r="E9" s="38" t="str">
        <f t="shared" si="0"/>
        <v>-</v>
      </c>
      <c r="F9" s="39" t="str">
        <f t="shared" si="1"/>
        <v>-</v>
      </c>
      <c r="I9" s="34"/>
    </row>
    <row r="10" spans="1:9" ht="31.5" customHeight="1" x14ac:dyDescent="0.2">
      <c r="A10" s="93" t="s">
        <v>54</v>
      </c>
      <c r="B10" s="45" t="s">
        <v>199</v>
      </c>
      <c r="C10" s="31">
        <v>0</v>
      </c>
      <c r="D10" s="13">
        <f t="shared" si="2"/>
        <v>0</v>
      </c>
      <c r="E10" s="38" t="str">
        <f t="shared" si="0"/>
        <v>-</v>
      </c>
      <c r="F10" s="39" t="str">
        <f t="shared" si="1"/>
        <v>-</v>
      </c>
      <c r="I10" s="34"/>
    </row>
    <row r="11" spans="1:9" ht="31.5" customHeight="1" x14ac:dyDescent="0.2">
      <c r="A11" s="93" t="s">
        <v>139</v>
      </c>
      <c r="B11" s="45" t="s">
        <v>142</v>
      </c>
      <c r="C11" s="31">
        <v>0</v>
      </c>
      <c r="D11" s="13">
        <f t="shared" si="2"/>
        <v>0</v>
      </c>
      <c r="E11" s="38" t="str">
        <f t="shared" si="0"/>
        <v>-</v>
      </c>
      <c r="F11" s="39" t="str">
        <f t="shared" si="1"/>
        <v>-</v>
      </c>
      <c r="I11" s="34"/>
    </row>
    <row r="12" spans="1:9" ht="31.5" customHeight="1" x14ac:dyDescent="0.2">
      <c r="A12" s="93" t="s">
        <v>140</v>
      </c>
      <c r="B12" s="45" t="s">
        <v>143</v>
      </c>
      <c r="C12" s="31">
        <v>0</v>
      </c>
      <c r="D12" s="13">
        <f t="shared" si="2"/>
        <v>0</v>
      </c>
      <c r="E12" s="38" t="str">
        <f t="shared" si="0"/>
        <v>-</v>
      </c>
      <c r="F12" s="39" t="str">
        <f t="shared" si="1"/>
        <v>-</v>
      </c>
      <c r="I12" s="34"/>
    </row>
    <row r="13" spans="1:9" ht="31.5" customHeight="1" x14ac:dyDescent="0.2">
      <c r="A13" s="93" t="s">
        <v>141</v>
      </c>
      <c r="B13" s="45" t="s">
        <v>144</v>
      </c>
      <c r="C13" s="31">
        <v>0</v>
      </c>
      <c r="D13" s="13">
        <f t="shared" si="2"/>
        <v>0</v>
      </c>
      <c r="E13" s="38" t="str">
        <f t="shared" si="0"/>
        <v>-</v>
      </c>
      <c r="F13" s="39" t="str">
        <f t="shared" si="1"/>
        <v>-</v>
      </c>
      <c r="I13" s="34"/>
    </row>
    <row r="14" spans="1:9" ht="33" customHeight="1" x14ac:dyDescent="0.2">
      <c r="A14" s="92" t="s">
        <v>4</v>
      </c>
      <c r="B14" s="14" t="s">
        <v>122</v>
      </c>
      <c r="C14" s="31">
        <v>0</v>
      </c>
      <c r="D14" s="13">
        <f t="shared" si="2"/>
        <v>0</v>
      </c>
      <c r="E14" s="38" t="str">
        <f t="shared" si="0"/>
        <v>-</v>
      </c>
      <c r="F14" s="39" t="str">
        <f t="shared" si="1"/>
        <v>-</v>
      </c>
      <c r="I14" s="34"/>
    </row>
    <row r="15" spans="1:9" ht="33" customHeight="1" x14ac:dyDescent="0.2">
      <c r="A15" s="92" t="s">
        <v>5</v>
      </c>
      <c r="B15" s="14" t="s">
        <v>118</v>
      </c>
      <c r="C15" s="31">
        <v>0</v>
      </c>
      <c r="D15" s="13">
        <f t="shared" si="2"/>
        <v>0</v>
      </c>
      <c r="E15" s="38" t="str">
        <f t="shared" si="0"/>
        <v>-</v>
      </c>
      <c r="F15" s="39" t="str">
        <f t="shared" si="1"/>
        <v>-</v>
      </c>
      <c r="I15" s="34"/>
    </row>
    <row r="16" spans="1:9" ht="33" customHeight="1" x14ac:dyDescent="0.2">
      <c r="A16" s="92" t="s">
        <v>6</v>
      </c>
      <c r="B16" s="14" t="s">
        <v>124</v>
      </c>
      <c r="C16" s="31">
        <v>0</v>
      </c>
      <c r="D16" s="13">
        <f t="shared" si="2"/>
        <v>0</v>
      </c>
      <c r="E16" s="38" t="str">
        <f t="shared" si="0"/>
        <v>-</v>
      </c>
      <c r="F16" s="39" t="str">
        <f t="shared" si="1"/>
        <v>-</v>
      </c>
      <c r="I16" s="34"/>
    </row>
    <row r="17" spans="1:9" ht="33" customHeight="1" x14ac:dyDescent="0.2">
      <c r="A17" s="92" t="s">
        <v>7</v>
      </c>
      <c r="B17" s="14" t="s">
        <v>123</v>
      </c>
      <c r="C17" s="31">
        <v>0</v>
      </c>
      <c r="D17" s="13">
        <f t="shared" si="2"/>
        <v>0</v>
      </c>
      <c r="E17" s="38" t="str">
        <f t="shared" si="0"/>
        <v>-</v>
      </c>
      <c r="F17" s="39" t="str">
        <f t="shared" si="1"/>
        <v>-</v>
      </c>
      <c r="I17" s="34"/>
    </row>
    <row r="18" spans="1:9" ht="33" customHeight="1" x14ac:dyDescent="0.2">
      <c r="A18" s="92" t="s">
        <v>8</v>
      </c>
      <c r="B18" s="14" t="s">
        <v>119</v>
      </c>
      <c r="C18" s="31">
        <v>0</v>
      </c>
      <c r="D18" s="13">
        <f t="shared" si="2"/>
        <v>0</v>
      </c>
      <c r="E18" s="38" t="str">
        <f t="shared" si="0"/>
        <v>-</v>
      </c>
      <c r="F18" s="39" t="str">
        <f t="shared" si="1"/>
        <v>-</v>
      </c>
      <c r="I18" s="34"/>
    </row>
    <row r="19" spans="1:9" ht="33" customHeight="1" x14ac:dyDescent="0.2">
      <c r="A19" s="92" t="s">
        <v>9</v>
      </c>
      <c r="B19" s="14" t="s">
        <v>120</v>
      </c>
      <c r="C19" s="31">
        <v>0</v>
      </c>
      <c r="D19" s="13">
        <f t="shared" si="2"/>
        <v>0</v>
      </c>
      <c r="E19" s="38" t="str">
        <f t="shared" si="0"/>
        <v>-</v>
      </c>
      <c r="F19" s="39" t="str">
        <f t="shared" si="1"/>
        <v>-</v>
      </c>
      <c r="I19" s="34"/>
    </row>
    <row r="20" spans="1:9" ht="33" customHeight="1" x14ac:dyDescent="0.2">
      <c r="A20" s="92" t="s">
        <v>10</v>
      </c>
      <c r="B20" s="14" t="s">
        <v>125</v>
      </c>
      <c r="C20" s="31">
        <v>0</v>
      </c>
      <c r="D20" s="13">
        <f t="shared" si="2"/>
        <v>0</v>
      </c>
      <c r="E20" s="38" t="str">
        <f t="shared" si="0"/>
        <v>-</v>
      </c>
      <c r="F20" s="39" t="str">
        <f t="shared" si="1"/>
        <v>-</v>
      </c>
      <c r="I20" s="34"/>
    </row>
    <row r="21" spans="1:9" ht="46.5" customHeight="1" x14ac:dyDescent="0.2">
      <c r="A21" s="92" t="s">
        <v>11</v>
      </c>
      <c r="B21" s="14" t="s">
        <v>121</v>
      </c>
      <c r="C21" s="31">
        <v>0</v>
      </c>
      <c r="D21" s="13">
        <f t="shared" si="2"/>
        <v>0</v>
      </c>
      <c r="E21" s="38" t="str">
        <f t="shared" si="0"/>
        <v>-</v>
      </c>
      <c r="F21" s="39" t="str">
        <f t="shared" si="1"/>
        <v>-</v>
      </c>
      <c r="I21" s="34"/>
    </row>
    <row r="22" spans="1:9" ht="33" customHeight="1" x14ac:dyDescent="0.2">
      <c r="A22" s="92" t="s">
        <v>12</v>
      </c>
      <c r="B22" s="14" t="s">
        <v>161</v>
      </c>
      <c r="C22" s="31">
        <v>0</v>
      </c>
      <c r="D22" s="13">
        <f t="shared" si="2"/>
        <v>0</v>
      </c>
      <c r="E22" s="38" t="str">
        <f t="shared" si="0"/>
        <v>-</v>
      </c>
      <c r="F22" s="39" t="str">
        <f t="shared" si="1"/>
        <v>-</v>
      </c>
      <c r="I22" s="34"/>
    </row>
    <row r="23" spans="1:9" ht="33" customHeight="1" x14ac:dyDescent="0.2">
      <c r="A23" s="92" t="s">
        <v>13</v>
      </c>
      <c r="B23" s="14" t="s">
        <v>145</v>
      </c>
      <c r="C23" s="31">
        <v>0</v>
      </c>
      <c r="D23" s="13">
        <f t="shared" si="2"/>
        <v>0</v>
      </c>
      <c r="E23" s="38" t="str">
        <f t="shared" si="0"/>
        <v>-</v>
      </c>
      <c r="F23" s="39" t="str">
        <f t="shared" si="1"/>
        <v>-</v>
      </c>
      <c r="I23" s="34"/>
    </row>
    <row r="24" spans="1:9" ht="33" customHeight="1" x14ac:dyDescent="0.2">
      <c r="A24" s="94" t="s">
        <v>14</v>
      </c>
      <c r="B24" s="30" t="s">
        <v>177</v>
      </c>
      <c r="C24" s="31">
        <v>0</v>
      </c>
      <c r="D24" s="31">
        <f>SUM(D25:D27)</f>
        <v>0</v>
      </c>
      <c r="E24" s="38" t="str">
        <f t="shared" si="0"/>
        <v>-</v>
      </c>
      <c r="F24" s="39" t="str">
        <f t="shared" si="1"/>
        <v>-</v>
      </c>
      <c r="I24" s="34"/>
    </row>
    <row r="25" spans="1:9" ht="37.5" x14ac:dyDescent="0.2">
      <c r="A25" s="93" t="s">
        <v>126</v>
      </c>
      <c r="B25" s="45" t="s">
        <v>147</v>
      </c>
      <c r="C25" s="31">
        <v>0</v>
      </c>
      <c r="D25" s="13">
        <f t="shared" si="2"/>
        <v>0</v>
      </c>
      <c r="E25" s="38" t="str">
        <f t="shared" si="0"/>
        <v>-</v>
      </c>
      <c r="F25" s="39" t="str">
        <f t="shared" si="1"/>
        <v>-</v>
      </c>
      <c r="I25" s="34"/>
    </row>
    <row r="26" spans="1:9" ht="31.5" customHeight="1" x14ac:dyDescent="0.2">
      <c r="A26" s="93" t="s">
        <v>146</v>
      </c>
      <c r="B26" s="45" t="s">
        <v>149</v>
      </c>
      <c r="C26" s="31">
        <v>0</v>
      </c>
      <c r="D26" s="13">
        <f t="shared" si="2"/>
        <v>0</v>
      </c>
      <c r="E26" s="38" t="str">
        <f t="shared" si="0"/>
        <v>-</v>
      </c>
      <c r="F26" s="39" t="str">
        <f t="shared" si="1"/>
        <v>-</v>
      </c>
      <c r="I26" s="34"/>
    </row>
    <row r="27" spans="1:9" ht="37.5" x14ac:dyDescent="0.2">
      <c r="A27" s="93" t="s">
        <v>150</v>
      </c>
      <c r="B27" s="45" t="s">
        <v>148</v>
      </c>
      <c r="C27" s="31">
        <v>0</v>
      </c>
      <c r="D27" s="13">
        <f t="shared" si="2"/>
        <v>0</v>
      </c>
      <c r="E27" s="38" t="str">
        <f t="shared" si="0"/>
        <v>-</v>
      </c>
      <c r="F27" s="39" t="str">
        <f t="shared" si="1"/>
        <v>-</v>
      </c>
      <c r="I27" s="34"/>
    </row>
    <row r="28" spans="1:9" ht="33" customHeight="1" x14ac:dyDescent="0.2">
      <c r="A28" s="95" t="s">
        <v>15</v>
      </c>
      <c r="B28" s="15" t="s">
        <v>110</v>
      </c>
      <c r="C28" s="31">
        <v>668390</v>
      </c>
      <c r="D28" s="13">
        <f t="shared" si="2"/>
        <v>668390</v>
      </c>
      <c r="E28" s="38" t="str">
        <f t="shared" si="0"/>
        <v>-</v>
      </c>
      <c r="F28" s="39">
        <f t="shared" si="1"/>
        <v>1</v>
      </c>
      <c r="I28" s="34"/>
    </row>
    <row r="29" spans="1:9" ht="33" customHeight="1" x14ac:dyDescent="0.2">
      <c r="A29" s="95" t="s">
        <v>107</v>
      </c>
      <c r="B29" s="16" t="s">
        <v>151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  <c r="I29" s="34"/>
    </row>
    <row r="30" spans="1:9" ht="31.5" customHeight="1" x14ac:dyDescent="0.2">
      <c r="A30" s="93" t="s">
        <v>152</v>
      </c>
      <c r="B30" s="45" t="s">
        <v>163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  <c r="I30" s="34"/>
    </row>
    <row r="31" spans="1:9" ht="33" customHeight="1" x14ac:dyDescent="0.2">
      <c r="A31" s="95" t="s">
        <v>108</v>
      </c>
      <c r="B31" s="16" t="s">
        <v>111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  <c r="I31" s="34"/>
    </row>
    <row r="32" spans="1:9" ht="33" customHeight="1" x14ac:dyDescent="0.2">
      <c r="A32" s="95" t="s">
        <v>109</v>
      </c>
      <c r="B32" s="16" t="s">
        <v>162</v>
      </c>
      <c r="C32" s="31">
        <v>0</v>
      </c>
      <c r="D32" s="13">
        <f t="shared" si="2"/>
        <v>0</v>
      </c>
      <c r="E32" s="38" t="str">
        <f t="shared" si="0"/>
        <v>-</v>
      </c>
      <c r="F32" s="39" t="str">
        <f t="shared" si="1"/>
        <v>-</v>
      </c>
      <c r="I32" s="34"/>
    </row>
    <row r="33" spans="1:9" ht="42.75" customHeight="1" x14ac:dyDescent="0.2">
      <c r="A33" s="95" t="s">
        <v>178</v>
      </c>
      <c r="B33" s="16" t="s">
        <v>179</v>
      </c>
      <c r="C33" s="31">
        <v>404999</v>
      </c>
      <c r="D33" s="13">
        <f t="shared" si="2"/>
        <v>404999</v>
      </c>
      <c r="E33" s="38" t="str">
        <f>IF(C33=D33,"-",D33-C33)</f>
        <v>-</v>
      </c>
      <c r="F33" s="39">
        <f>IF(C33=0,"-",D33/C33)</f>
        <v>1</v>
      </c>
      <c r="I33" s="34"/>
    </row>
    <row r="34" spans="1:9" ht="33" customHeight="1" x14ac:dyDescent="0.2">
      <c r="A34" s="95" t="s">
        <v>185</v>
      </c>
      <c r="B34" s="16" t="s">
        <v>186</v>
      </c>
      <c r="C34" s="31">
        <v>0</v>
      </c>
      <c r="D34" s="13">
        <f t="shared" si="2"/>
        <v>0</v>
      </c>
      <c r="E34" s="38" t="str">
        <f>IF(C34=D34,"-",D34-C34)</f>
        <v>-</v>
      </c>
      <c r="F34" s="39" t="str">
        <f>IF(C34=0,"-",D34/C34)</f>
        <v>-</v>
      </c>
      <c r="I34" s="34"/>
    </row>
    <row r="35" spans="1:9" ht="53.25" customHeight="1" x14ac:dyDescent="0.2">
      <c r="A35" s="95" t="s">
        <v>196</v>
      </c>
      <c r="B35" s="16" t="s">
        <v>197</v>
      </c>
      <c r="C35" s="31">
        <v>0</v>
      </c>
      <c r="D35" s="13">
        <f t="shared" ref="D35" si="3">C35</f>
        <v>0</v>
      </c>
      <c r="E35" s="38" t="str">
        <f>IF(C35=D35,"-",D35-C35)</f>
        <v>-</v>
      </c>
      <c r="F35" s="39" t="str">
        <f>IF(C35=0,"-",D35/C35)</f>
        <v>-</v>
      </c>
      <c r="I35" s="34"/>
    </row>
    <row r="36" spans="1:9" s="2" customFormat="1" ht="31.5" customHeight="1" x14ac:dyDescent="0.2">
      <c r="A36" s="96" t="s">
        <v>56</v>
      </c>
      <c r="B36" s="17" t="s">
        <v>57</v>
      </c>
      <c r="C36" s="32">
        <v>0</v>
      </c>
      <c r="D36" s="37">
        <f>C36</f>
        <v>0</v>
      </c>
      <c r="E36" s="7" t="str">
        <f t="shared" si="0"/>
        <v>-</v>
      </c>
      <c r="F36" s="40" t="str">
        <f t="shared" si="1"/>
        <v>-</v>
      </c>
      <c r="I36" s="34"/>
    </row>
    <row r="37" spans="1:9" s="2" customFormat="1" ht="31.5" customHeight="1" x14ac:dyDescent="0.2">
      <c r="A37" s="96" t="s">
        <v>55</v>
      </c>
      <c r="B37" s="17" t="s">
        <v>58</v>
      </c>
      <c r="C37" s="32">
        <v>0</v>
      </c>
      <c r="D37" s="37">
        <f>C37</f>
        <v>0</v>
      </c>
      <c r="E37" s="7" t="str">
        <f t="shared" si="0"/>
        <v>-</v>
      </c>
      <c r="F37" s="40" t="str">
        <f t="shared" si="1"/>
        <v>-</v>
      </c>
      <c r="I37" s="34"/>
    </row>
    <row r="38" spans="1:9" s="2" customFormat="1" ht="60.75" x14ac:dyDescent="0.2">
      <c r="A38" s="96" t="s">
        <v>187</v>
      </c>
      <c r="B38" s="17" t="s">
        <v>188</v>
      </c>
      <c r="C38" s="32">
        <v>0</v>
      </c>
      <c r="D38" s="37">
        <f>C38</f>
        <v>0</v>
      </c>
      <c r="E38" s="7" t="str">
        <f t="shared" si="0"/>
        <v>-</v>
      </c>
      <c r="F38" s="40" t="str">
        <f t="shared" si="1"/>
        <v>-</v>
      </c>
      <c r="I38" s="34"/>
    </row>
    <row r="39" spans="1:9" s="2" customFormat="1" ht="42.75" customHeight="1" x14ac:dyDescent="0.2">
      <c r="A39" s="96" t="s">
        <v>153</v>
      </c>
      <c r="B39" s="17" t="s">
        <v>154</v>
      </c>
      <c r="C39" s="32">
        <f>C11+C13+C24+C30</f>
        <v>0</v>
      </c>
      <c r="D39" s="32">
        <f>D11+D13+D24+D30</f>
        <v>0</v>
      </c>
      <c r="E39" s="7" t="str">
        <f t="shared" si="0"/>
        <v>-</v>
      </c>
      <c r="F39" s="40" t="str">
        <f t="shared" si="1"/>
        <v>-</v>
      </c>
      <c r="I39" s="34"/>
    </row>
    <row r="40" spans="1:9" ht="30" customHeight="1" x14ac:dyDescent="0.2">
      <c r="A40" s="97" t="s">
        <v>130</v>
      </c>
      <c r="B40" s="85" t="s">
        <v>183</v>
      </c>
      <c r="C40" s="71">
        <f>C41+C42+C43+C51+C53+C59+C60+C58</f>
        <v>260732</v>
      </c>
      <c r="D40" s="71">
        <f>D41+D42+D43+D51+D53+D59+D60+D58</f>
        <v>260732</v>
      </c>
      <c r="E40" s="68" t="str">
        <f t="shared" si="0"/>
        <v>-</v>
      </c>
      <c r="F40" s="86">
        <f t="shared" si="1"/>
        <v>1</v>
      </c>
      <c r="I40" s="34"/>
    </row>
    <row r="41" spans="1:9" ht="28.5" customHeight="1" x14ac:dyDescent="0.2">
      <c r="A41" s="95" t="s">
        <v>16</v>
      </c>
      <c r="B41" s="18" t="s">
        <v>17</v>
      </c>
      <c r="C41" s="31">
        <v>3688</v>
      </c>
      <c r="D41" s="33">
        <f>C41</f>
        <v>3688</v>
      </c>
      <c r="E41" s="38" t="str">
        <f t="shared" si="0"/>
        <v>-</v>
      </c>
      <c r="F41" s="39">
        <f t="shared" si="1"/>
        <v>1</v>
      </c>
      <c r="I41" s="34"/>
    </row>
    <row r="42" spans="1:9" ht="28.5" customHeight="1" x14ac:dyDescent="0.2">
      <c r="A42" s="95" t="s">
        <v>18</v>
      </c>
      <c r="B42" s="18" t="s">
        <v>19</v>
      </c>
      <c r="C42" s="31">
        <v>120484</v>
      </c>
      <c r="D42" s="33">
        <f t="shared" ref="D42:D60" si="4">C42</f>
        <v>120484</v>
      </c>
      <c r="E42" s="38" t="str">
        <f t="shared" si="0"/>
        <v>-</v>
      </c>
      <c r="F42" s="39">
        <f t="shared" si="1"/>
        <v>1</v>
      </c>
      <c r="I42" s="34"/>
    </row>
    <row r="43" spans="1:9" ht="28.5" customHeight="1" x14ac:dyDescent="0.2">
      <c r="A43" s="95" t="s">
        <v>20</v>
      </c>
      <c r="B43" s="19" t="s">
        <v>184</v>
      </c>
      <c r="C43" s="33">
        <f>C44+C46+C47+C48+C49+C50</f>
        <v>1024</v>
      </c>
      <c r="D43" s="33">
        <f>D44+D46+D47+D48+D49+D50</f>
        <v>1024</v>
      </c>
      <c r="E43" s="38" t="str">
        <f t="shared" si="0"/>
        <v>-</v>
      </c>
      <c r="F43" s="39">
        <f t="shared" si="1"/>
        <v>1</v>
      </c>
      <c r="I43" s="34"/>
    </row>
    <row r="44" spans="1:9" ht="28.5" customHeight="1" x14ac:dyDescent="0.2">
      <c r="A44" s="98" t="s">
        <v>37</v>
      </c>
      <c r="B44" s="46" t="s">
        <v>30</v>
      </c>
      <c r="C44" s="31">
        <v>100</v>
      </c>
      <c r="D44" s="33">
        <f t="shared" si="4"/>
        <v>100</v>
      </c>
      <c r="E44" s="38" t="str">
        <f t="shared" si="0"/>
        <v>-</v>
      </c>
      <c r="F44" s="39">
        <f t="shared" si="1"/>
        <v>1</v>
      </c>
      <c r="I44" s="34"/>
    </row>
    <row r="45" spans="1:9" ht="28.5" customHeight="1" x14ac:dyDescent="0.2">
      <c r="A45" s="98" t="s">
        <v>38</v>
      </c>
      <c r="B45" s="47" t="s">
        <v>31</v>
      </c>
      <c r="C45" s="31">
        <v>100</v>
      </c>
      <c r="D45" s="33">
        <f t="shared" si="4"/>
        <v>100</v>
      </c>
      <c r="E45" s="38" t="str">
        <f t="shared" si="0"/>
        <v>-</v>
      </c>
      <c r="F45" s="39">
        <f t="shared" si="1"/>
        <v>1</v>
      </c>
      <c r="I45" s="34"/>
    </row>
    <row r="46" spans="1:9" ht="28.5" customHeight="1" x14ac:dyDescent="0.2">
      <c r="A46" s="98" t="s">
        <v>39</v>
      </c>
      <c r="B46" s="46" t="s">
        <v>32</v>
      </c>
      <c r="C46" s="31">
        <v>94</v>
      </c>
      <c r="D46" s="33">
        <f t="shared" si="4"/>
        <v>94</v>
      </c>
      <c r="E46" s="38" t="str">
        <f t="shared" si="0"/>
        <v>-</v>
      </c>
      <c r="F46" s="39">
        <f t="shared" si="1"/>
        <v>1</v>
      </c>
      <c r="I46" s="34"/>
    </row>
    <row r="47" spans="1:9" ht="28.5" customHeight="1" x14ac:dyDescent="0.2">
      <c r="A47" s="98" t="s">
        <v>40</v>
      </c>
      <c r="B47" s="46" t="s">
        <v>33</v>
      </c>
      <c r="C47" s="31">
        <v>17</v>
      </c>
      <c r="D47" s="33">
        <f t="shared" si="4"/>
        <v>17</v>
      </c>
      <c r="E47" s="38" t="str">
        <f t="shared" si="0"/>
        <v>-</v>
      </c>
      <c r="F47" s="39">
        <f t="shared" si="1"/>
        <v>1</v>
      </c>
      <c r="I47" s="34"/>
    </row>
    <row r="48" spans="1:9" ht="28.5" customHeight="1" x14ac:dyDescent="0.2">
      <c r="A48" s="98" t="s">
        <v>41</v>
      </c>
      <c r="B48" s="46" t="s">
        <v>34</v>
      </c>
      <c r="C48" s="31">
        <v>0</v>
      </c>
      <c r="D48" s="33">
        <f t="shared" si="4"/>
        <v>0</v>
      </c>
      <c r="E48" s="38" t="str">
        <f t="shared" si="0"/>
        <v>-</v>
      </c>
      <c r="F48" s="39" t="str">
        <f t="shared" si="1"/>
        <v>-</v>
      </c>
      <c r="I48" s="34"/>
    </row>
    <row r="49" spans="1:9" ht="28.5" customHeight="1" x14ac:dyDescent="0.2">
      <c r="A49" s="98" t="s">
        <v>42</v>
      </c>
      <c r="B49" s="46" t="s">
        <v>35</v>
      </c>
      <c r="C49" s="31">
        <v>452</v>
      </c>
      <c r="D49" s="33">
        <f t="shared" si="4"/>
        <v>452</v>
      </c>
      <c r="E49" s="38" t="str">
        <f t="shared" si="0"/>
        <v>-</v>
      </c>
      <c r="F49" s="39">
        <f t="shared" si="1"/>
        <v>1</v>
      </c>
      <c r="I49" s="34"/>
    </row>
    <row r="50" spans="1:9" ht="28.5" customHeight="1" x14ac:dyDescent="0.2">
      <c r="A50" s="98" t="s">
        <v>43</v>
      </c>
      <c r="B50" s="46" t="s">
        <v>36</v>
      </c>
      <c r="C50" s="31">
        <v>361</v>
      </c>
      <c r="D50" s="33">
        <f t="shared" si="4"/>
        <v>361</v>
      </c>
      <c r="E50" s="38" t="str">
        <f t="shared" si="0"/>
        <v>-</v>
      </c>
      <c r="F50" s="39">
        <f t="shared" si="1"/>
        <v>1</v>
      </c>
      <c r="I50" s="34"/>
    </row>
    <row r="51" spans="1:9" ht="28.5" customHeight="1" x14ac:dyDescent="0.2">
      <c r="A51" s="95" t="s">
        <v>21</v>
      </c>
      <c r="B51" s="18" t="s">
        <v>155</v>
      </c>
      <c r="C51" s="31">
        <v>46643</v>
      </c>
      <c r="D51" s="33">
        <f t="shared" si="4"/>
        <v>46643</v>
      </c>
      <c r="E51" s="38" t="str">
        <f t="shared" si="0"/>
        <v>-</v>
      </c>
      <c r="F51" s="39">
        <f t="shared" si="1"/>
        <v>1</v>
      </c>
      <c r="I51" s="34"/>
    </row>
    <row r="52" spans="1:9" ht="28.5" customHeight="1" x14ac:dyDescent="0.2">
      <c r="A52" s="98" t="s">
        <v>156</v>
      </c>
      <c r="B52" s="46" t="s">
        <v>157</v>
      </c>
      <c r="C52" s="31">
        <v>423</v>
      </c>
      <c r="D52" s="33">
        <f t="shared" si="4"/>
        <v>423</v>
      </c>
      <c r="E52" s="38" t="str">
        <f t="shared" si="0"/>
        <v>-</v>
      </c>
      <c r="F52" s="39">
        <f t="shared" si="1"/>
        <v>1</v>
      </c>
      <c r="I52" s="34"/>
    </row>
    <row r="53" spans="1:9" ht="28.5" customHeight="1" x14ac:dyDescent="0.2">
      <c r="A53" s="95" t="s">
        <v>22</v>
      </c>
      <c r="B53" s="19" t="s">
        <v>182</v>
      </c>
      <c r="C53" s="29">
        <f>C54+C55+C56+C57</f>
        <v>11241</v>
      </c>
      <c r="D53" s="29">
        <f>D54+D55+D56+D57</f>
        <v>11241</v>
      </c>
      <c r="E53" s="38" t="str">
        <f t="shared" si="0"/>
        <v>-</v>
      </c>
      <c r="F53" s="39">
        <f t="shared" si="1"/>
        <v>1</v>
      </c>
      <c r="I53" s="34"/>
    </row>
    <row r="54" spans="1:9" ht="28.5" customHeight="1" x14ac:dyDescent="0.2">
      <c r="A54" s="98" t="s">
        <v>48</v>
      </c>
      <c r="B54" s="46" t="s">
        <v>44</v>
      </c>
      <c r="C54" s="31">
        <v>8018</v>
      </c>
      <c r="D54" s="33">
        <f t="shared" si="4"/>
        <v>8018</v>
      </c>
      <c r="E54" s="38" t="str">
        <f t="shared" si="0"/>
        <v>-</v>
      </c>
      <c r="F54" s="39">
        <f t="shared" si="1"/>
        <v>1</v>
      </c>
      <c r="I54" s="34"/>
    </row>
    <row r="55" spans="1:9" ht="28.5" customHeight="1" x14ac:dyDescent="0.2">
      <c r="A55" s="98" t="s">
        <v>49</v>
      </c>
      <c r="B55" s="46" t="s">
        <v>45</v>
      </c>
      <c r="C55" s="31">
        <v>1144</v>
      </c>
      <c r="D55" s="33">
        <f t="shared" si="4"/>
        <v>1144</v>
      </c>
      <c r="E55" s="38" t="str">
        <f t="shared" si="0"/>
        <v>-</v>
      </c>
      <c r="F55" s="39">
        <f t="shared" si="1"/>
        <v>1</v>
      </c>
      <c r="I55" s="34"/>
    </row>
    <row r="56" spans="1:9" ht="28.5" customHeight="1" x14ac:dyDescent="0.2">
      <c r="A56" s="98" t="s">
        <v>50</v>
      </c>
      <c r="B56" s="46" t="s">
        <v>46</v>
      </c>
      <c r="C56" s="31">
        <v>0</v>
      </c>
      <c r="D56" s="33">
        <f t="shared" si="4"/>
        <v>0</v>
      </c>
      <c r="E56" s="38" t="str">
        <f t="shared" si="0"/>
        <v>-</v>
      </c>
      <c r="F56" s="39" t="str">
        <f t="shared" si="1"/>
        <v>-</v>
      </c>
      <c r="I56" s="34"/>
    </row>
    <row r="57" spans="1:9" ht="28.5" customHeight="1" x14ac:dyDescent="0.2">
      <c r="A57" s="98" t="s">
        <v>51</v>
      </c>
      <c r="B57" s="46" t="s">
        <v>47</v>
      </c>
      <c r="C57" s="31">
        <v>2079</v>
      </c>
      <c r="D57" s="33">
        <f t="shared" si="4"/>
        <v>2079</v>
      </c>
      <c r="E57" s="38" t="str">
        <f t="shared" si="0"/>
        <v>-</v>
      </c>
      <c r="F57" s="39">
        <f t="shared" si="1"/>
        <v>1</v>
      </c>
      <c r="I57" s="34"/>
    </row>
    <row r="58" spans="1:9" ht="28.5" customHeight="1" x14ac:dyDescent="0.2">
      <c r="A58" s="95" t="s">
        <v>23</v>
      </c>
      <c r="B58" s="18" t="s">
        <v>24</v>
      </c>
      <c r="C58" s="31">
        <v>50</v>
      </c>
      <c r="D58" s="33">
        <f t="shared" si="4"/>
        <v>50</v>
      </c>
      <c r="E58" s="38" t="str">
        <f t="shared" si="0"/>
        <v>-</v>
      </c>
      <c r="F58" s="39">
        <f t="shared" si="1"/>
        <v>1</v>
      </c>
      <c r="I58" s="34"/>
    </row>
    <row r="59" spans="1:9" ht="28.5" customHeight="1" x14ac:dyDescent="0.2">
      <c r="A59" s="95" t="s">
        <v>25</v>
      </c>
      <c r="B59" s="18" t="s">
        <v>158</v>
      </c>
      <c r="C59" s="31">
        <v>75225</v>
      </c>
      <c r="D59" s="33">
        <f t="shared" si="4"/>
        <v>75225</v>
      </c>
      <c r="E59" s="38" t="str">
        <f t="shared" si="0"/>
        <v>-</v>
      </c>
      <c r="F59" s="41">
        <f t="shared" si="1"/>
        <v>1</v>
      </c>
      <c r="I59" s="34"/>
    </row>
    <row r="60" spans="1:9" ht="28.5" customHeight="1" x14ac:dyDescent="0.2">
      <c r="A60" s="95" t="s">
        <v>26</v>
      </c>
      <c r="B60" s="18" t="s">
        <v>27</v>
      </c>
      <c r="C60" s="31">
        <v>2377</v>
      </c>
      <c r="D60" s="33">
        <f t="shared" si="4"/>
        <v>2377</v>
      </c>
      <c r="E60" s="38" t="str">
        <f t="shared" si="0"/>
        <v>-</v>
      </c>
      <c r="F60" s="39">
        <f t="shared" si="1"/>
        <v>1</v>
      </c>
      <c r="I60" s="34"/>
    </row>
    <row r="61" spans="1:9" ht="30" customHeight="1" x14ac:dyDescent="0.2">
      <c r="A61" s="99" t="s">
        <v>132</v>
      </c>
      <c r="B61" s="77" t="s">
        <v>159</v>
      </c>
      <c r="C61" s="87">
        <f>C62+C63+C64+C65</f>
        <v>29017</v>
      </c>
      <c r="D61" s="87">
        <f>D62+D63+D64+D65</f>
        <v>29017</v>
      </c>
      <c r="E61" s="68" t="str">
        <f t="shared" si="0"/>
        <v>-</v>
      </c>
      <c r="F61" s="88">
        <f t="shared" si="1"/>
        <v>1</v>
      </c>
      <c r="I61" s="34"/>
    </row>
    <row r="62" spans="1:9" ht="42" customHeight="1" x14ac:dyDescent="0.2">
      <c r="A62" s="95" t="s">
        <v>99</v>
      </c>
      <c r="B62" s="18" t="s">
        <v>112</v>
      </c>
      <c r="C62" s="31">
        <v>875</v>
      </c>
      <c r="D62" s="33">
        <f>C62</f>
        <v>875</v>
      </c>
      <c r="E62" s="29" t="str">
        <f t="shared" si="0"/>
        <v>-</v>
      </c>
      <c r="F62" s="39">
        <f t="shared" si="1"/>
        <v>1</v>
      </c>
      <c r="I62" s="34"/>
    </row>
    <row r="63" spans="1:9" ht="31.5" customHeight="1" x14ac:dyDescent="0.2">
      <c r="A63" s="95" t="s">
        <v>28</v>
      </c>
      <c r="B63" s="18" t="s">
        <v>53</v>
      </c>
      <c r="C63" s="31">
        <v>1180</v>
      </c>
      <c r="D63" s="33">
        <f>C63</f>
        <v>1180</v>
      </c>
      <c r="E63" s="29" t="str">
        <f t="shared" si="0"/>
        <v>-</v>
      </c>
      <c r="F63" s="39">
        <f t="shared" si="1"/>
        <v>1</v>
      </c>
      <c r="I63" s="34"/>
    </row>
    <row r="64" spans="1:9" ht="31.5" customHeight="1" x14ac:dyDescent="0.2">
      <c r="A64" s="95" t="s">
        <v>29</v>
      </c>
      <c r="B64" s="18" t="s">
        <v>101</v>
      </c>
      <c r="C64" s="31">
        <v>21335</v>
      </c>
      <c r="D64" s="33">
        <f>C64</f>
        <v>21335</v>
      </c>
      <c r="E64" s="29" t="str">
        <f t="shared" si="0"/>
        <v>-</v>
      </c>
      <c r="F64" s="39">
        <f t="shared" si="1"/>
        <v>1</v>
      </c>
      <c r="I64" s="34"/>
    </row>
    <row r="65" spans="1:9" ht="31.5" customHeight="1" x14ac:dyDescent="0.2">
      <c r="A65" s="95" t="s">
        <v>100</v>
      </c>
      <c r="B65" s="18" t="s">
        <v>102</v>
      </c>
      <c r="C65" s="31">
        <v>5627</v>
      </c>
      <c r="D65" s="33">
        <f>C65</f>
        <v>5627</v>
      </c>
      <c r="E65" s="29" t="str">
        <f t="shared" si="0"/>
        <v>-</v>
      </c>
      <c r="F65" s="39">
        <f t="shared" si="1"/>
        <v>1</v>
      </c>
      <c r="I65" s="34"/>
    </row>
    <row r="66" spans="1:9" ht="32.25" customHeight="1" x14ac:dyDescent="0.2">
      <c r="A66" s="99" t="s">
        <v>134</v>
      </c>
      <c r="B66" s="77" t="s">
        <v>113</v>
      </c>
      <c r="C66" s="87">
        <v>30182</v>
      </c>
      <c r="D66" s="87">
        <f>C66</f>
        <v>30182</v>
      </c>
      <c r="E66" s="68" t="str">
        <f t="shared" si="0"/>
        <v>-</v>
      </c>
      <c r="F66" s="88">
        <f t="shared" si="1"/>
        <v>1</v>
      </c>
      <c r="I66" s="34"/>
    </row>
    <row r="72" spans="1:9" x14ac:dyDescent="0.2">
      <c r="C72" s="34"/>
    </row>
  </sheetData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6"/>
  <sheetViews>
    <sheetView showGridLines="0" view="pageBreakPreview" zoomScale="55" zoomScaleNormal="60" zoomScaleSheetLayoutView="55" workbookViewId="0">
      <pane xSplit="2" ySplit="6" topLeftCell="C7" activePane="bottomRight" state="frozen"/>
      <selection activeCell="J7" sqref="J7"/>
      <selection pane="topRight" activeCell="J7" sqref="J7"/>
      <selection pane="bottomLeft" activeCell="J7" sqref="J7"/>
      <selection pane="bottomRight" activeCell="J7" sqref="J7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2.75" customHeight="1" x14ac:dyDescent="0.2">
      <c r="A1" s="112" t="s">
        <v>202</v>
      </c>
      <c r="B1" s="112"/>
      <c r="C1" s="112"/>
      <c r="D1" s="112"/>
      <c r="E1" s="112"/>
      <c r="F1" s="112"/>
    </row>
    <row r="2" spans="1:6" s="22" customFormat="1" ht="33" customHeight="1" x14ac:dyDescent="0.2">
      <c r="A2" s="54" t="s">
        <v>166</v>
      </c>
      <c r="B2" s="54"/>
      <c r="C2" s="54"/>
    </row>
    <row r="3" spans="1:6" ht="33" customHeight="1" x14ac:dyDescent="0.25">
      <c r="A3" s="90"/>
      <c r="B3" s="5"/>
      <c r="C3" s="35"/>
      <c r="D3" s="43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195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198</v>
      </c>
      <c r="C6" s="83">
        <f>C7+C8+C9+C14+C15+C16+C17+C18+C19+C20+C21+C22+C23+C24+C28+C29+C31+C32+C33+C34+C35</f>
        <v>77525700</v>
      </c>
      <c r="D6" s="83">
        <f>D7+D8+D9+D14+D15+D16+D17+D18+D19+D20+D21+D22+D23+D24+D28+D29+D31+D32+D33+D34+D35</f>
        <v>77806560</v>
      </c>
      <c r="E6" s="68">
        <f>IF(C6=D6,"-",D6-C6)</f>
        <v>280860</v>
      </c>
      <c r="F6" s="84">
        <f>IF(C6=0,"-",D6/C6)</f>
        <v>1.004</v>
      </c>
    </row>
    <row r="7" spans="1:6" ht="33" customHeight="1" x14ac:dyDescent="0.2">
      <c r="A7" s="92" t="s">
        <v>1</v>
      </c>
      <c r="B7" s="14" t="s">
        <v>116</v>
      </c>
      <c r="C7" s="31">
        <f>Dolnośląski!C7+KujawskoPomorski!C7+Lubelski!C7+Lubuski!C7+Łódzki!C7+Małopolski!C7+Mazowiecki!C7+Opolski!C7+Podkarpacki!C7+Podlaski!C7+Pomorski!C7+Śląski!C7+Świętokrzyski!C7+WarmińskoMazurski!C7+Wielkopolski!C7+Zachodniopomorski!C7</f>
        <v>10544040</v>
      </c>
      <c r="D7" s="13">
        <f>Dolnośląski!D7+KujawskoPomorski!D7+Lubelski!D7+Lubuski!D7+Łódzki!D7+Małopolski!D7+Mazowiecki!D7+Opolski!D7+Podkarpacki!D7+Podlaski!D7+Pomorski!D7+Śląski!D7+Świętokrzyski!D7+WarmińskoMazurski!D7+Wielkopolski!D7+Zachodniopomorski!D7</f>
        <v>10544040</v>
      </c>
      <c r="E7" s="38" t="str">
        <f t="shared" ref="E7:E66" si="0">IF(C7=D7,"-",D7-C7)</f>
        <v>-</v>
      </c>
      <c r="F7" s="39">
        <f t="shared" ref="F7:F66" si="1">IF(C7=0,"-",D7/C7)</f>
        <v>1</v>
      </c>
    </row>
    <row r="8" spans="1:6" ht="33" customHeight="1" x14ac:dyDescent="0.2">
      <c r="A8" s="92" t="s">
        <v>2</v>
      </c>
      <c r="B8" s="14" t="s">
        <v>117</v>
      </c>
      <c r="C8" s="31">
        <f>Dolnośląski!C8+KujawskoPomorski!C8+Lubelski!C8+Lubuski!C8+Łódzki!C8+Małopolski!C8+Mazowiecki!C8+Opolski!C8+Podkarpacki!C8+Podlaski!C8+Pomorski!C8+Śląski!C8+Świętokrzyski!C8+WarmińskoMazurski!C8+Wielkopolski!C8+Zachodniopomorski!C8</f>
        <v>4498003</v>
      </c>
      <c r="D8" s="13">
        <f>Dolnośląski!D8+KujawskoPomorski!D8+Lubelski!D8+Lubuski!D8+Łódzki!D8+Małopolski!D8+Mazowiecki!D8+Opolski!D8+Podkarpacki!D8+Podlaski!D8+Pomorski!D8+Śląski!D8+Świętokrzyski!D8+WarmińskoMazurski!D8+Wielkopolski!D8+Zachodniopomorski!D8</f>
        <v>4498003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92" t="s">
        <v>3</v>
      </c>
      <c r="B9" s="14" t="s">
        <v>114</v>
      </c>
      <c r="C9" s="31">
        <f>Dolnośląski!C9+KujawskoPomorski!C9+Lubelski!C9+Lubuski!C9+Łódzki!C9+Małopolski!C9+Mazowiecki!C9+Opolski!C9+Podkarpacki!C9+Podlaski!C9+Pomorski!C9+Śląski!C9+Świętokrzyski!C9+WarmińskoMazurski!C9+Wielkopolski!C9+Zachodniopomorski!C9</f>
        <v>40134546</v>
      </c>
      <c r="D9" s="13">
        <f>Dolnośląski!D9+KujawskoPomorski!D9+Lubelski!D9+Lubuski!D9+Łódzki!D9+Małopolski!D9+Mazowiecki!D9+Opolski!D9+Podkarpacki!D9+Podlaski!D9+Pomorski!D9+Śląski!D9+Świętokrzyski!D9+WarmińskoMazurski!D9+Wielkopolski!D9+Zachodniopomorski!D9</f>
        <v>40314546</v>
      </c>
      <c r="E9" s="38">
        <f t="shared" si="0"/>
        <v>180000</v>
      </c>
      <c r="F9" s="39">
        <f t="shared" si="1"/>
        <v>1.0044999999999999</v>
      </c>
    </row>
    <row r="10" spans="1:6" ht="31.5" customHeight="1" x14ac:dyDescent="0.2">
      <c r="A10" s="93" t="s">
        <v>54</v>
      </c>
      <c r="B10" s="45" t="s">
        <v>199</v>
      </c>
      <c r="C10" s="31">
        <f>Dolnośląski!C10+KujawskoPomorski!C10+Lubelski!C10+Lubuski!C10+Łódzki!C10+Małopolski!C10+Mazowiecki!C10+Opolski!C10+Podkarpacki!C10+Podlaski!C10+Pomorski!C10+Śląski!C10+Świętokrzyski!C10+WarmińskoMazurski!C10+Wielkopolski!C10+Zachodniopomorski!C10</f>
        <v>3626597</v>
      </c>
      <c r="D10" s="13">
        <f>Dolnośląski!D10+KujawskoPomorski!D10+Lubelski!D10+Lubuski!D10+Łódzki!D10+Małopolski!D10+Mazowiecki!D10+Opolski!D10+Podkarpacki!D10+Podlaski!D10+Pomorski!D10+Śląski!D10+Świętokrzyski!D10+WarmińskoMazurski!D10+Wielkopolski!D10+Zachodniopomorski!D10</f>
        <v>3626597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93" t="s">
        <v>139</v>
      </c>
      <c r="B11" s="45" t="s">
        <v>142</v>
      </c>
      <c r="C11" s="31">
        <f>Dolnośląski!C11+KujawskoPomorski!C11+Lubelski!C11+Lubuski!C11+Łódzki!C11+Małopolski!C11+Mazowiecki!C11+Opolski!C11+Podkarpacki!C11+Podlaski!C11+Pomorski!C11+Śląski!C11+Świętokrzyski!C11+WarmińskoMazurski!C11+Wielkopolski!C11+Zachodniopomorski!C11</f>
        <v>3297242</v>
      </c>
      <c r="D11" s="13">
        <f>Dolnośląski!D11+KujawskoPomorski!D11+Lubelski!D11+Lubuski!D11+Łódzki!D11+Małopolski!D11+Mazowiecki!D11+Opolski!D11+Podkarpacki!D11+Podlaski!D11+Pomorski!D11+Śląski!D11+Świętokrzyski!D11+WarmińskoMazurski!D11+Wielkopolski!D11+Zachodniopomorski!D11</f>
        <v>3297242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f>Dolnośląski!C12+KujawskoPomorski!C12+Lubelski!C12+Lubuski!C12+Łódzki!C12+Małopolski!C12+Mazowiecki!C12+Opolski!C12+Podkarpacki!C12+Podlaski!C12+Pomorski!C12+Śląski!C12+Świętokrzyski!C12+WarmińskoMazurski!C12+Wielkopolski!C12+Zachodniopomorski!C12</f>
        <v>1448100</v>
      </c>
      <c r="D12" s="13">
        <f>Dolnośląski!D12+KujawskoPomorski!D12+Lubelski!D12+Lubuski!D12+Łódzki!D12+Małopolski!D12+Mazowiecki!D12+Opolski!D12+Podkarpacki!D12+Podlaski!D12+Pomorski!D12+Śląski!D12+Świętokrzyski!D12+WarmińskoMazurski!D12+Wielkopolski!D12+Zachodniopomorski!D12</f>
        <v>1448100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93" t="s">
        <v>141</v>
      </c>
      <c r="B13" s="45" t="s">
        <v>144</v>
      </c>
      <c r="C13" s="31">
        <f>Dolnośląski!C13+KujawskoPomorski!C13+Lubelski!C13+Lubuski!C13+Łódzki!C13+Małopolski!C13+Mazowiecki!C13+Opolski!C13+Podkarpacki!C13+Podlaski!C13+Pomorski!C13+Śląski!C13+Świętokrzyski!C13+WarmińskoMazurski!C13+Wielkopolski!C13+Zachodniopomorski!C13</f>
        <v>683143</v>
      </c>
      <c r="D13" s="13">
        <f>Dolnośląski!D13+KujawskoPomorski!D13+Lubelski!D13+Lubuski!D13+Łódzki!D13+Małopolski!D13+Mazowiecki!D13+Opolski!D13+Podkarpacki!D13+Podlaski!D13+Pomorski!D13+Śląski!D13+Świętokrzyski!D13+WarmińskoMazurski!D13+Wielkopolski!D13+Zachodniopomorski!D13</f>
        <v>683143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f>Dolnośląski!C14+KujawskoPomorski!C14+Lubelski!C14+Lubuski!C14+Łódzki!C14+Małopolski!C14+Mazowiecki!C14+Opolski!C14+Podkarpacki!C14+Podlaski!C14+Pomorski!C14+Śląski!C14+Świętokrzyski!C14+WarmińskoMazurski!C14+Wielkopolski!C14+Zachodniopomorski!C14</f>
        <v>2852304</v>
      </c>
      <c r="D14" s="13">
        <f>Dolnośląski!D14+KujawskoPomorski!D14+Lubelski!D14+Lubuski!D14+Łódzki!D14+Małopolski!D14+Mazowiecki!D14+Opolski!D14+Podkarpacki!D14+Podlaski!D14+Pomorski!D14+Śląski!D14+Świętokrzyski!D14+WarmińskoMazurski!D14+Wielkopolski!D14+Zachodniopomorski!D14</f>
        <v>2910044</v>
      </c>
      <c r="E14" s="38">
        <f t="shared" si="0"/>
        <v>57740</v>
      </c>
      <c r="F14" s="39">
        <f t="shared" si="1"/>
        <v>1.0202</v>
      </c>
    </row>
    <row r="15" spans="1:6" ht="33" customHeight="1" x14ac:dyDescent="0.2">
      <c r="A15" s="92" t="s">
        <v>5</v>
      </c>
      <c r="B15" s="14" t="s">
        <v>118</v>
      </c>
      <c r="C15" s="31">
        <f>Dolnośląski!C15+KujawskoPomorski!C15+Lubelski!C15+Lubuski!C15+Łódzki!C15+Małopolski!C15+Mazowiecki!C15+Opolski!C15+Podkarpacki!C15+Podlaski!C15+Pomorski!C15+Śląski!C15+Świętokrzyski!C15+WarmińskoMazurski!C15+Wielkopolski!C15+Zachodniopomorski!C15</f>
        <v>2419700</v>
      </c>
      <c r="D15" s="13">
        <f>Dolnośląski!D15+KujawskoPomorski!D15+Lubelski!D15+Lubuski!D15+Łódzki!D15+Małopolski!D15+Mazowiecki!D15+Opolski!D15+Podkarpacki!D15+Podlaski!D15+Pomorski!D15+Śląski!D15+Świętokrzyski!D15+WarmińskoMazurski!D15+Wielkopolski!D15+Zachodniopomorski!D15</f>
        <v>2419700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92" t="s">
        <v>6</v>
      </c>
      <c r="B16" s="14" t="s">
        <v>124</v>
      </c>
      <c r="C16" s="31">
        <f>Dolnośląski!C16+KujawskoPomorski!C16+Lubelski!C16+Lubuski!C16+Łódzki!C16+Małopolski!C16+Mazowiecki!C16+Opolski!C16+Podkarpacki!C16+Podlaski!C16+Pomorski!C16+Śląski!C16+Świętokrzyski!C16+WarmińskoMazurski!C16+Wielkopolski!C16+Zachodniopomorski!C16</f>
        <v>1567282</v>
      </c>
      <c r="D16" s="13">
        <f>Dolnośląski!D16+KujawskoPomorski!D16+Lubelski!D16+Lubuski!D16+Łódzki!D16+Małopolski!D16+Mazowiecki!D16+Opolski!D16+Podkarpacki!D16+Podlaski!D16+Pomorski!D16+Śląski!D16+Świętokrzyski!D16+WarmińskoMazurski!D16+Wielkopolski!D16+Zachodniopomorski!D16</f>
        <v>1567282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92" t="s">
        <v>7</v>
      </c>
      <c r="B17" s="14" t="s">
        <v>123</v>
      </c>
      <c r="C17" s="31">
        <f>Dolnośląski!C17+KujawskoPomorski!C17+Lubelski!C17+Lubuski!C17+Łódzki!C17+Małopolski!C17+Mazowiecki!C17+Opolski!C17+Podkarpacki!C17+Podlaski!C17+Pomorski!C17+Śląski!C17+Świętokrzyski!C17+WarmińskoMazurski!C17+Wielkopolski!C17+Zachodniopomorski!C17</f>
        <v>711836</v>
      </c>
      <c r="D17" s="13">
        <f>Dolnośląski!D17+KujawskoPomorski!D17+Lubelski!D17+Lubuski!D17+Łódzki!D17+Małopolski!D17+Mazowiecki!D17+Opolski!D17+Podkarpacki!D17+Podlaski!D17+Pomorski!D17+Śląski!D17+Świętokrzyski!D17+WarmińskoMazurski!D17+Wielkopolski!D17+Zachodniopomorski!D17</f>
        <v>711836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92" t="s">
        <v>8</v>
      </c>
      <c r="B18" s="14" t="s">
        <v>119</v>
      </c>
      <c r="C18" s="31">
        <f>Dolnośląski!C18+KujawskoPomorski!C18+Lubelski!C18+Lubuski!C18+Łódzki!C18+Małopolski!C18+Mazowiecki!C18+Opolski!C18+Podkarpacki!C18+Podlaski!C18+Pomorski!C18+Śląski!C18+Świętokrzyski!C18+WarmińskoMazurski!C18+Wielkopolski!C18+Zachodniopomorski!C18</f>
        <v>1896520</v>
      </c>
      <c r="D18" s="13">
        <f>Dolnośląski!D18+KujawskoPomorski!D18+Lubelski!D18+Lubuski!D18+Łódzki!D18+Małopolski!D18+Mazowiecki!D18+Opolski!D18+Podkarpacki!D18+Podlaski!D18+Pomorski!D18+Śląski!D18+Świętokrzyski!D18+WarmińskoMazurski!D18+Wielkopolski!D18+Zachodniopomorski!D18</f>
        <v>1896520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92" t="s">
        <v>9</v>
      </c>
      <c r="B19" s="14" t="s">
        <v>120</v>
      </c>
      <c r="C19" s="31">
        <f>Dolnośląski!C19+KujawskoPomorski!C19+Lubelski!C19+Lubuski!C19+Łódzki!C19+Małopolski!C19+Mazowiecki!C19+Opolski!C19+Podkarpacki!C19+Podlaski!C19+Pomorski!C19+Śląski!C19+Świętokrzyski!C19+WarmińskoMazurski!C19+Wielkopolski!C19+Zachodniopomorski!C19</f>
        <v>683924</v>
      </c>
      <c r="D19" s="13">
        <f>Dolnośląski!D19+KujawskoPomorski!D19+Lubelski!D19+Lubuski!D19+Łódzki!D19+Małopolski!D19+Mazowiecki!D19+Opolski!D19+Podkarpacki!D19+Podlaski!D19+Pomorski!D19+Śląski!D19+Świętokrzyski!D19+WarmińskoMazurski!D19+Wielkopolski!D19+Zachodniopomorski!D19</f>
        <v>683924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92" t="s">
        <v>10</v>
      </c>
      <c r="B20" s="14" t="s">
        <v>125</v>
      </c>
      <c r="C20" s="31">
        <f>Dolnośląski!C20+KujawskoPomorski!C20+Lubelski!C20+Lubuski!C20+Łódzki!C20+Małopolski!C20+Mazowiecki!C20+Opolski!C20+Podkarpacki!C20+Podlaski!C20+Pomorski!C20+Śląski!C20+Świętokrzyski!C20+WarmińskoMazurski!C20+Wielkopolski!C20+Zachodniopomorski!C20</f>
        <v>49909</v>
      </c>
      <c r="D20" s="13">
        <f>Dolnośląski!D20+KujawskoPomorski!D20+Lubelski!D20+Lubuski!D20+Łódzki!D20+Małopolski!D20+Mazowiecki!D20+Opolski!D20+Podkarpacki!D20+Podlaski!D20+Pomorski!D20+Śląski!D20+Świętokrzyski!D20+WarmińskoMazurski!D20+Wielkopolski!D20+Zachodniopomorski!D20</f>
        <v>49909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f>Dolnośląski!C21+KujawskoPomorski!C21+Lubelski!C21+Lubuski!C21+Łódzki!C21+Małopolski!C21+Mazowiecki!C21+Opolski!C21+Podkarpacki!C21+Podlaski!C21+Pomorski!C21+Śląski!C21+Świętokrzyski!C21+WarmińskoMazurski!C21+Wielkopolski!C21+Zachodniopomorski!C21</f>
        <v>203266</v>
      </c>
      <c r="D21" s="13">
        <f>Dolnośląski!D21+KujawskoPomorski!D21+Lubelski!D21+Lubuski!D21+Łódzki!D21+Małopolski!D21+Mazowiecki!D21+Opolski!D21+Podkarpacki!D21+Podlaski!D21+Pomorski!D21+Śląski!D21+Świętokrzyski!D21+WarmińskoMazurski!D21+Wielkopolski!D21+Zachodniopomorski!D21</f>
        <v>203266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92" t="s">
        <v>12</v>
      </c>
      <c r="B22" s="14" t="s">
        <v>161</v>
      </c>
      <c r="C22" s="31">
        <f>Dolnośląski!C22+KujawskoPomorski!C22+Lubelski!C22+Lubuski!C22+Łódzki!C22+Małopolski!C22+Mazowiecki!C22+Opolski!C22+Podkarpacki!C22+Podlaski!C22+Pomorski!C22+Śląski!C22+Świętokrzyski!C22+WarmińskoMazurski!C22+Wielkopolski!C22+Zachodniopomorski!C22</f>
        <v>2032132</v>
      </c>
      <c r="D22" s="13">
        <f>Dolnośląski!D22+KujawskoPomorski!D22+Lubelski!D22+Lubuski!D22+Łódzki!D22+Małopolski!D22+Mazowiecki!D22+Opolski!D22+Podkarpacki!D22+Podlaski!D22+Pomorski!D22+Śląski!D22+Świętokrzyski!D22+WarmińskoMazurski!D22+Wielkopolski!D22+Zachodniopomorski!D22</f>
        <v>2032132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92" t="s">
        <v>13</v>
      </c>
      <c r="B23" s="14" t="s">
        <v>145</v>
      </c>
      <c r="C23" s="31">
        <f>Dolnośląski!C23+KujawskoPomorski!C23+Lubelski!C23+Lubuski!C23+Łódzki!C23+Małopolski!C23+Mazowiecki!C23+Opolski!C23+Podkarpacki!C23+Podlaski!C23+Pomorski!C23+Śląski!C23+Świętokrzyski!C23+WarmińskoMazurski!C23+Wielkopolski!C23+Zachodniopomorski!C23</f>
        <v>1076269</v>
      </c>
      <c r="D23" s="13">
        <f>Dolnośląski!D23+KujawskoPomorski!D23+Lubelski!D23+Lubuski!D23+Łódzki!D23+Małopolski!D23+Mazowiecki!D23+Opolski!D23+Podkarpacki!D23+Podlaski!D23+Pomorski!D23+Śląski!D23+Świętokrzyski!D23+WarmińskoMazurski!D23+Wielkopolski!D23+Zachodniopomorski!D23</f>
        <v>1076269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94" t="s">
        <v>14</v>
      </c>
      <c r="B24" s="30" t="s">
        <v>177</v>
      </c>
      <c r="C24" s="31">
        <f>Dolnośląski!C24+KujawskoPomorski!C24+Lubelski!C24+Lubuski!C24+Łódzki!C24+Małopolski!C24+Mazowiecki!C24+Opolski!C24+Podkarpacki!C24+Podlaski!C24+Pomorski!C24+Śląski!C24+Świętokrzyski!C24+WarmińskoMazurski!C24+Wielkopolski!C24+Zachodniopomorski!C24</f>
        <v>8355367</v>
      </c>
      <c r="D24" s="31">
        <f>Dolnośląski!D24+KujawskoPomorski!D24+Lubelski!D24+Lubuski!D24+Łódzki!D24+Małopolski!D24+Mazowiecki!D24+Opolski!D24+Podkarpacki!D24+Podlaski!D24+Pomorski!D24+Śląski!D24+Świętokrzyski!D24+WarmińskoMazurski!D24+Wielkopolski!D24+Zachodniopomorski!D24</f>
        <v>8355367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f>Dolnośląski!C25+KujawskoPomorski!C25+Lubelski!C25+Lubuski!C25+Łódzki!C25+Małopolski!C25+Mazowiecki!C25+Opolski!C25+Podkarpacki!C25+Podlaski!C25+Pomorski!C25+Śląski!C25+Świętokrzyski!C25+WarmińskoMazurski!C25+Wielkopolski!C25+Zachodniopomorski!C25</f>
        <v>8321856</v>
      </c>
      <c r="D25" s="13">
        <f>Dolnośląski!D25+KujawskoPomorski!D25+Lubelski!D25+Lubuski!D25+Łódzki!D25+Małopolski!D25+Mazowiecki!D25+Opolski!D25+Podkarpacki!D25+Podlaski!D25+Pomorski!D25+Śląski!D25+Świętokrzyski!D25+WarmińskoMazurski!D25+Wielkopolski!D25+Zachodniopomorski!D25</f>
        <v>8321856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f>Dolnośląski!C26+KujawskoPomorski!C26+Lubelski!C26+Lubuski!C26+Łódzki!C26+Małopolski!C26+Mazowiecki!C26+Opolski!C26+Podkarpacki!C26+Podlaski!C26+Pomorski!C26+Śląski!C26+Świętokrzyski!C26+WarmińskoMazurski!C26+Wielkopolski!C26+Zachodniopomorski!C26</f>
        <v>20622</v>
      </c>
      <c r="D26" s="13">
        <f>Dolnośląski!D26+KujawskoPomorski!D26+Lubelski!D26+Lubuski!D26+Łódzki!D26+Małopolski!D26+Mazowiecki!D26+Opolski!D26+Podkarpacki!D26+Podlaski!D26+Pomorski!D26+Śląski!D26+Świętokrzyski!D26+WarmińskoMazurski!D26+Wielkopolski!D26+Zachodniopomorski!D26</f>
        <v>20622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f>Dolnośląski!C27+KujawskoPomorski!C27+Lubelski!C27+Lubuski!C27+Łódzki!C27+Małopolski!C27+Mazowiecki!C27+Opolski!C27+Podkarpacki!C27+Podlaski!C27+Pomorski!C27+Śląski!C27+Świętokrzyski!C27+WarmińskoMazurski!C27+Wielkopolski!C27+Zachodniopomorski!C27</f>
        <v>12889</v>
      </c>
      <c r="D27" s="13">
        <f>Dolnośląski!D27+KujawskoPomorski!D27+Lubelski!D27+Lubuski!D27+Łódzki!D27+Małopolski!D27+Mazowiecki!D27+Opolski!D27+Podkarpacki!D27+Podlaski!D27+Pomorski!D27+Śląski!D27+Świętokrzyski!D27+WarmińskoMazurski!D27+Wielkopolski!D27+Zachodniopomorski!D27</f>
        <v>12889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f>Dolnośląski!C28+KujawskoPomorski!C28+Lubelski!C28+Lubuski!C28+Łódzki!C28+Małopolski!C28+Mazowiecki!C28+Opolski!C28+Podkarpacki!C28+Podlaski!C28+Pomorski!C28+Śląski!C28+Świętokrzyski!C28+WarmińskoMazurski!C28+Wielkopolski!C28+Zachodniopomorski!C28</f>
        <v>0</v>
      </c>
      <c r="D28" s="13">
        <f>Dolnośląski!D28+KujawskoPomorski!D28+Lubelski!D28+Lubuski!D28+Łódzki!D28+Małopolski!D28+Mazowiecki!D28+Opolski!D28+Podkarpacki!D28+Podlaski!D28+Pomorski!D28+Śląski!D28+Świętokrzyski!D28+WarmińskoMazurski!D28+Wielkopolski!D28+Zachodniopomorski!D28</f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f>Dolnośląski!C29+KujawskoPomorski!C29+Lubelski!C29+Lubuski!C29+Łódzki!C29+Małopolski!C29+Mazowiecki!C29+Opolski!C29+Podkarpacki!C29+Podlaski!C29+Pomorski!C29+Śląski!C29+Świętokrzyski!C29+WarmińskoMazurski!C29+Wielkopolski!C29+Zachodniopomorski!C29</f>
        <v>115784</v>
      </c>
      <c r="D29" s="13">
        <f>Dolnośląski!D29+KujawskoPomorski!D29+Lubelski!D29+Lubuski!D29+Łódzki!D29+Małopolski!D29+Mazowiecki!D29+Opolski!D29+Podkarpacki!D29+Podlaski!D29+Pomorski!D29+Śląski!D29+Świętokrzyski!D29+WarmińskoMazurski!D29+Wielkopolski!D29+Zachodniopomorski!D29</f>
        <v>115784</v>
      </c>
      <c r="E29" s="38" t="str">
        <f t="shared" si="0"/>
        <v>-</v>
      </c>
      <c r="F29" s="39">
        <f t="shared" si="1"/>
        <v>1</v>
      </c>
    </row>
    <row r="30" spans="1:6" ht="31.5" customHeight="1" x14ac:dyDescent="0.2">
      <c r="A30" s="93" t="s">
        <v>152</v>
      </c>
      <c r="B30" s="45" t="s">
        <v>163</v>
      </c>
      <c r="C30" s="31">
        <f>Dolnośląski!C30+KujawskoPomorski!C30+Lubelski!C30+Lubuski!C30+Łódzki!C30+Małopolski!C30+Mazowiecki!C30+Opolski!C30+Podkarpacki!C30+Podlaski!C30+Pomorski!C30+Śląski!C30+Świętokrzyski!C30+WarmińskoMazurski!C30+Wielkopolski!C30+Zachodniopomorski!C30</f>
        <v>12390</v>
      </c>
      <c r="D30" s="13">
        <f>Dolnośląski!D30+KujawskoPomorski!D30+Lubelski!D30+Lubuski!D30+Łódzki!D30+Małopolski!D30+Mazowiecki!D30+Opolski!D30+Podkarpacki!D30+Podlaski!D30+Pomorski!D30+Śląski!D30+Świętokrzyski!D30+WarmińskoMazurski!D30+Wielkopolski!D30+Zachodniopomorski!D30</f>
        <v>12390</v>
      </c>
      <c r="E30" s="38" t="str">
        <f t="shared" si="0"/>
        <v>-</v>
      </c>
      <c r="F30" s="39">
        <f t="shared" si="1"/>
        <v>1</v>
      </c>
    </row>
    <row r="31" spans="1:6" ht="33" customHeight="1" x14ac:dyDescent="0.2">
      <c r="A31" s="95" t="s">
        <v>108</v>
      </c>
      <c r="B31" s="16" t="s">
        <v>111</v>
      </c>
      <c r="C31" s="31">
        <f>Dolnośląski!C31+KujawskoPomorski!C31+Lubelski!C31+Lubuski!C31+Łódzki!C31+Małopolski!C31+Mazowiecki!C31+Opolski!C31+Podkarpacki!C31+Podlaski!C31+Pomorski!C31+Śląski!C31+Świętokrzyski!C31+WarmińskoMazurski!C31+Wielkopolski!C31+Zachodniopomorski!C31</f>
        <v>0</v>
      </c>
      <c r="D31" s="13">
        <f>Dolnośląski!D31+KujawskoPomorski!D31+Lubelski!D31+Lubuski!D31+Łódzki!D31+Małopolski!D31+Mazowiecki!D31+Opolski!D31+Podkarpacki!D31+Podlaski!D31+Pomorski!D31+Śląski!D31+Świętokrzyski!D31+WarmińskoMazurski!D31+Wielkopolski!D31+Zachodniopomorski!D31</f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f>Dolnośląski!C32+KujawskoPomorski!C32+Lubelski!C32+Lubuski!C32+Łódzki!C32+Małopolski!C32+Mazowiecki!C32+Opolski!C32+Podkarpacki!C32+Podlaski!C32+Pomorski!C32+Śląski!C32+Świętokrzyski!C32+WarmińskoMazurski!C32+Wielkopolski!C32+Zachodniopomorski!C32</f>
        <v>345506</v>
      </c>
      <c r="D32" s="13">
        <f>Dolnośląski!D32+KujawskoPomorski!D32+Lubelski!D32+Lubuski!D32+Łódzki!D32+Małopolski!D32+Mazowiecki!D32+Opolski!D32+Podkarpacki!D32+Podlaski!D32+Pomorski!D32+Śląski!D32+Świętokrzyski!D32+WarmińskoMazurski!D32+Wielkopolski!D32+Zachodniopomorski!D32</f>
        <v>345506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178</v>
      </c>
      <c r="B33" s="16" t="s">
        <v>179</v>
      </c>
      <c r="C33" s="31">
        <f>Dolnośląski!C33+KujawskoPomorski!C33+Lubelski!C33+Lubuski!C33+Łódzki!C33+Małopolski!C33+Mazowiecki!C33+Opolski!C33+Podkarpacki!C33+Podlaski!C33+Pomorski!C33+Śląski!C33+Świętokrzyski!C33+WarmińskoMazurski!C33+Wielkopolski!C33+Zachodniopomorski!C33</f>
        <v>0</v>
      </c>
      <c r="D33" s="13">
        <f>Dolnośląski!D33+KujawskoPomorski!D33+Lubelski!D33+Lubuski!D33+Łódzki!D33+Małopolski!D33+Mazowiecki!D33+Opolski!D33+Podkarpacki!D33+Podlaski!D33+Pomorski!D33+Śląski!D33+Świętokrzyski!D33+WarmińskoMazurski!D33+Wielkopolski!D33+Zachodniopomorski!D33</f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f>Dolnośląski!C34+KujawskoPomorski!C34+Lubelski!C34+Lubuski!C34+Łódzki!C34+Małopolski!C34+Mazowiecki!C34+Opolski!C34+Podkarpacki!C34+Podlaski!C34+Pomorski!C34+Śląski!C34+Świętokrzyski!C34+WarmińskoMazurski!C34+Wielkopolski!C34+Zachodniopomorski!C34</f>
        <v>22877</v>
      </c>
      <c r="D34" s="13">
        <f>Dolnośląski!D34+KujawskoPomorski!D34+Lubelski!D34+Lubuski!D34+Łódzki!D34+Małopolski!D34+Mazowiecki!D34+Opolski!D34+Podkarpacki!D34+Podlaski!D34+Pomorski!D34+Śląski!D34+Świętokrzyski!D34+WarmińskoMazurski!D34+Wielkopolski!D34+Zachodniopomorski!D34</f>
        <v>22877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196</v>
      </c>
      <c r="B35" s="16" t="s">
        <v>197</v>
      </c>
      <c r="C35" s="31">
        <f>Dolnośląski!C35+KujawskoPomorski!C35+Lubelski!C35+Lubuski!C35+Łódzki!C35+Małopolski!C35+Mazowiecki!C35+Opolski!C35+Podkarpacki!C35+Podlaski!C35+Pomorski!C35+Śląski!C35+Świętokrzyski!C35+WarmińskoMazurski!C35+Wielkopolski!C35+Zachodniopomorski!C35</f>
        <v>16435</v>
      </c>
      <c r="D35" s="13">
        <f>Dolnośląski!D35+KujawskoPomorski!D35+Lubelski!D35+Lubuski!D35+Łódzki!D35+Małopolski!D35+Mazowiecki!D35+Opolski!D35+Podkarpacki!D35+Podlaski!D35+Pomorski!D35+Śląski!D35+Świętokrzyski!D35+WarmińskoMazurski!D35+Wielkopolski!D35+Zachodniopomorski!D35</f>
        <v>59555</v>
      </c>
      <c r="E35" s="38">
        <f>IF(C35=D35,"-",D35-C35)</f>
        <v>43120</v>
      </c>
      <c r="F35" s="39">
        <f>IF(C35=0,"-",D35/C35)</f>
        <v>3.6236999999999999</v>
      </c>
    </row>
    <row r="36" spans="1:6" s="2" customFormat="1" ht="31.5" customHeight="1" x14ac:dyDescent="0.2">
      <c r="A36" s="96" t="s">
        <v>56</v>
      </c>
      <c r="B36" s="17" t="s">
        <v>57</v>
      </c>
      <c r="C36" s="37">
        <f>Dolnośląski!C36+KujawskoPomorski!C36+Lubelski!C36+Lubuski!C36+Łódzki!C36+Małopolski!C36+Mazowiecki!C36+Opolski!C36+Podkarpacki!C36+Podlaski!C36+Pomorski!C36+Śląski!C36+Świętokrzyski!C36+WarmińskoMazurski!C36+Wielkopolski!C36+Zachodniopomorski!C36</f>
        <v>4790</v>
      </c>
      <c r="D36" s="37">
        <f>Dolnośląski!D36+KujawskoPomorski!D36+Lubelski!D36+Lubuski!D36+Łódzki!D36+Małopolski!D36+Mazowiecki!D36+Opolski!D36+Podkarpacki!D36+Podlaski!D36+Pomorski!D36+Śląski!D36+Świętokrzyski!D36+WarmińskoMazurski!D36+Wielkopolski!D36+Zachodniopomorski!D36</f>
        <v>4790</v>
      </c>
      <c r="E36" s="7" t="str">
        <f t="shared" si="0"/>
        <v>-</v>
      </c>
      <c r="F36" s="40">
        <f t="shared" si="1"/>
        <v>1</v>
      </c>
    </row>
    <row r="37" spans="1:6" s="2" customFormat="1" ht="31.5" customHeight="1" x14ac:dyDescent="0.2">
      <c r="A37" s="96" t="s">
        <v>55</v>
      </c>
      <c r="B37" s="17" t="s">
        <v>58</v>
      </c>
      <c r="C37" s="37">
        <f>Dolnośląski!C37+KujawskoPomorski!C37+Lubelski!C37+Lubuski!C37+Łódzki!C37+Małopolski!C37+Mazowiecki!C37+Opolski!C37+Podkarpacki!C37+Podlaski!C37+Pomorski!C37+Śląski!C37+Świętokrzyski!C37+WarmińskoMazurski!C37+Wielkopolski!C37+Zachodniopomorski!C37</f>
        <v>1911303</v>
      </c>
      <c r="D37" s="37">
        <f>Dolnośląski!D37+KujawskoPomorski!D37+Lubelski!D37+Lubuski!D37+Łódzki!D37+Małopolski!D37+Mazowiecki!D37+Opolski!D37+Podkarpacki!D37+Podlaski!D37+Pomorski!D37+Śląski!D37+Świętokrzyski!D37+WarmińskoMazurski!D37+Wielkopolski!D37+Zachodniopomorski!D37</f>
        <v>1911303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7">
        <f>Dolnośląski!C38+KujawskoPomorski!C38+Lubelski!C38+Lubuski!C38+Łódzki!C38+Małopolski!C38+Mazowiecki!C38+Opolski!C38+Podkarpacki!C38+Podlaski!C38+Pomorski!C38+Śląski!C38+Świętokrzyski!C38+WarmińskoMazurski!C38+Wielkopolski!C38+Zachodniopomorski!C38</f>
        <v>643300</v>
      </c>
      <c r="D38" s="37">
        <f>Dolnośląski!D38+KujawskoPomorski!D38+Lubelski!D38+Lubuski!D38+Łódzki!D38+Małopolski!D38+Mazowiecki!D38+Opolski!D38+Podkarpacki!D38+Podlaski!D38+Pomorski!D38+Śląski!D38+Świętokrzyski!D38+WarmińskoMazurski!D38+Wielkopolski!D38+Zachodniopomorski!D38</f>
        <v>643300</v>
      </c>
      <c r="E38" s="7" t="str">
        <f t="shared" si="0"/>
        <v>-</v>
      </c>
      <c r="F38" s="40">
        <f t="shared" si="1"/>
        <v>1</v>
      </c>
    </row>
    <row r="39" spans="1:6" s="2" customFormat="1" ht="42.75" customHeight="1" x14ac:dyDescent="0.2">
      <c r="A39" s="96" t="s">
        <v>153</v>
      </c>
      <c r="B39" s="17" t="s">
        <v>154</v>
      </c>
      <c r="C39" s="32">
        <f>Dolnośląski!C39+KujawskoPomorski!C39+Lubelski!C39+Lubuski!C39+Łódzki!C39+Małopolski!C39+Mazowiecki!C39+Opolski!C39+Podkarpacki!C39+Podlaski!C39+Pomorski!C39+Śląski!C39+Świętokrzyski!C39+WarmińskoMazurski!C39+Wielkopolski!C39+Zachodniopomorski!C39</f>
        <v>12348142</v>
      </c>
      <c r="D39" s="32">
        <f>Dolnośląski!D39+KujawskoPomorski!D39+Lubelski!D39+Lubuski!D39+Łódzki!D39+Małopolski!D39+Mazowiecki!D39+Opolski!D39+Podkarpacki!D39+Podlaski!D39+Pomorski!D39+Śląski!D39+Świętokrzyski!D39+WarmińskoMazurski!D39+Wielkopolski!D39+Zachodniopomorski!D39</f>
        <v>12348142</v>
      </c>
      <c r="E39" s="7" t="str">
        <f t="shared" si="0"/>
        <v>-</v>
      </c>
      <c r="F39" s="40">
        <f t="shared" si="1"/>
        <v>1</v>
      </c>
    </row>
    <row r="40" spans="1:6" ht="30" customHeight="1" x14ac:dyDescent="0.2">
      <c r="A40" s="97" t="s">
        <v>130</v>
      </c>
      <c r="B40" s="85" t="s">
        <v>183</v>
      </c>
      <c r="C40" s="71">
        <f>C41+C42+C43+C51+C53+C59+C60+C58</f>
        <v>525122</v>
      </c>
      <c r="D40" s="71">
        <f>D41+D42+D43+D51+D53+D59+D60+D58</f>
        <v>525122</v>
      </c>
      <c r="E40" s="68" t="str">
        <f t="shared" si="0"/>
        <v>-</v>
      </c>
      <c r="F40" s="86">
        <f t="shared" si="1"/>
        <v>1</v>
      </c>
    </row>
    <row r="41" spans="1:6" ht="28.5" customHeight="1" x14ac:dyDescent="0.2">
      <c r="A41" s="95" t="s">
        <v>16</v>
      </c>
      <c r="B41" s="18" t="s">
        <v>17</v>
      </c>
      <c r="C41" s="31">
        <f>Dolnośląski!C41+KujawskoPomorski!C41+Lubelski!C41+Lubuski!C41+Łódzki!C41+Małopolski!C41+Mazowiecki!C41+Opolski!C41+Podkarpacki!C41+Podlaski!C41+Pomorski!C41+Śląski!C41+Świętokrzyski!C41+WarmińskoMazurski!C41+Wielkopolski!C41+Zachodniopomorski!C41</f>
        <v>21393</v>
      </c>
      <c r="D41" s="33">
        <f>Dolnośląski!D41+KujawskoPomorski!D41+Lubelski!D41+Lubuski!D41+Łódzki!D41+Małopolski!D41+Mazowiecki!D41+Opolski!D41+Podkarpacki!D41+Podlaski!D41+Pomorski!D41+Śląski!D41+Świętokrzyski!D41+WarmińskoMazurski!D41+Wielkopolski!D41+Zachodniopomorski!D41</f>
        <v>21393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95" t="s">
        <v>18</v>
      </c>
      <c r="B42" s="18" t="s">
        <v>19</v>
      </c>
      <c r="C42" s="31">
        <f>Dolnośląski!C42+KujawskoPomorski!C42+Lubelski!C42+Lubuski!C42+Łódzki!C42+Małopolski!C42+Mazowiecki!C42+Opolski!C42+Podkarpacki!C42+Podlaski!C42+Pomorski!C42+Śląski!C42+Świętokrzyski!C42+WarmińskoMazurski!C42+Wielkopolski!C42+Zachodniopomorski!C42</f>
        <v>73698</v>
      </c>
      <c r="D42" s="33">
        <f>Dolnośląski!D42+KujawskoPomorski!D42+Lubelski!D42+Lubuski!D42+Łódzki!D42+Małopolski!D42+Mazowiecki!D42+Opolski!D42+Podkarpacki!D42+Podlaski!D42+Pomorski!D42+Śląski!D42+Świętokrzyski!D42+WarmińskoMazurski!D42+Wielkopolski!D42+Zachodniopomorski!D42</f>
        <v>73698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20</v>
      </c>
      <c r="B43" s="19" t="s">
        <v>184</v>
      </c>
      <c r="C43" s="33">
        <f>C44+C46+C47+C48+C49+C50</f>
        <v>3991</v>
      </c>
      <c r="D43" s="33">
        <f>D44+D46+D47+D48+D49+D50</f>
        <v>3991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8" t="s">
        <v>37</v>
      </c>
      <c r="B44" s="46" t="s">
        <v>30</v>
      </c>
      <c r="C44" s="31">
        <f>Dolnośląski!C44+KujawskoPomorski!C44+Lubelski!C44+Lubuski!C44+Łódzki!C44+Małopolski!C44+Mazowiecki!C44+Opolski!C44+Podkarpacki!C44+Podlaski!C44+Pomorski!C44+Śląski!C44+Świętokrzyski!C44+WarmińskoMazurski!C44+Wielkopolski!C44+Zachodniopomorski!C44</f>
        <v>587</v>
      </c>
      <c r="D44" s="33">
        <f>Dolnośląski!D44+KujawskoPomorski!D44+Lubelski!D44+Lubuski!D44+Łódzki!D44+Małopolski!D44+Mazowiecki!D44+Opolski!D44+Podkarpacki!D44+Podlaski!D44+Pomorski!D44+Śląski!D44+Świętokrzyski!D44+WarmińskoMazurski!D44+Wielkopolski!D44+Zachodniopomorski!D44</f>
        <v>587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98" t="s">
        <v>38</v>
      </c>
      <c r="B45" s="47" t="s">
        <v>31</v>
      </c>
      <c r="C45" s="31">
        <f>Dolnośląski!C45+KujawskoPomorski!C45+Lubelski!C45+Lubuski!C45+Łódzki!C45+Małopolski!C45+Mazowiecki!C45+Opolski!C45+Podkarpacki!C45+Podlaski!C45+Pomorski!C45+Śląski!C45+Świętokrzyski!C45+WarmińskoMazurski!C45+Wielkopolski!C45+Zachodniopomorski!C45</f>
        <v>584</v>
      </c>
      <c r="D45" s="33">
        <f>Dolnośląski!D45+KujawskoPomorski!D45+Lubelski!D45+Lubuski!D45+Łódzki!D45+Małopolski!D45+Mazowiecki!D45+Opolski!D45+Podkarpacki!D45+Podlaski!D45+Pomorski!D45+Śląski!D45+Świętokrzyski!D45+WarmińskoMazurski!D45+Wielkopolski!D45+Zachodniopomorski!D45</f>
        <v>584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39</v>
      </c>
      <c r="B46" s="46" t="s">
        <v>32</v>
      </c>
      <c r="C46" s="31">
        <f>Dolnośląski!C46+KujawskoPomorski!C46+Lubelski!C46+Lubuski!C46+Łódzki!C46+Małopolski!C46+Mazowiecki!C46+Opolski!C46+Podkarpacki!C46+Podlaski!C46+Pomorski!C46+Śląski!C46+Świętokrzyski!C46+WarmińskoMazurski!C46+Wielkopolski!C46+Zachodniopomorski!C46</f>
        <v>612</v>
      </c>
      <c r="D46" s="33">
        <f>Dolnośląski!D46+KujawskoPomorski!D46+Lubelski!D46+Lubuski!D46+Łódzki!D46+Małopolski!D46+Mazowiecki!D46+Opolski!D46+Podkarpacki!D46+Podlaski!D46+Pomorski!D46+Śląski!D46+Świętokrzyski!D46+WarmińskoMazurski!D46+Wielkopolski!D46+Zachodniopomorski!D46</f>
        <v>612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40</v>
      </c>
      <c r="B47" s="46" t="s">
        <v>33</v>
      </c>
      <c r="C47" s="31">
        <f>Dolnośląski!C47+KujawskoPomorski!C47+Lubelski!C47+Lubuski!C47+Łódzki!C47+Małopolski!C47+Mazowiecki!C47+Opolski!C47+Podkarpacki!C47+Podlaski!C47+Pomorski!C47+Śląski!C47+Świętokrzyski!C47+WarmińskoMazurski!C47+Wielkopolski!C47+Zachodniopomorski!C47</f>
        <v>2</v>
      </c>
      <c r="D47" s="33">
        <f>Dolnośląski!D47+KujawskoPomorski!D47+Lubelski!D47+Lubuski!D47+Łódzki!D47+Małopolski!D47+Mazowiecki!D47+Opolski!D47+Podkarpacki!D47+Podlaski!D47+Pomorski!D47+Śląski!D47+Świętokrzyski!D47+WarmińskoMazurski!D47+Wielkopolski!D47+Zachodniopomorski!D47</f>
        <v>2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98" t="s">
        <v>41</v>
      </c>
      <c r="B48" s="46" t="s">
        <v>34</v>
      </c>
      <c r="C48" s="31">
        <f>Dolnośląski!C48+KujawskoPomorski!C48+Lubelski!C48+Lubuski!C48+Łódzki!C48+Małopolski!C48+Mazowiecki!C48+Opolski!C48+Podkarpacki!C48+Podlaski!C48+Pomorski!C48+Śląski!C48+Świętokrzyski!C48+WarmińskoMazurski!C48+Wielkopolski!C48+Zachodniopomorski!C48</f>
        <v>0</v>
      </c>
      <c r="D48" s="33">
        <f>Dolnośląski!D48+KujawskoPomorski!D48+Lubelski!D48+Lubuski!D48+Łódzki!D48+Małopolski!D48+Mazowiecki!D48+Opolski!D48+Podkarpacki!D48+Podlaski!D48+Pomorski!D48+Śląski!D48+Świętokrzyski!D48+WarmińskoMazurski!D48+Wielkopolski!D48+Zachodniopomorski!D48</f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42</v>
      </c>
      <c r="B49" s="46" t="s">
        <v>35</v>
      </c>
      <c r="C49" s="31">
        <f>Dolnośląski!C49+KujawskoPomorski!C49+Lubelski!C49+Lubuski!C49+Łódzki!C49+Małopolski!C49+Mazowiecki!C49+Opolski!C49+Podkarpacki!C49+Podlaski!C49+Pomorski!C49+Śląski!C49+Świętokrzyski!C49+WarmińskoMazurski!C49+Wielkopolski!C49+Zachodniopomorski!C49</f>
        <v>2507</v>
      </c>
      <c r="D49" s="33">
        <f>Dolnośląski!D49+KujawskoPomorski!D49+Lubelski!D49+Lubuski!D49+Łódzki!D49+Małopolski!D49+Mazowiecki!D49+Opolski!D49+Podkarpacki!D49+Podlaski!D49+Pomorski!D49+Śląski!D49+Świętokrzyski!D49+WarmińskoMazurski!D49+Wielkopolski!D49+Zachodniopomorski!D49</f>
        <v>2507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98" t="s">
        <v>43</v>
      </c>
      <c r="B50" s="46" t="s">
        <v>36</v>
      </c>
      <c r="C50" s="31">
        <f>Dolnośląski!C50+KujawskoPomorski!C50+Lubelski!C50+Lubuski!C50+Łódzki!C50+Małopolski!C50+Mazowiecki!C50+Opolski!C50+Podkarpacki!C50+Podlaski!C50+Pomorski!C50+Śląski!C50+Świętokrzyski!C50+WarmińskoMazurski!C50+Wielkopolski!C50+Zachodniopomorski!C50</f>
        <v>283</v>
      </c>
      <c r="D50" s="33">
        <f>Dolnośląski!D50+KujawskoPomorski!D50+Lubelski!D50+Lubuski!D50+Łódzki!D50+Małopolski!D50+Mazowiecki!D50+Opolski!D50+Podkarpacki!D50+Podlaski!D50+Pomorski!D50+Śląski!D50+Świętokrzyski!D50+WarmińskoMazurski!D50+Wielkopolski!D50+Zachodniopomorski!D50</f>
        <v>283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5" t="s">
        <v>21</v>
      </c>
      <c r="B51" s="18" t="s">
        <v>155</v>
      </c>
      <c r="C51" s="31">
        <f>Dolnośląski!C51+KujawskoPomorski!C51+Lubelski!C51+Lubuski!C51+Łódzki!C51+Małopolski!C51+Mazowiecki!C51+Opolski!C51+Podkarpacki!C51+Podlaski!C51+Pomorski!C51+Śląski!C51+Świętokrzyski!C51+WarmińskoMazurski!C51+Wielkopolski!C51+Zachodniopomorski!C51</f>
        <v>311935</v>
      </c>
      <c r="D51" s="33">
        <f>Dolnośląski!D51+KujawskoPomorski!D51+Lubelski!D51+Lubuski!D51+Łódzki!D51+Małopolski!D51+Mazowiecki!D51+Opolski!D51+Podkarpacki!D51+Podlaski!D51+Pomorski!D51+Śląski!D51+Świętokrzyski!D51+WarmińskoMazurski!D51+Wielkopolski!D51+Zachodniopomorski!D51</f>
        <v>311935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8" t="s">
        <v>156</v>
      </c>
      <c r="B52" s="46" t="s">
        <v>157</v>
      </c>
      <c r="C52" s="31">
        <f>Dolnośląski!C52+KujawskoPomorski!C52+Lubelski!C52+Lubuski!C52+Łódzki!C52+Małopolski!C52+Mazowiecki!C52+Opolski!C52+Podkarpacki!C52+Podlaski!C52+Pomorski!C52+Śląski!C52+Świętokrzyski!C52+WarmińskoMazurski!C52+Wielkopolski!C52+Zachodniopomorski!C52</f>
        <v>1109</v>
      </c>
      <c r="D52" s="33">
        <f>Dolnośląski!D52+KujawskoPomorski!D52+Lubelski!D52+Lubuski!D52+Łódzki!D52+Małopolski!D52+Mazowiecki!D52+Opolski!D52+Podkarpacki!D52+Podlaski!D52+Pomorski!D52+Śląski!D52+Świętokrzyski!D52+WarmińskoMazurski!D52+Wielkopolski!D52+Zachodniopomorski!D52</f>
        <v>1109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95" t="s">
        <v>22</v>
      </c>
      <c r="B53" s="19" t="s">
        <v>182</v>
      </c>
      <c r="C53" s="29">
        <f>C54+C55+C56+C57</f>
        <v>69923</v>
      </c>
      <c r="D53" s="29">
        <f>D54+D55+D56+D57</f>
        <v>69923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8" t="s">
        <v>48</v>
      </c>
      <c r="B54" s="46" t="s">
        <v>44</v>
      </c>
      <c r="C54" s="31">
        <f>Dolnośląski!C54+KujawskoPomorski!C54+Lubelski!C54+Lubuski!C54+Łódzki!C54+Małopolski!C54+Mazowiecki!C54+Opolski!C54+Podkarpacki!C54+Podlaski!C54+Pomorski!C54+Śląski!C54+Świętokrzyski!C54+WarmińskoMazurski!C54+Wielkopolski!C54+Zachodniopomorski!C54</f>
        <v>53379</v>
      </c>
      <c r="D54" s="33">
        <f>Dolnośląski!D54+KujawskoPomorski!D54+Lubelski!D54+Lubuski!D54+Łódzki!D54+Małopolski!D54+Mazowiecki!D54+Opolski!D54+Podkarpacki!D54+Podlaski!D54+Pomorski!D54+Śląski!D54+Świętokrzyski!D54+WarmińskoMazurski!D54+Wielkopolski!D54+Zachodniopomorski!D54</f>
        <v>53379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49</v>
      </c>
      <c r="B55" s="46" t="s">
        <v>45</v>
      </c>
      <c r="C55" s="31">
        <f>Dolnośląski!C55+KujawskoPomorski!C55+Lubelski!C55+Lubuski!C55+Łódzki!C55+Małopolski!C55+Mazowiecki!C55+Opolski!C55+Podkarpacki!C55+Podlaski!C55+Pomorski!C55+Śląski!C55+Świętokrzyski!C55+WarmińskoMazurski!C55+Wielkopolski!C55+Zachodniopomorski!C55</f>
        <v>7464</v>
      </c>
      <c r="D55" s="33">
        <f>Dolnośląski!D55+KujawskoPomorski!D55+Lubelski!D55+Lubuski!D55+Łódzki!D55+Małopolski!D55+Mazowiecki!D55+Opolski!D55+Podkarpacki!D55+Podlaski!D55+Pomorski!D55+Śląski!D55+Świętokrzyski!D55+WarmińskoMazurski!D55+Wielkopolski!D55+Zachodniopomorski!D55</f>
        <v>7464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50</v>
      </c>
      <c r="B56" s="46" t="s">
        <v>46</v>
      </c>
      <c r="C56" s="31">
        <f>Dolnośląski!C56+KujawskoPomorski!C56+Lubelski!C56+Lubuski!C56+Łódzki!C56+Małopolski!C56+Mazowiecki!C56+Opolski!C56+Podkarpacki!C56+Podlaski!C56+Pomorski!C56+Śląski!C56+Świętokrzyski!C56+WarmińskoMazurski!C56+Wielkopolski!C56+Zachodniopomorski!C56</f>
        <v>0</v>
      </c>
      <c r="D56" s="33">
        <f>Dolnośląski!D56+KujawskoPomorski!D56+Lubelski!D56+Lubuski!D56+Łódzki!D56+Małopolski!D56+Mazowiecki!D56+Opolski!D56+Podkarpacki!D56+Podlaski!D56+Pomorski!D56+Śląski!D56+Świętokrzyski!D56+WarmińskoMazurski!D56+Wielkopolski!D56+Zachodniopomorski!D56</f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98" t="s">
        <v>51</v>
      </c>
      <c r="B57" s="46" t="s">
        <v>47</v>
      </c>
      <c r="C57" s="31">
        <f>Dolnośląski!C57+KujawskoPomorski!C57+Lubelski!C57+Lubuski!C57+Łódzki!C57+Małopolski!C57+Mazowiecki!C57+Opolski!C57+Podkarpacki!C57+Podlaski!C57+Pomorski!C57+Śląski!C57+Świętokrzyski!C57+WarmińskoMazurski!C57+Wielkopolski!C57+Zachodniopomorski!C57</f>
        <v>9080</v>
      </c>
      <c r="D57" s="33">
        <f>Dolnośląski!D57+KujawskoPomorski!D57+Lubelski!D57+Lubuski!D57+Łódzki!D57+Małopolski!D57+Mazowiecki!D57+Opolski!D57+Podkarpacki!D57+Podlaski!D57+Pomorski!D57+Śląski!D57+Świętokrzyski!D57+WarmińskoMazurski!D57+Wielkopolski!D57+Zachodniopomorski!D57</f>
        <v>9080</v>
      </c>
      <c r="E57" s="38" t="str">
        <f t="shared" si="0"/>
        <v>-</v>
      </c>
      <c r="F57" s="39">
        <f t="shared" si="1"/>
        <v>1</v>
      </c>
    </row>
    <row r="58" spans="1:6" ht="28.5" customHeight="1" x14ac:dyDescent="0.2">
      <c r="A58" s="95" t="s">
        <v>23</v>
      </c>
      <c r="B58" s="18" t="s">
        <v>24</v>
      </c>
      <c r="C58" s="31">
        <f>Dolnośląski!C58+KujawskoPomorski!C58+Lubelski!C58+Lubuski!C58+Łódzki!C58+Małopolski!C58+Mazowiecki!C58+Opolski!C58+Podkarpacki!C58+Podlaski!C58+Pomorski!C58+Śląski!C58+Świętokrzyski!C58+WarmińskoMazurski!C58+Wielkopolski!C58+Zachodniopomorski!C58</f>
        <v>0</v>
      </c>
      <c r="D58" s="33">
        <f>Dolnośląski!D58+KujawskoPomorski!D58+Lubelski!D58+Lubuski!D58+Łódzki!D58+Małopolski!D58+Mazowiecki!D58+Opolski!D58+Podkarpacki!D58+Podlaski!D58+Pomorski!D58+Śląski!D58+Świętokrzyski!D58+WarmińskoMazurski!D58+Wielkopolski!D58+Zachodniopomorski!D58</f>
        <v>0</v>
      </c>
      <c r="E58" s="38" t="str">
        <f t="shared" si="0"/>
        <v>-</v>
      </c>
      <c r="F58" s="39" t="str">
        <f t="shared" si="1"/>
        <v>-</v>
      </c>
    </row>
    <row r="59" spans="1:6" ht="28.5" customHeight="1" x14ac:dyDescent="0.2">
      <c r="A59" s="95" t="s">
        <v>25</v>
      </c>
      <c r="B59" s="18" t="s">
        <v>158</v>
      </c>
      <c r="C59" s="31">
        <f>Dolnośląski!C59+KujawskoPomorski!C59+Lubelski!C59+Lubuski!C59+Łódzki!C59+Małopolski!C59+Mazowiecki!C59+Opolski!C59+Podkarpacki!C59+Podlaski!C59+Pomorski!C59+Śląski!C59+Świętokrzyski!C59+WarmińskoMazurski!C59+Wielkopolski!C59+Zachodniopomorski!C59</f>
        <v>39636</v>
      </c>
      <c r="D59" s="33">
        <f>Dolnośląski!D59+KujawskoPomorski!D59+Lubelski!D59+Lubuski!D59+Łódzki!D59+Małopolski!D59+Mazowiecki!D59+Opolski!D59+Podkarpacki!D59+Podlaski!D59+Pomorski!D59+Śląski!D59+Świętokrzyski!D59+WarmińskoMazurski!D59+Wielkopolski!D59+Zachodniopomorski!D59</f>
        <v>39636</v>
      </c>
      <c r="E59" s="38" t="str">
        <f t="shared" si="0"/>
        <v>-</v>
      </c>
      <c r="F59" s="41">
        <f t="shared" si="1"/>
        <v>1</v>
      </c>
    </row>
    <row r="60" spans="1:6" ht="28.5" customHeight="1" x14ac:dyDescent="0.2">
      <c r="A60" s="95" t="s">
        <v>26</v>
      </c>
      <c r="B60" s="18" t="s">
        <v>27</v>
      </c>
      <c r="C60" s="31">
        <f>Dolnośląski!C60+KujawskoPomorski!C60+Lubelski!C60+Lubuski!C60+Łódzki!C60+Małopolski!C60+Mazowiecki!C60+Opolski!C60+Podkarpacki!C60+Podlaski!C60+Pomorski!C60+Śląski!C60+Świętokrzyski!C60+WarmińskoMazurski!C60+Wielkopolski!C60+Zachodniopomorski!C60</f>
        <v>4546</v>
      </c>
      <c r="D60" s="33">
        <f>Dolnośląski!D60+KujawskoPomorski!D60+Lubelski!D60+Lubuski!D60+Łódzki!D60+Małopolski!D60+Mazowiecki!D60+Opolski!D60+Podkarpacki!D60+Podlaski!D60+Pomorski!D60+Śląski!D60+Świętokrzyski!D60+WarmińskoMazurski!D60+Wielkopolski!D60+Zachodniopomorski!D60</f>
        <v>4546</v>
      </c>
      <c r="E60" s="38" t="str">
        <f t="shared" si="0"/>
        <v>-</v>
      </c>
      <c r="F60" s="39">
        <f t="shared" si="1"/>
        <v>1</v>
      </c>
    </row>
    <row r="61" spans="1:6" ht="30" customHeight="1" x14ac:dyDescent="0.2">
      <c r="A61" s="99" t="s">
        <v>132</v>
      </c>
      <c r="B61" s="77" t="s">
        <v>159</v>
      </c>
      <c r="C61" s="87">
        <f>C62+C63+C64+C65</f>
        <v>227907</v>
      </c>
      <c r="D61" s="87">
        <f>D62+D63+D64+D65</f>
        <v>227907</v>
      </c>
      <c r="E61" s="68" t="str">
        <f t="shared" si="0"/>
        <v>-</v>
      </c>
      <c r="F61" s="88">
        <f t="shared" si="1"/>
        <v>1</v>
      </c>
    </row>
    <row r="62" spans="1:6" ht="42" customHeight="1" x14ac:dyDescent="0.2">
      <c r="A62" s="95" t="s">
        <v>99</v>
      </c>
      <c r="B62" s="18" t="s">
        <v>112</v>
      </c>
      <c r="C62" s="31">
        <f>Dolnośląski!C62+KujawskoPomorski!C62+Lubelski!C62+Lubuski!C62+Łódzki!C62+Małopolski!C62+Mazowiecki!C62+Opolski!C62+Podkarpacki!C62+Podlaski!C62+Pomorski!C62+Śląski!C62+Świętokrzyski!C62+WarmińskoMazurski!C62+Wielkopolski!C62+Zachodniopomorski!C62</f>
        <v>407</v>
      </c>
      <c r="D62" s="33">
        <f>Dolnośląski!D62+KujawskoPomorski!D62+Lubelski!D62+Lubuski!D62+Łódzki!D62+Małopolski!D62+Mazowiecki!D62+Opolski!D62+Podkarpacki!D62+Podlaski!D62+Pomorski!D62+Śląski!D62+Świętokrzyski!D62+WarmińskoMazurski!D62+Wielkopolski!D62+Zachodniopomorski!D62</f>
        <v>407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95" t="s">
        <v>28</v>
      </c>
      <c r="B63" s="18" t="s">
        <v>53</v>
      </c>
      <c r="C63" s="31">
        <f>Dolnośląski!C63+KujawskoPomorski!C63+Lubelski!C63+Lubuski!C63+Łódzki!C63+Małopolski!C63+Mazowiecki!C63+Opolski!C63+Podkarpacki!C63+Podlaski!C63+Pomorski!C63+Śląski!C63+Świętokrzyski!C63+WarmińskoMazurski!C63+Wielkopolski!C63+Zachodniopomorski!C63</f>
        <v>191158</v>
      </c>
      <c r="D63" s="33">
        <f>Dolnośląski!D63+KujawskoPomorski!D63+Lubelski!D63+Lubuski!D63+Łódzki!D63+Małopolski!D63+Mazowiecki!D63+Opolski!D63+Podkarpacki!D63+Podlaski!D63+Pomorski!D63+Śląski!D63+Świętokrzyski!D63+WarmińskoMazurski!D63+Wielkopolski!D63+Zachodniopomorski!D63</f>
        <v>191158</v>
      </c>
      <c r="E63" s="29" t="str">
        <f t="shared" si="0"/>
        <v>-</v>
      </c>
      <c r="F63" s="39">
        <f t="shared" si="1"/>
        <v>1</v>
      </c>
    </row>
    <row r="64" spans="1:6" ht="31.5" customHeight="1" x14ac:dyDescent="0.2">
      <c r="A64" s="95" t="s">
        <v>29</v>
      </c>
      <c r="B64" s="18" t="s">
        <v>101</v>
      </c>
      <c r="C64" s="31">
        <f>Dolnośląski!C64+KujawskoPomorski!C64+Lubelski!C64+Lubuski!C64+Łódzki!C64+Małopolski!C64+Mazowiecki!C64+Opolski!C64+Podkarpacki!C64+Podlaski!C64+Pomorski!C64+Śląski!C64+Świętokrzyski!C64+WarmińskoMazurski!C64+Wielkopolski!C64+Zachodniopomorski!C64</f>
        <v>0</v>
      </c>
      <c r="D64" s="33">
        <f>Dolnośląski!D64+KujawskoPomorski!D64+Lubelski!D64+Lubuski!D64+Łódzki!D64+Małopolski!D64+Mazowiecki!D64+Opolski!D64+Podkarpacki!D64+Podlaski!D64+Pomorski!D64+Śląski!D64+Świętokrzyski!D64+WarmińskoMazurski!D64+Wielkopolski!D64+Zachodniopomorski!D64</f>
        <v>0</v>
      </c>
      <c r="E64" s="29" t="str">
        <f t="shared" si="0"/>
        <v>-</v>
      </c>
      <c r="F64" s="39" t="str">
        <f t="shared" si="1"/>
        <v>-</v>
      </c>
    </row>
    <row r="65" spans="1:6" ht="31.5" customHeight="1" x14ac:dyDescent="0.2">
      <c r="A65" s="95" t="s">
        <v>100</v>
      </c>
      <c r="B65" s="18" t="s">
        <v>102</v>
      </c>
      <c r="C65" s="31">
        <f>Dolnośląski!C65+KujawskoPomorski!C65+Lubelski!C65+Lubuski!C65+Łódzki!C65+Małopolski!C65+Mazowiecki!C65+Opolski!C65+Podkarpacki!C65+Podlaski!C65+Pomorski!C65+Śląski!C65+Świętokrzyski!C65+WarmińskoMazurski!C65+Wielkopolski!C65+Zachodniopomorski!C65</f>
        <v>36342</v>
      </c>
      <c r="D65" s="33">
        <f>Dolnośląski!D65+KujawskoPomorski!D65+Lubelski!D65+Lubuski!D65+Łódzki!D65+Małopolski!D65+Mazowiecki!D65+Opolski!D65+Podkarpacki!D65+Podlaski!D65+Pomorski!D65+Śląski!D65+Świętokrzyski!D65+WarmińskoMazurski!D65+Wielkopolski!D65+Zachodniopomorski!D65</f>
        <v>36342</v>
      </c>
      <c r="E65" s="29" t="str">
        <f t="shared" si="0"/>
        <v>-</v>
      </c>
      <c r="F65" s="39">
        <f t="shared" si="1"/>
        <v>1</v>
      </c>
    </row>
    <row r="66" spans="1:6" ht="32.25" customHeight="1" x14ac:dyDescent="0.2">
      <c r="A66" s="99" t="s">
        <v>134</v>
      </c>
      <c r="B66" s="77" t="s">
        <v>113</v>
      </c>
      <c r="C66" s="87">
        <f>Dolnośląski!C66+KujawskoPomorski!C66+Lubelski!C66+Lubuski!C66+Łódzki!C66+Małopolski!C66+Mazowiecki!C66+Opolski!C66+Podkarpacki!C66+Podlaski!C66+Pomorski!C66+Śląski!C66+Świętokrzyski!C66+WarmińskoMazurski!C66+Wielkopolski!C66+Zachodniopomorski!C66</f>
        <v>52889</v>
      </c>
      <c r="D66" s="87">
        <f>Dolnośląski!D66+KujawskoPomorski!D66+Lubelski!D66+Lubuski!D66+Łódzki!D66+Małopolski!D66+Mazowiecki!D66+Opolski!D66+Podkarpacki!D66+Podlaski!D66+Pomorski!D66+Śląski!D66+Świętokrzyski!D66+WarmińskoMazurski!D66+Wielkopolski!D66+Zachodniopomorski!D66</f>
        <v>52889</v>
      </c>
      <c r="E66" s="68" t="str">
        <f t="shared" si="0"/>
        <v>-</v>
      </c>
      <c r="F66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0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  <ignoredErrors>
    <ignoredError sqref="C59 C9:C10 C7:C8 C11:C3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pageSetUpPr fitToPage="1"/>
  </sheetPr>
  <dimension ref="A1:F66"/>
  <sheetViews>
    <sheetView showGridLines="0" view="pageBreakPreview" zoomScale="55" zoomScaleNormal="70" zoomScaleSheetLayoutView="55" workbookViewId="0">
      <pane ySplit="6" topLeftCell="A7" activePane="bottomLeft" state="frozen"/>
      <selection activeCell="J7" sqref="J7"/>
      <selection pane="bottomLeft" activeCell="J7" sqref="J7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2.75" customHeight="1" x14ac:dyDescent="0.2">
      <c r="A1" s="112" t="s">
        <v>202</v>
      </c>
      <c r="B1" s="112"/>
      <c r="C1" s="112"/>
      <c r="D1" s="112"/>
      <c r="E1" s="112"/>
      <c r="F1" s="112"/>
    </row>
    <row r="2" spans="1:6" s="22" customFormat="1" ht="33" customHeight="1" x14ac:dyDescent="0.2">
      <c r="A2" s="54" t="s">
        <v>59</v>
      </c>
      <c r="B2" s="54"/>
      <c r="C2" s="55"/>
    </row>
    <row r="3" spans="1:6" ht="33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195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198</v>
      </c>
      <c r="C6" s="83">
        <f>C7+C8+C9+C14+C15+C16+C17+C18+C19+C20+C21+C22+C23+C24+C28+C29+C31+C32+C33+C34+C35</f>
        <v>5827752</v>
      </c>
      <c r="D6" s="83">
        <f>D7+D8+D9+D14+D15+D16+D17+D18+D19+D20+D21+D22+D23+D24+D28+D29+D31+D32+D33+D34+D35</f>
        <v>5852053</v>
      </c>
      <c r="E6" s="68">
        <f>IF(C6=D6,"-",D6-C6)</f>
        <v>24301</v>
      </c>
      <c r="F6" s="84">
        <f>IF(C6=0,"-",D6/C6)</f>
        <v>1.004</v>
      </c>
    </row>
    <row r="7" spans="1:6" ht="33" customHeight="1" x14ac:dyDescent="0.2">
      <c r="A7" s="92" t="s">
        <v>1</v>
      </c>
      <c r="B7" s="14" t="s">
        <v>116</v>
      </c>
      <c r="C7" s="31">
        <v>765250</v>
      </c>
      <c r="D7" s="13">
        <f>C7</f>
        <v>765250</v>
      </c>
      <c r="E7" s="38" t="str">
        <f t="shared" ref="E7:E66" si="0">IF(C7=D7,"-",D7-C7)</f>
        <v>-</v>
      </c>
      <c r="F7" s="39">
        <f t="shared" ref="F7:F66" si="1">IF(C7=0,"-",D7/C7)</f>
        <v>1</v>
      </c>
    </row>
    <row r="8" spans="1:6" ht="33" customHeight="1" x14ac:dyDescent="0.2">
      <c r="A8" s="92" t="s">
        <v>2</v>
      </c>
      <c r="B8" s="14" t="s">
        <v>117</v>
      </c>
      <c r="C8" s="31">
        <v>374077</v>
      </c>
      <c r="D8" s="13">
        <f>C8</f>
        <v>374077</v>
      </c>
      <c r="E8" s="38" t="str">
        <f>IF(C8=D8,"-",D8-C8)</f>
        <v>-</v>
      </c>
      <c r="F8" s="39">
        <f t="shared" si="1"/>
        <v>1</v>
      </c>
    </row>
    <row r="9" spans="1:6" ht="33" customHeight="1" x14ac:dyDescent="0.2">
      <c r="A9" s="92" t="s">
        <v>3</v>
      </c>
      <c r="B9" s="14" t="s">
        <v>114</v>
      </c>
      <c r="C9" s="31">
        <v>3008286</v>
      </c>
      <c r="D9" s="13">
        <f>C9+14589</f>
        <v>3022875</v>
      </c>
      <c r="E9" s="38">
        <f t="shared" si="0"/>
        <v>14589</v>
      </c>
      <c r="F9" s="39">
        <f t="shared" si="1"/>
        <v>1.0047999999999999</v>
      </c>
    </row>
    <row r="10" spans="1:6" ht="31.5" customHeight="1" x14ac:dyDescent="0.2">
      <c r="A10" s="93" t="s">
        <v>54</v>
      </c>
      <c r="B10" s="45" t="s">
        <v>199</v>
      </c>
      <c r="C10" s="31">
        <v>284681</v>
      </c>
      <c r="D10" s="13">
        <f t="shared" ref="D10:D34" si="2">C10</f>
        <v>284681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93" t="s">
        <v>139</v>
      </c>
      <c r="B11" s="45" t="s">
        <v>142</v>
      </c>
      <c r="C11" s="31">
        <v>259532</v>
      </c>
      <c r="D11" s="13">
        <f t="shared" si="2"/>
        <v>259532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v>107905</v>
      </c>
      <c r="D12" s="13">
        <f t="shared" si="2"/>
        <v>107905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93" t="s">
        <v>141</v>
      </c>
      <c r="B13" s="45" t="s">
        <v>144</v>
      </c>
      <c r="C13" s="31">
        <v>49131</v>
      </c>
      <c r="D13" s="13">
        <f t="shared" si="2"/>
        <v>49131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v>231588</v>
      </c>
      <c r="D14" s="13">
        <f>C14+6682</f>
        <v>238270</v>
      </c>
      <c r="E14" s="38">
        <f t="shared" si="0"/>
        <v>6682</v>
      </c>
      <c r="F14" s="39">
        <f t="shared" si="1"/>
        <v>1.0288999999999999</v>
      </c>
    </row>
    <row r="15" spans="1:6" ht="33" customHeight="1" x14ac:dyDescent="0.2">
      <c r="A15" s="92" t="s">
        <v>5</v>
      </c>
      <c r="B15" s="14" t="s">
        <v>118</v>
      </c>
      <c r="C15" s="31">
        <v>179329</v>
      </c>
      <c r="D15" s="13">
        <f t="shared" si="2"/>
        <v>179329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92" t="s">
        <v>6</v>
      </c>
      <c r="B16" s="14" t="s">
        <v>124</v>
      </c>
      <c r="C16" s="31">
        <v>125330</v>
      </c>
      <c r="D16" s="13">
        <f t="shared" si="2"/>
        <v>125330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92" t="s">
        <v>7</v>
      </c>
      <c r="B17" s="14" t="s">
        <v>123</v>
      </c>
      <c r="C17" s="31">
        <v>65697</v>
      </c>
      <c r="D17" s="13">
        <f t="shared" si="2"/>
        <v>65697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92" t="s">
        <v>8</v>
      </c>
      <c r="B18" s="14" t="s">
        <v>119</v>
      </c>
      <c r="C18" s="31">
        <v>123104</v>
      </c>
      <c r="D18" s="13">
        <f t="shared" si="2"/>
        <v>123104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92" t="s">
        <v>9</v>
      </c>
      <c r="B19" s="14" t="s">
        <v>120</v>
      </c>
      <c r="C19" s="31">
        <v>67828</v>
      </c>
      <c r="D19" s="13">
        <f t="shared" si="2"/>
        <v>67828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92" t="s">
        <v>10</v>
      </c>
      <c r="B20" s="14" t="s">
        <v>125</v>
      </c>
      <c r="C20" s="31">
        <v>4892</v>
      </c>
      <c r="D20" s="13">
        <f t="shared" si="2"/>
        <v>4892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v>15974</v>
      </c>
      <c r="D21" s="13">
        <f t="shared" si="2"/>
        <v>15974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92" t="s">
        <v>12</v>
      </c>
      <c r="B22" s="14" t="s">
        <v>161</v>
      </c>
      <c r="C22" s="31">
        <v>135181</v>
      </c>
      <c r="D22" s="13">
        <f t="shared" si="2"/>
        <v>135181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92" t="s">
        <v>13</v>
      </c>
      <c r="B23" s="14" t="s">
        <v>145</v>
      </c>
      <c r="C23" s="31">
        <v>88100</v>
      </c>
      <c r="D23" s="13">
        <f t="shared" si="2"/>
        <v>88100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94" t="s">
        <v>14</v>
      </c>
      <c r="B24" s="30" t="s">
        <v>177</v>
      </c>
      <c r="C24" s="31">
        <v>610761</v>
      </c>
      <c r="D24" s="13">
        <f t="shared" si="2"/>
        <v>610761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v>608761</v>
      </c>
      <c r="D25" s="13">
        <f t="shared" si="2"/>
        <v>608761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v>1000</v>
      </c>
      <c r="D26" s="13">
        <f t="shared" si="2"/>
        <v>1000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v>1000</v>
      </c>
      <c r="D27" s="13">
        <f t="shared" si="2"/>
        <v>1000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v>15329</v>
      </c>
      <c r="D29" s="13">
        <f t="shared" si="2"/>
        <v>15329</v>
      </c>
      <c r="E29" s="38" t="str">
        <f t="shared" si="0"/>
        <v>-</v>
      </c>
      <c r="F29" s="39">
        <f t="shared" si="1"/>
        <v>1</v>
      </c>
    </row>
    <row r="30" spans="1:6" ht="31.5" customHeight="1" x14ac:dyDescent="0.2">
      <c r="A30" s="93" t="s">
        <v>152</v>
      </c>
      <c r="B30" s="45" t="s">
        <v>163</v>
      </c>
      <c r="C30" s="31">
        <v>4390</v>
      </c>
      <c r="D30" s="13">
        <f t="shared" si="2"/>
        <v>4390</v>
      </c>
      <c r="E30" s="38" t="str">
        <f t="shared" si="0"/>
        <v>-</v>
      </c>
      <c r="F30" s="39">
        <f t="shared" si="1"/>
        <v>1</v>
      </c>
    </row>
    <row r="31" spans="1:6" ht="33" customHeight="1" x14ac:dyDescent="0.2">
      <c r="A31" s="95" t="s">
        <v>108</v>
      </c>
      <c r="B31" s="16" t="s">
        <v>111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v>15821</v>
      </c>
      <c r="D32" s="13">
        <f t="shared" si="2"/>
        <v>15821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178</v>
      </c>
      <c r="B33" s="16" t="s">
        <v>179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v>100</v>
      </c>
      <c r="D34" s="13">
        <f t="shared" si="2"/>
        <v>100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196</v>
      </c>
      <c r="B35" s="16" t="s">
        <v>197</v>
      </c>
      <c r="C35" s="31">
        <v>1105</v>
      </c>
      <c r="D35" s="13">
        <f>C35+3030</f>
        <v>4135</v>
      </c>
      <c r="E35" s="38">
        <f>IF(C35=D35,"-",D35-C35)</f>
        <v>3030</v>
      </c>
      <c r="F35" s="39">
        <f>IF(C35=0,"-",D35/C35)</f>
        <v>3.7421000000000002</v>
      </c>
    </row>
    <row r="36" spans="1:6" s="2" customFormat="1" ht="31.5" customHeight="1" x14ac:dyDescent="0.2">
      <c r="A36" s="96" t="s">
        <v>56</v>
      </c>
      <c r="B36" s="17" t="s">
        <v>57</v>
      </c>
      <c r="C36" s="32">
        <v>612</v>
      </c>
      <c r="D36" s="37">
        <f>C36</f>
        <v>612</v>
      </c>
      <c r="E36" s="7" t="str">
        <f t="shared" si="0"/>
        <v>-</v>
      </c>
      <c r="F36" s="40">
        <f t="shared" si="1"/>
        <v>1</v>
      </c>
    </row>
    <row r="37" spans="1:6" s="2" customFormat="1" ht="31.5" customHeight="1" x14ac:dyDescent="0.2">
      <c r="A37" s="96" t="s">
        <v>55</v>
      </c>
      <c r="B37" s="17" t="s">
        <v>58</v>
      </c>
      <c r="C37" s="32">
        <v>143812</v>
      </c>
      <c r="D37" s="37">
        <f>C37</f>
        <v>143812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2">
        <v>49029</v>
      </c>
      <c r="D38" s="37">
        <f>C38</f>
        <v>49029</v>
      </c>
      <c r="E38" s="7" t="str">
        <f t="shared" si="0"/>
        <v>-</v>
      </c>
      <c r="F38" s="40">
        <f t="shared" si="1"/>
        <v>1</v>
      </c>
    </row>
    <row r="39" spans="1:6" s="2" customFormat="1" ht="42.75" customHeight="1" x14ac:dyDescent="0.2">
      <c r="A39" s="96" t="s">
        <v>153</v>
      </c>
      <c r="B39" s="17" t="s">
        <v>154</v>
      </c>
      <c r="C39" s="32">
        <f>C11+C13+C24+C30</f>
        <v>923814</v>
      </c>
      <c r="D39" s="32">
        <f>D11+D13+D24+D30</f>
        <v>923814</v>
      </c>
      <c r="E39" s="7" t="str">
        <f t="shared" si="0"/>
        <v>-</v>
      </c>
      <c r="F39" s="40">
        <f t="shared" si="1"/>
        <v>1</v>
      </c>
    </row>
    <row r="40" spans="1:6" ht="30" customHeight="1" x14ac:dyDescent="0.2">
      <c r="A40" s="97" t="s">
        <v>130</v>
      </c>
      <c r="B40" s="85" t="s">
        <v>183</v>
      </c>
      <c r="C40" s="71">
        <f>C41+C42+C43+C51+C53+C59+C60+C58</f>
        <v>36268</v>
      </c>
      <c r="D40" s="71">
        <f>D41+D42+D43+D51+D53+D59+D60+D58</f>
        <v>36268</v>
      </c>
      <c r="E40" s="68" t="str">
        <f t="shared" si="0"/>
        <v>-</v>
      </c>
      <c r="F40" s="86">
        <f t="shared" si="1"/>
        <v>1</v>
      </c>
    </row>
    <row r="41" spans="1:6" ht="28.5" customHeight="1" x14ac:dyDescent="0.2">
      <c r="A41" s="95" t="s">
        <v>16</v>
      </c>
      <c r="B41" s="18" t="s">
        <v>17</v>
      </c>
      <c r="C41" s="31">
        <v>1429</v>
      </c>
      <c r="D41" s="33">
        <f>C41</f>
        <v>1429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95" t="s">
        <v>18</v>
      </c>
      <c r="B42" s="18" t="s">
        <v>19</v>
      </c>
      <c r="C42" s="31">
        <v>4911</v>
      </c>
      <c r="D42" s="33">
        <f t="shared" ref="D42:D60" si="3">C42</f>
        <v>4911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20</v>
      </c>
      <c r="B43" s="19" t="s">
        <v>184</v>
      </c>
      <c r="C43" s="33">
        <f>C44+C46+C47+C48+C49+C50</f>
        <v>359</v>
      </c>
      <c r="D43" s="33">
        <f>D44+D46+D47+D48+D49+D50</f>
        <v>359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8" t="s">
        <v>37</v>
      </c>
      <c r="B44" s="46" t="s">
        <v>30</v>
      </c>
      <c r="C44" s="31">
        <v>55</v>
      </c>
      <c r="D44" s="33">
        <f t="shared" si="3"/>
        <v>55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98" t="s">
        <v>38</v>
      </c>
      <c r="B45" s="47" t="s">
        <v>31</v>
      </c>
      <c r="C45" s="31">
        <v>55</v>
      </c>
      <c r="D45" s="33">
        <f t="shared" si="3"/>
        <v>55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39</v>
      </c>
      <c r="B46" s="46" t="s">
        <v>32</v>
      </c>
      <c r="C46" s="31">
        <v>68</v>
      </c>
      <c r="D46" s="33">
        <f t="shared" si="3"/>
        <v>68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40</v>
      </c>
      <c r="B47" s="46" t="s">
        <v>33</v>
      </c>
      <c r="C47" s="31">
        <v>1</v>
      </c>
      <c r="D47" s="33">
        <f t="shared" si="3"/>
        <v>1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98" t="s">
        <v>41</v>
      </c>
      <c r="B48" s="46" t="s">
        <v>34</v>
      </c>
      <c r="C48" s="31">
        <v>0</v>
      </c>
      <c r="D48" s="33">
        <f t="shared" si="3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42</v>
      </c>
      <c r="B49" s="46" t="s">
        <v>35</v>
      </c>
      <c r="C49" s="31">
        <v>233</v>
      </c>
      <c r="D49" s="33">
        <f t="shared" si="3"/>
        <v>233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98" t="s">
        <v>43</v>
      </c>
      <c r="B50" s="46" t="s">
        <v>36</v>
      </c>
      <c r="C50" s="31">
        <v>2</v>
      </c>
      <c r="D50" s="33">
        <f t="shared" si="3"/>
        <v>2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5" t="s">
        <v>21</v>
      </c>
      <c r="B51" s="18" t="s">
        <v>155</v>
      </c>
      <c r="C51" s="31">
        <v>22409</v>
      </c>
      <c r="D51" s="33">
        <f t="shared" si="3"/>
        <v>22409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8" t="s">
        <v>156</v>
      </c>
      <c r="B52" s="46" t="s">
        <v>157</v>
      </c>
      <c r="C52" s="31">
        <v>100</v>
      </c>
      <c r="D52" s="33">
        <f t="shared" si="3"/>
        <v>100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95" t="s">
        <v>22</v>
      </c>
      <c r="B53" s="19" t="s">
        <v>182</v>
      </c>
      <c r="C53" s="29">
        <f>C54+C55+C56+C57</f>
        <v>5026</v>
      </c>
      <c r="D53" s="29">
        <f>D54+D55+D56+D57</f>
        <v>5026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8" t="s">
        <v>48</v>
      </c>
      <c r="B54" s="46" t="s">
        <v>44</v>
      </c>
      <c r="C54" s="31">
        <v>3745</v>
      </c>
      <c r="D54" s="33">
        <f t="shared" si="3"/>
        <v>3745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49</v>
      </c>
      <c r="B55" s="46" t="s">
        <v>45</v>
      </c>
      <c r="C55" s="31">
        <v>449</v>
      </c>
      <c r="D55" s="33">
        <f t="shared" si="3"/>
        <v>449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50</v>
      </c>
      <c r="B56" s="46" t="s">
        <v>46</v>
      </c>
      <c r="C56" s="31">
        <v>0</v>
      </c>
      <c r="D56" s="33">
        <f t="shared" si="3"/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98" t="s">
        <v>51</v>
      </c>
      <c r="B57" s="46" t="s">
        <v>47</v>
      </c>
      <c r="C57" s="31">
        <v>832</v>
      </c>
      <c r="D57" s="33">
        <f t="shared" si="3"/>
        <v>832</v>
      </c>
      <c r="E57" s="38" t="str">
        <f t="shared" si="0"/>
        <v>-</v>
      </c>
      <c r="F57" s="39">
        <f t="shared" si="1"/>
        <v>1</v>
      </c>
    </row>
    <row r="58" spans="1:6" ht="28.5" customHeight="1" x14ac:dyDescent="0.2">
      <c r="A58" s="95" t="s">
        <v>23</v>
      </c>
      <c r="B58" s="18" t="s">
        <v>24</v>
      </c>
      <c r="C58" s="31">
        <v>0</v>
      </c>
      <c r="D58" s="33">
        <f t="shared" si="3"/>
        <v>0</v>
      </c>
      <c r="E58" s="38" t="str">
        <f t="shared" si="0"/>
        <v>-</v>
      </c>
      <c r="F58" s="39" t="str">
        <f t="shared" si="1"/>
        <v>-</v>
      </c>
    </row>
    <row r="59" spans="1:6" ht="28.5" customHeight="1" x14ac:dyDescent="0.2">
      <c r="A59" s="95" t="s">
        <v>25</v>
      </c>
      <c r="B59" s="18" t="s">
        <v>158</v>
      </c>
      <c r="C59" s="31">
        <v>1933</v>
      </c>
      <c r="D59" s="33">
        <f t="shared" si="3"/>
        <v>1933</v>
      </c>
      <c r="E59" s="38" t="str">
        <f t="shared" si="0"/>
        <v>-</v>
      </c>
      <c r="F59" s="41">
        <f t="shared" si="1"/>
        <v>1</v>
      </c>
    </row>
    <row r="60" spans="1:6" ht="28.5" customHeight="1" x14ac:dyDescent="0.2">
      <c r="A60" s="95" t="s">
        <v>26</v>
      </c>
      <c r="B60" s="18" t="s">
        <v>27</v>
      </c>
      <c r="C60" s="31">
        <v>201</v>
      </c>
      <c r="D60" s="33">
        <f t="shared" si="3"/>
        <v>201</v>
      </c>
      <c r="E60" s="38" t="str">
        <f t="shared" si="0"/>
        <v>-</v>
      </c>
      <c r="F60" s="39">
        <f t="shared" si="1"/>
        <v>1</v>
      </c>
    </row>
    <row r="61" spans="1:6" ht="30" customHeight="1" x14ac:dyDescent="0.2">
      <c r="A61" s="99" t="s">
        <v>132</v>
      </c>
      <c r="B61" s="77" t="s">
        <v>159</v>
      </c>
      <c r="C61" s="87">
        <f>C62+C63+C64+C65</f>
        <v>16705</v>
      </c>
      <c r="D61" s="87">
        <f>D62+D63+D64+D65</f>
        <v>16705</v>
      </c>
      <c r="E61" s="68" t="str">
        <f t="shared" si="0"/>
        <v>-</v>
      </c>
      <c r="F61" s="88">
        <f t="shared" si="1"/>
        <v>1</v>
      </c>
    </row>
    <row r="62" spans="1:6" ht="42" customHeight="1" x14ac:dyDescent="0.2">
      <c r="A62" s="95" t="s">
        <v>99</v>
      </c>
      <c r="B62" s="18" t="s">
        <v>112</v>
      </c>
      <c r="C62" s="31">
        <v>0</v>
      </c>
      <c r="D62" s="33">
        <f>C62</f>
        <v>0</v>
      </c>
      <c r="E62" s="29" t="str">
        <f t="shared" si="0"/>
        <v>-</v>
      </c>
      <c r="F62" s="39" t="str">
        <f t="shared" si="1"/>
        <v>-</v>
      </c>
    </row>
    <row r="63" spans="1:6" ht="31.5" customHeight="1" x14ac:dyDescent="0.2">
      <c r="A63" s="95" t="s">
        <v>28</v>
      </c>
      <c r="B63" s="18" t="s">
        <v>53</v>
      </c>
      <c r="C63" s="31">
        <v>15045</v>
      </c>
      <c r="D63" s="33">
        <f>C63</f>
        <v>15045</v>
      </c>
      <c r="E63" s="29" t="str">
        <f t="shared" si="0"/>
        <v>-</v>
      </c>
      <c r="F63" s="39">
        <f t="shared" si="1"/>
        <v>1</v>
      </c>
    </row>
    <row r="64" spans="1:6" ht="31.5" customHeight="1" x14ac:dyDescent="0.2">
      <c r="A64" s="95" t="s">
        <v>29</v>
      </c>
      <c r="B64" s="18" t="s">
        <v>101</v>
      </c>
      <c r="C64" s="31">
        <v>0</v>
      </c>
      <c r="D64" s="33">
        <f>C64</f>
        <v>0</v>
      </c>
      <c r="E64" s="29" t="str">
        <f t="shared" si="0"/>
        <v>-</v>
      </c>
      <c r="F64" s="39" t="str">
        <f t="shared" si="1"/>
        <v>-</v>
      </c>
    </row>
    <row r="65" spans="1:6" ht="31.5" customHeight="1" x14ac:dyDescent="0.2">
      <c r="A65" s="95" t="s">
        <v>100</v>
      </c>
      <c r="B65" s="18" t="s">
        <v>102</v>
      </c>
      <c r="C65" s="31">
        <v>1660</v>
      </c>
      <c r="D65" s="33">
        <f>C65</f>
        <v>1660</v>
      </c>
      <c r="E65" s="29" t="str">
        <f t="shared" si="0"/>
        <v>-</v>
      </c>
      <c r="F65" s="39">
        <f t="shared" si="1"/>
        <v>1</v>
      </c>
    </row>
    <row r="66" spans="1:6" ht="32.25" customHeight="1" x14ac:dyDescent="0.2">
      <c r="A66" s="99" t="s">
        <v>134</v>
      </c>
      <c r="B66" s="77" t="s">
        <v>113</v>
      </c>
      <c r="C66" s="87">
        <v>1981</v>
      </c>
      <c r="D66" s="87">
        <f>C66</f>
        <v>1981</v>
      </c>
      <c r="E66" s="68" t="str">
        <f t="shared" si="0"/>
        <v>-</v>
      </c>
      <c r="F66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F66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J7" sqref="J7"/>
      <selection pane="topRight" activeCell="J7" sqref="J7"/>
      <selection pane="bottomLeft" activeCell="J7" sqref="J7"/>
      <selection pane="bottomRight" activeCell="J7" sqref="J7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2.75" customHeight="1" x14ac:dyDescent="0.2">
      <c r="A1" s="112" t="s">
        <v>202</v>
      </c>
      <c r="B1" s="112"/>
      <c r="C1" s="112"/>
      <c r="D1" s="112"/>
      <c r="E1" s="112"/>
      <c r="F1" s="112"/>
    </row>
    <row r="2" spans="1:6" s="22" customFormat="1" ht="33" customHeight="1" x14ac:dyDescent="0.2">
      <c r="A2" s="54" t="s">
        <v>60</v>
      </c>
      <c r="B2" s="54"/>
      <c r="C2" s="55"/>
    </row>
    <row r="3" spans="1:6" ht="33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195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198</v>
      </c>
      <c r="C6" s="83">
        <f>C7+C8+C9+C14+C15+C16+C17+C18+C19+C20+C21+C22+C23+C24+C28+C29+C31+C32+C33+C34+C35</f>
        <v>4144125</v>
      </c>
      <c r="D6" s="83">
        <f>D7+D8+D9+D14+D15+D16+D17+D18+D19+D20+D21+D22+D23+D24+D28+D29+D31+D32+D33+D34+D35</f>
        <v>4158329</v>
      </c>
      <c r="E6" s="68">
        <f>IF(C6=D6,"-",D6-C6)</f>
        <v>14204</v>
      </c>
      <c r="F6" s="84">
        <f>IF(C6=0,"-",D6/C6)</f>
        <v>1.0029999999999999</v>
      </c>
    </row>
    <row r="7" spans="1:6" ht="33" customHeight="1" x14ac:dyDescent="0.2">
      <c r="A7" s="92" t="s">
        <v>1</v>
      </c>
      <c r="B7" s="14" t="s">
        <v>116</v>
      </c>
      <c r="C7" s="31">
        <v>570824</v>
      </c>
      <c r="D7" s="13">
        <f>C7</f>
        <v>570824</v>
      </c>
      <c r="E7" s="38" t="str">
        <f t="shared" ref="E7:E66" si="0">IF(C7=D7,"-",D7-C7)</f>
        <v>-</v>
      </c>
      <c r="F7" s="39">
        <f t="shared" ref="F7:F66" si="1">IF(C7=0,"-",D7/C7)</f>
        <v>1</v>
      </c>
    </row>
    <row r="8" spans="1:6" ht="33" customHeight="1" x14ac:dyDescent="0.2">
      <c r="A8" s="92" t="s">
        <v>2</v>
      </c>
      <c r="B8" s="14" t="s">
        <v>117</v>
      </c>
      <c r="C8" s="31">
        <v>199461</v>
      </c>
      <c r="D8" s="13">
        <f>C8</f>
        <v>199461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92" t="s">
        <v>3</v>
      </c>
      <c r="B9" s="14" t="s">
        <v>114</v>
      </c>
      <c r="C9" s="31">
        <v>2136023</v>
      </c>
      <c r="D9" s="13">
        <f>C9+9107</f>
        <v>2145130</v>
      </c>
      <c r="E9" s="38">
        <f t="shared" si="0"/>
        <v>9107</v>
      </c>
      <c r="F9" s="39">
        <f t="shared" si="1"/>
        <v>1.0043</v>
      </c>
    </row>
    <row r="10" spans="1:6" ht="31.5" customHeight="1" x14ac:dyDescent="0.2">
      <c r="A10" s="93" t="s">
        <v>54</v>
      </c>
      <c r="B10" s="45" t="s">
        <v>199</v>
      </c>
      <c r="C10" s="31">
        <v>185296</v>
      </c>
      <c r="D10" s="13">
        <f t="shared" ref="D10:D34" si="2">C10</f>
        <v>185296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93" t="s">
        <v>139</v>
      </c>
      <c r="B11" s="45" t="s">
        <v>142</v>
      </c>
      <c r="C11" s="31">
        <v>167652</v>
      </c>
      <c r="D11" s="13">
        <f t="shared" si="2"/>
        <v>167652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v>69455</v>
      </c>
      <c r="D12" s="13">
        <f t="shared" si="2"/>
        <v>69455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93" t="s">
        <v>141</v>
      </c>
      <c r="B13" s="45" t="s">
        <v>144</v>
      </c>
      <c r="C13" s="31">
        <v>38995</v>
      </c>
      <c r="D13" s="13">
        <f t="shared" si="2"/>
        <v>38995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v>153154</v>
      </c>
      <c r="D14" s="13">
        <f>C14+3062</f>
        <v>156216</v>
      </c>
      <c r="E14" s="38">
        <f t="shared" si="0"/>
        <v>3062</v>
      </c>
      <c r="F14" s="39">
        <f t="shared" si="1"/>
        <v>1.02</v>
      </c>
    </row>
    <row r="15" spans="1:6" ht="33" customHeight="1" x14ac:dyDescent="0.2">
      <c r="A15" s="92" t="s">
        <v>5</v>
      </c>
      <c r="B15" s="14" t="s">
        <v>118</v>
      </c>
      <c r="C15" s="31">
        <v>118002</v>
      </c>
      <c r="D15" s="13">
        <f t="shared" si="2"/>
        <v>118002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92" t="s">
        <v>6</v>
      </c>
      <c r="B16" s="14" t="s">
        <v>124</v>
      </c>
      <c r="C16" s="31">
        <v>68182</v>
      </c>
      <c r="D16" s="13">
        <f t="shared" si="2"/>
        <v>68182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92" t="s">
        <v>7</v>
      </c>
      <c r="B17" s="14" t="s">
        <v>123</v>
      </c>
      <c r="C17" s="31">
        <v>47060</v>
      </c>
      <c r="D17" s="13">
        <f t="shared" si="2"/>
        <v>47060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92" t="s">
        <v>8</v>
      </c>
      <c r="B18" s="14" t="s">
        <v>119</v>
      </c>
      <c r="C18" s="31">
        <v>102087</v>
      </c>
      <c r="D18" s="13">
        <f t="shared" si="2"/>
        <v>102087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92" t="s">
        <v>9</v>
      </c>
      <c r="B19" s="14" t="s">
        <v>120</v>
      </c>
      <c r="C19" s="31">
        <v>37732</v>
      </c>
      <c r="D19" s="13">
        <f t="shared" si="2"/>
        <v>37732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92" t="s">
        <v>10</v>
      </c>
      <c r="B20" s="14" t="s">
        <v>125</v>
      </c>
      <c r="C20" s="31">
        <v>3050</v>
      </c>
      <c r="D20" s="13">
        <f t="shared" si="2"/>
        <v>3050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v>13770</v>
      </c>
      <c r="D21" s="13">
        <f t="shared" si="2"/>
        <v>13770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92" t="s">
        <v>12</v>
      </c>
      <c r="B22" s="14" t="s">
        <v>161</v>
      </c>
      <c r="C22" s="31">
        <v>113620</v>
      </c>
      <c r="D22" s="13">
        <f t="shared" si="2"/>
        <v>113620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92" t="s">
        <v>13</v>
      </c>
      <c r="B23" s="14" t="s">
        <v>145</v>
      </c>
      <c r="C23" s="31">
        <v>53000</v>
      </c>
      <c r="D23" s="13">
        <f t="shared" si="2"/>
        <v>53000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94" t="s">
        <v>14</v>
      </c>
      <c r="B24" s="30" t="s">
        <v>177</v>
      </c>
      <c r="C24" s="31">
        <v>439358</v>
      </c>
      <c r="D24" s="13">
        <f t="shared" si="2"/>
        <v>439358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v>438325</v>
      </c>
      <c r="D25" s="13">
        <f t="shared" si="2"/>
        <v>438325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v>600</v>
      </c>
      <c r="D26" s="13">
        <f t="shared" si="2"/>
        <v>600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v>433</v>
      </c>
      <c r="D27" s="13">
        <f t="shared" si="2"/>
        <v>433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v>55675</v>
      </c>
      <c r="D29" s="13">
        <f t="shared" si="2"/>
        <v>55675</v>
      </c>
      <c r="E29" s="38" t="str">
        <f t="shared" si="0"/>
        <v>-</v>
      </c>
      <c r="F29" s="39">
        <f t="shared" si="1"/>
        <v>1</v>
      </c>
    </row>
    <row r="30" spans="1:6" ht="31.5" customHeight="1" x14ac:dyDescent="0.2">
      <c r="A30" s="93" t="s">
        <v>152</v>
      </c>
      <c r="B30" s="45" t="s">
        <v>163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v>32177</v>
      </c>
      <c r="D32" s="13">
        <f t="shared" si="2"/>
        <v>32177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178</v>
      </c>
      <c r="B33" s="16" t="s">
        <v>179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v>200</v>
      </c>
      <c r="D34" s="13">
        <f t="shared" si="2"/>
        <v>200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196</v>
      </c>
      <c r="B35" s="16" t="s">
        <v>197</v>
      </c>
      <c r="C35" s="31">
        <v>750</v>
      </c>
      <c r="D35" s="13">
        <f>C35+2035</f>
        <v>2785</v>
      </c>
      <c r="E35" s="38">
        <f>IF(C35=D35,"-",D35-C35)</f>
        <v>2035</v>
      </c>
      <c r="F35" s="39">
        <f>IF(C35=0,"-",D35/C35)</f>
        <v>3.7132999999999998</v>
      </c>
    </row>
    <row r="36" spans="1:6" s="2" customFormat="1" ht="31.5" customHeight="1" x14ac:dyDescent="0.2">
      <c r="A36" s="96" t="s">
        <v>56</v>
      </c>
      <c r="B36" s="17" t="s">
        <v>57</v>
      </c>
      <c r="C36" s="32">
        <v>0</v>
      </c>
      <c r="D36" s="37">
        <f>C36</f>
        <v>0</v>
      </c>
      <c r="E36" s="7" t="str">
        <f t="shared" si="0"/>
        <v>-</v>
      </c>
      <c r="F36" s="40" t="str">
        <f t="shared" si="1"/>
        <v>-</v>
      </c>
    </row>
    <row r="37" spans="1:6" s="2" customFormat="1" ht="31.5" customHeight="1" x14ac:dyDescent="0.2">
      <c r="A37" s="96" t="s">
        <v>55</v>
      </c>
      <c r="B37" s="17" t="s">
        <v>58</v>
      </c>
      <c r="C37" s="32">
        <v>115646</v>
      </c>
      <c r="D37" s="37">
        <f>C37</f>
        <v>115646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2">
        <v>32446</v>
      </c>
      <c r="D38" s="37">
        <f>C38</f>
        <v>32446</v>
      </c>
      <c r="E38" s="7" t="str">
        <f t="shared" si="0"/>
        <v>-</v>
      </c>
      <c r="F38" s="40">
        <f t="shared" si="1"/>
        <v>1</v>
      </c>
    </row>
    <row r="39" spans="1:6" s="2" customFormat="1" ht="42.75" customHeight="1" x14ac:dyDescent="0.2">
      <c r="A39" s="96" t="s">
        <v>153</v>
      </c>
      <c r="B39" s="17" t="s">
        <v>154</v>
      </c>
      <c r="C39" s="32">
        <f>C11+C13+C24+C30</f>
        <v>646005</v>
      </c>
      <c r="D39" s="32">
        <f>D11+D13+D24+D30</f>
        <v>646005</v>
      </c>
      <c r="E39" s="7" t="str">
        <f t="shared" si="0"/>
        <v>-</v>
      </c>
      <c r="F39" s="40">
        <f t="shared" si="1"/>
        <v>1</v>
      </c>
    </row>
    <row r="40" spans="1:6" ht="30" customHeight="1" x14ac:dyDescent="0.2">
      <c r="A40" s="97" t="s">
        <v>130</v>
      </c>
      <c r="B40" s="85" t="s">
        <v>183</v>
      </c>
      <c r="C40" s="71">
        <f>C41+C42+C43+C51+C53+C59+C60+C58</f>
        <v>33024</v>
      </c>
      <c r="D40" s="71">
        <f>D41+D42+D43+D51+D53+D59+D60+D58</f>
        <v>33024</v>
      </c>
      <c r="E40" s="68" t="str">
        <f t="shared" si="0"/>
        <v>-</v>
      </c>
      <c r="F40" s="86">
        <f t="shared" si="1"/>
        <v>1</v>
      </c>
    </row>
    <row r="41" spans="1:6" ht="28.5" customHeight="1" x14ac:dyDescent="0.2">
      <c r="A41" s="95" t="s">
        <v>16</v>
      </c>
      <c r="B41" s="18" t="s">
        <v>17</v>
      </c>
      <c r="C41" s="31">
        <v>1660</v>
      </c>
      <c r="D41" s="33">
        <f>C41</f>
        <v>1660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95" t="s">
        <v>18</v>
      </c>
      <c r="B42" s="18" t="s">
        <v>19</v>
      </c>
      <c r="C42" s="31">
        <v>5217</v>
      </c>
      <c r="D42" s="33">
        <f t="shared" ref="D42:D60" si="3">C42</f>
        <v>5217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20</v>
      </c>
      <c r="B43" s="19" t="s">
        <v>184</v>
      </c>
      <c r="C43" s="33">
        <f>C44+C46+C47+C48+C49+C50</f>
        <v>302</v>
      </c>
      <c r="D43" s="33">
        <f>D44+D46+D47+D48+D49+D50</f>
        <v>302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8" t="s">
        <v>37</v>
      </c>
      <c r="B44" s="46" t="s">
        <v>30</v>
      </c>
      <c r="C44" s="31">
        <v>82</v>
      </c>
      <c r="D44" s="33">
        <f t="shared" si="3"/>
        <v>82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98" t="s">
        <v>38</v>
      </c>
      <c r="B45" s="47" t="s">
        <v>31</v>
      </c>
      <c r="C45" s="31">
        <v>82</v>
      </c>
      <c r="D45" s="33">
        <f t="shared" si="3"/>
        <v>82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39</v>
      </c>
      <c r="B46" s="46" t="s">
        <v>32</v>
      </c>
      <c r="C46" s="31">
        <v>25</v>
      </c>
      <c r="D46" s="33">
        <f t="shared" si="3"/>
        <v>25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40</v>
      </c>
      <c r="B47" s="46" t="s">
        <v>33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98" t="s">
        <v>41</v>
      </c>
      <c r="B48" s="46" t="s">
        <v>34</v>
      </c>
      <c r="C48" s="31">
        <v>0</v>
      </c>
      <c r="D48" s="33">
        <f t="shared" si="3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42</v>
      </c>
      <c r="B49" s="46" t="s">
        <v>35</v>
      </c>
      <c r="C49" s="31">
        <v>180</v>
      </c>
      <c r="D49" s="33">
        <f t="shared" si="3"/>
        <v>180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98" t="s">
        <v>43</v>
      </c>
      <c r="B50" s="46" t="s">
        <v>36</v>
      </c>
      <c r="C50" s="31">
        <v>15</v>
      </c>
      <c r="D50" s="33">
        <f t="shared" si="3"/>
        <v>15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5" t="s">
        <v>21</v>
      </c>
      <c r="B51" s="18" t="s">
        <v>155</v>
      </c>
      <c r="C51" s="31">
        <v>15812</v>
      </c>
      <c r="D51" s="33">
        <f t="shared" si="3"/>
        <v>15812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8" t="s">
        <v>156</v>
      </c>
      <c r="B52" s="46" t="s">
        <v>157</v>
      </c>
      <c r="C52" s="31">
        <v>0</v>
      </c>
      <c r="D52" s="33">
        <f t="shared" si="3"/>
        <v>0</v>
      </c>
      <c r="E52" s="38" t="str">
        <f t="shared" si="0"/>
        <v>-</v>
      </c>
      <c r="F52" s="39" t="str">
        <f t="shared" si="1"/>
        <v>-</v>
      </c>
    </row>
    <row r="53" spans="1:6" ht="28.5" customHeight="1" x14ac:dyDescent="0.2">
      <c r="A53" s="95" t="s">
        <v>22</v>
      </c>
      <c r="B53" s="19" t="s">
        <v>182</v>
      </c>
      <c r="C53" s="29">
        <f>C54+C55+C56+C57</f>
        <v>3545</v>
      </c>
      <c r="D53" s="29">
        <f>D54+D55+D56+D57</f>
        <v>3545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8" t="s">
        <v>48</v>
      </c>
      <c r="B54" s="46" t="s">
        <v>44</v>
      </c>
      <c r="C54" s="31">
        <v>2647</v>
      </c>
      <c r="D54" s="33">
        <f t="shared" si="3"/>
        <v>2647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49</v>
      </c>
      <c r="B55" s="46" t="s">
        <v>45</v>
      </c>
      <c r="C55" s="31">
        <v>306</v>
      </c>
      <c r="D55" s="33">
        <f t="shared" si="3"/>
        <v>306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50</v>
      </c>
      <c r="B56" s="46" t="s">
        <v>46</v>
      </c>
      <c r="C56" s="31">
        <v>0</v>
      </c>
      <c r="D56" s="33">
        <f t="shared" si="3"/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98" t="s">
        <v>51</v>
      </c>
      <c r="B57" s="46" t="s">
        <v>47</v>
      </c>
      <c r="C57" s="31">
        <v>592</v>
      </c>
      <c r="D57" s="33">
        <f t="shared" si="3"/>
        <v>592</v>
      </c>
      <c r="E57" s="38" t="str">
        <f t="shared" si="0"/>
        <v>-</v>
      </c>
      <c r="F57" s="39">
        <f t="shared" si="1"/>
        <v>1</v>
      </c>
    </row>
    <row r="58" spans="1:6" ht="28.5" customHeight="1" x14ac:dyDescent="0.2">
      <c r="A58" s="95" t="s">
        <v>23</v>
      </c>
      <c r="B58" s="18" t="s">
        <v>24</v>
      </c>
      <c r="C58" s="31">
        <v>0</v>
      </c>
      <c r="D58" s="33">
        <f t="shared" si="3"/>
        <v>0</v>
      </c>
      <c r="E58" s="38" t="str">
        <f t="shared" si="0"/>
        <v>-</v>
      </c>
      <c r="F58" s="39" t="str">
        <f t="shared" si="1"/>
        <v>-</v>
      </c>
    </row>
    <row r="59" spans="1:6" ht="28.5" customHeight="1" x14ac:dyDescent="0.2">
      <c r="A59" s="95" t="s">
        <v>25</v>
      </c>
      <c r="B59" s="18" t="s">
        <v>158</v>
      </c>
      <c r="C59" s="31">
        <v>6070</v>
      </c>
      <c r="D59" s="33">
        <f t="shared" si="3"/>
        <v>6070</v>
      </c>
      <c r="E59" s="38" t="str">
        <f t="shared" si="0"/>
        <v>-</v>
      </c>
      <c r="F59" s="41">
        <f t="shared" si="1"/>
        <v>1</v>
      </c>
    </row>
    <row r="60" spans="1:6" ht="28.5" customHeight="1" x14ac:dyDescent="0.2">
      <c r="A60" s="95" t="s">
        <v>26</v>
      </c>
      <c r="B60" s="18" t="s">
        <v>27</v>
      </c>
      <c r="C60" s="31">
        <v>418</v>
      </c>
      <c r="D60" s="33">
        <f t="shared" si="3"/>
        <v>418</v>
      </c>
      <c r="E60" s="38" t="str">
        <f t="shared" si="0"/>
        <v>-</v>
      </c>
      <c r="F60" s="39">
        <f t="shared" si="1"/>
        <v>1</v>
      </c>
    </row>
    <row r="61" spans="1:6" ht="30" customHeight="1" x14ac:dyDescent="0.2">
      <c r="A61" s="99" t="s">
        <v>132</v>
      </c>
      <c r="B61" s="77" t="s">
        <v>159</v>
      </c>
      <c r="C61" s="87">
        <f>C62+C63+C64+C65</f>
        <v>45001</v>
      </c>
      <c r="D61" s="87">
        <f>D62+D63+D64+D65</f>
        <v>45001</v>
      </c>
      <c r="E61" s="68" t="str">
        <f t="shared" si="0"/>
        <v>-</v>
      </c>
      <c r="F61" s="88">
        <f t="shared" si="1"/>
        <v>1</v>
      </c>
    </row>
    <row r="62" spans="1:6" ht="42" customHeight="1" x14ac:dyDescent="0.2">
      <c r="A62" s="95" t="s">
        <v>99</v>
      </c>
      <c r="B62" s="18" t="s">
        <v>112</v>
      </c>
      <c r="C62" s="31">
        <v>0</v>
      </c>
      <c r="D62" s="33">
        <f>C62</f>
        <v>0</v>
      </c>
      <c r="E62" s="29" t="str">
        <f t="shared" si="0"/>
        <v>-</v>
      </c>
      <c r="F62" s="39" t="str">
        <f t="shared" si="1"/>
        <v>-</v>
      </c>
    </row>
    <row r="63" spans="1:6" ht="31.5" customHeight="1" x14ac:dyDescent="0.2">
      <c r="A63" s="95" t="s">
        <v>28</v>
      </c>
      <c r="B63" s="18" t="s">
        <v>53</v>
      </c>
      <c r="C63" s="31">
        <v>38601</v>
      </c>
      <c r="D63" s="33">
        <f>C63</f>
        <v>38601</v>
      </c>
      <c r="E63" s="29" t="str">
        <f t="shared" si="0"/>
        <v>-</v>
      </c>
      <c r="F63" s="39">
        <f t="shared" si="1"/>
        <v>1</v>
      </c>
    </row>
    <row r="64" spans="1:6" ht="31.5" customHeight="1" x14ac:dyDescent="0.2">
      <c r="A64" s="95" t="s">
        <v>29</v>
      </c>
      <c r="B64" s="18" t="s">
        <v>101</v>
      </c>
      <c r="C64" s="31">
        <v>0</v>
      </c>
      <c r="D64" s="33">
        <f>C64</f>
        <v>0</v>
      </c>
      <c r="E64" s="29" t="str">
        <f t="shared" si="0"/>
        <v>-</v>
      </c>
      <c r="F64" s="39" t="str">
        <f t="shared" si="1"/>
        <v>-</v>
      </c>
    </row>
    <row r="65" spans="1:6" ht="31.5" customHeight="1" x14ac:dyDescent="0.2">
      <c r="A65" s="95" t="s">
        <v>100</v>
      </c>
      <c r="B65" s="18" t="s">
        <v>102</v>
      </c>
      <c r="C65" s="31">
        <v>6400</v>
      </c>
      <c r="D65" s="33">
        <f>C65</f>
        <v>6400</v>
      </c>
      <c r="E65" s="29" t="str">
        <f t="shared" si="0"/>
        <v>-</v>
      </c>
      <c r="F65" s="39">
        <f t="shared" si="1"/>
        <v>1</v>
      </c>
    </row>
    <row r="66" spans="1:6" ht="32.25" customHeight="1" x14ac:dyDescent="0.2">
      <c r="A66" s="99" t="s">
        <v>134</v>
      </c>
      <c r="B66" s="77" t="s">
        <v>113</v>
      </c>
      <c r="C66" s="87">
        <v>18259</v>
      </c>
      <c r="D66" s="87">
        <f>C66</f>
        <v>18259</v>
      </c>
      <c r="E66" s="68" t="str">
        <f t="shared" si="0"/>
        <v>-</v>
      </c>
      <c r="F66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pageSetUpPr fitToPage="1"/>
  </sheetPr>
  <dimension ref="A1:F66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J7" sqref="J7"/>
      <selection pane="topRight" activeCell="J7" sqref="J7"/>
      <selection pane="bottomLeft" activeCell="J7" sqref="J7"/>
      <selection pane="bottomRight" activeCell="J7" sqref="J7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2.75" customHeight="1" x14ac:dyDescent="0.2">
      <c r="A1" s="112" t="s">
        <v>202</v>
      </c>
      <c r="B1" s="112"/>
      <c r="C1" s="112"/>
      <c r="D1" s="112"/>
      <c r="E1" s="112"/>
      <c r="F1" s="112"/>
    </row>
    <row r="2" spans="1:6" s="22" customFormat="1" ht="33" customHeight="1" x14ac:dyDescent="0.2">
      <c r="A2" s="54" t="s">
        <v>61</v>
      </c>
      <c r="B2" s="54"/>
      <c r="C2" s="55"/>
    </row>
    <row r="3" spans="1:6" ht="33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195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198</v>
      </c>
      <c r="C6" s="83">
        <f>C7+C8+C9+C14+C15+C16+C17+C18+C19+C20+C21+C22+C23+C24+C28+C29+C31+C32+C33+C34+C35</f>
        <v>4343939</v>
      </c>
      <c r="D6" s="83">
        <f>D7+D8+D9+D14+D15+D16+D17+D18+D19+D20+D21+D22+D23+D24+D28+D29+D31+D32+D33+D34+D35</f>
        <v>4358307</v>
      </c>
      <c r="E6" s="68">
        <f>IF(C6=D6,"-",D6-C6)</f>
        <v>14368</v>
      </c>
      <c r="F6" s="84">
        <f>IF(C6=0,"-",D6/C6)</f>
        <v>1.0029999999999999</v>
      </c>
    </row>
    <row r="7" spans="1:6" ht="33" customHeight="1" x14ac:dyDescent="0.2">
      <c r="A7" s="92" t="s">
        <v>1</v>
      </c>
      <c r="B7" s="14" t="s">
        <v>116</v>
      </c>
      <c r="C7" s="31">
        <v>568716</v>
      </c>
      <c r="D7" s="13">
        <f>C7</f>
        <v>568716</v>
      </c>
      <c r="E7" s="38" t="str">
        <f t="shared" ref="E7:E66" si="0">IF(C7=D7,"-",D7-C7)</f>
        <v>-</v>
      </c>
      <c r="F7" s="39">
        <f t="shared" ref="F7:F66" si="1">IF(C7=0,"-",D7/C7)</f>
        <v>1</v>
      </c>
    </row>
    <row r="8" spans="1:6" ht="33" customHeight="1" x14ac:dyDescent="0.2">
      <c r="A8" s="92" t="s">
        <v>2</v>
      </c>
      <c r="B8" s="14" t="s">
        <v>117</v>
      </c>
      <c r="C8" s="31">
        <v>228285</v>
      </c>
      <c r="D8" s="13">
        <f>C8</f>
        <v>228285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92" t="s">
        <v>3</v>
      </c>
      <c r="B9" s="14" t="s">
        <v>114</v>
      </c>
      <c r="C9" s="31">
        <v>2261285</v>
      </c>
      <c r="D9" s="13">
        <f>C9+9571</f>
        <v>2270856</v>
      </c>
      <c r="E9" s="38">
        <f t="shared" si="0"/>
        <v>9571</v>
      </c>
      <c r="F9" s="39">
        <f t="shared" si="1"/>
        <v>1.0042</v>
      </c>
    </row>
    <row r="10" spans="1:6" ht="31.5" customHeight="1" x14ac:dyDescent="0.2">
      <c r="A10" s="93" t="s">
        <v>54</v>
      </c>
      <c r="B10" s="45" t="s">
        <v>199</v>
      </c>
      <c r="C10" s="31">
        <v>194028</v>
      </c>
      <c r="D10" s="13">
        <f t="shared" ref="D10:D34" si="2">C10</f>
        <v>194028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93" t="s">
        <v>139</v>
      </c>
      <c r="B11" s="45" t="s">
        <v>142</v>
      </c>
      <c r="C11" s="31">
        <v>174326</v>
      </c>
      <c r="D11" s="13">
        <f t="shared" si="2"/>
        <v>174326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v>95775</v>
      </c>
      <c r="D12" s="13">
        <f t="shared" si="2"/>
        <v>95775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93" t="s">
        <v>141</v>
      </c>
      <c r="B13" s="45" t="s">
        <v>144</v>
      </c>
      <c r="C13" s="31">
        <v>44369</v>
      </c>
      <c r="D13" s="13">
        <f t="shared" si="2"/>
        <v>44369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v>173991</v>
      </c>
      <c r="D14" s="13">
        <f>C14+3947</f>
        <v>177938</v>
      </c>
      <c r="E14" s="38">
        <f t="shared" si="0"/>
        <v>3947</v>
      </c>
      <c r="F14" s="39">
        <f t="shared" si="1"/>
        <v>1.0226999999999999</v>
      </c>
    </row>
    <row r="15" spans="1:6" ht="33" customHeight="1" x14ac:dyDescent="0.2">
      <c r="A15" s="92" t="s">
        <v>5</v>
      </c>
      <c r="B15" s="14" t="s">
        <v>118</v>
      </c>
      <c r="C15" s="31">
        <v>132636</v>
      </c>
      <c r="D15" s="13">
        <f t="shared" si="2"/>
        <v>132636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92" t="s">
        <v>6</v>
      </c>
      <c r="B16" s="14" t="s">
        <v>124</v>
      </c>
      <c r="C16" s="31">
        <v>88730</v>
      </c>
      <c r="D16" s="13">
        <f t="shared" si="2"/>
        <v>88730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92" t="s">
        <v>7</v>
      </c>
      <c r="B17" s="14" t="s">
        <v>123</v>
      </c>
      <c r="C17" s="31">
        <v>32413</v>
      </c>
      <c r="D17" s="13">
        <f t="shared" si="2"/>
        <v>32413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92" t="s">
        <v>8</v>
      </c>
      <c r="B18" s="14" t="s">
        <v>119</v>
      </c>
      <c r="C18" s="31">
        <v>130071</v>
      </c>
      <c r="D18" s="13">
        <f t="shared" si="2"/>
        <v>130071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92" t="s">
        <v>9</v>
      </c>
      <c r="B19" s="14" t="s">
        <v>120</v>
      </c>
      <c r="C19" s="31">
        <v>42622</v>
      </c>
      <c r="D19" s="13">
        <f t="shared" si="2"/>
        <v>42622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92" t="s">
        <v>10</v>
      </c>
      <c r="B20" s="14" t="s">
        <v>125</v>
      </c>
      <c r="C20" s="31">
        <v>3513</v>
      </c>
      <c r="D20" s="13">
        <f t="shared" si="2"/>
        <v>3513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v>11300</v>
      </c>
      <c r="D21" s="13">
        <f t="shared" si="2"/>
        <v>11300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92" t="s">
        <v>12</v>
      </c>
      <c r="B22" s="14" t="s">
        <v>161</v>
      </c>
      <c r="C22" s="31">
        <v>120488</v>
      </c>
      <c r="D22" s="13">
        <f t="shared" si="2"/>
        <v>120488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92" t="s">
        <v>13</v>
      </c>
      <c r="B23" s="14" t="s">
        <v>145</v>
      </c>
      <c r="C23" s="31">
        <v>54113</v>
      </c>
      <c r="D23" s="13">
        <f t="shared" si="2"/>
        <v>54113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94" t="s">
        <v>14</v>
      </c>
      <c r="B24" s="30" t="s">
        <v>177</v>
      </c>
      <c r="C24" s="31">
        <v>473388</v>
      </c>
      <c r="D24" s="13">
        <f t="shared" si="2"/>
        <v>473388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v>470888</v>
      </c>
      <c r="D25" s="13">
        <f t="shared" si="2"/>
        <v>470888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v>2200</v>
      </c>
      <c r="D26" s="13">
        <f t="shared" si="2"/>
        <v>2200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v>300</v>
      </c>
      <c r="D27" s="13">
        <f t="shared" si="2"/>
        <v>300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v>0</v>
      </c>
      <c r="D29" s="13">
        <f t="shared" si="2"/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v>20968</v>
      </c>
      <c r="D32" s="13">
        <f t="shared" si="2"/>
        <v>20968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178</v>
      </c>
      <c r="B33" s="16" t="s">
        <v>179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v>1000</v>
      </c>
      <c r="D34" s="13">
        <f t="shared" si="2"/>
        <v>1000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196</v>
      </c>
      <c r="B35" s="16" t="s">
        <v>197</v>
      </c>
      <c r="C35" s="31">
        <v>420</v>
      </c>
      <c r="D35" s="13">
        <f>C35+850</f>
        <v>1270</v>
      </c>
      <c r="E35" s="38">
        <f>IF(C35=D35,"-",D35-C35)</f>
        <v>850</v>
      </c>
      <c r="F35" s="39">
        <f>IF(C35=0,"-",D35/C35)</f>
        <v>3.0238</v>
      </c>
    </row>
    <row r="36" spans="1:6" s="2" customFormat="1" ht="31.5" customHeight="1" x14ac:dyDescent="0.2">
      <c r="A36" s="96" t="s">
        <v>56</v>
      </c>
      <c r="B36" s="17" t="s">
        <v>57</v>
      </c>
      <c r="C36" s="32">
        <v>0</v>
      </c>
      <c r="D36" s="37">
        <f>C36</f>
        <v>0</v>
      </c>
      <c r="E36" s="7" t="str">
        <f t="shared" si="0"/>
        <v>-</v>
      </c>
      <c r="F36" s="40" t="str">
        <f t="shared" si="1"/>
        <v>-</v>
      </c>
    </row>
    <row r="37" spans="1:6" s="2" customFormat="1" ht="31.5" customHeight="1" x14ac:dyDescent="0.2">
      <c r="A37" s="96" t="s">
        <v>55</v>
      </c>
      <c r="B37" s="17" t="s">
        <v>58</v>
      </c>
      <c r="C37" s="32">
        <v>114331</v>
      </c>
      <c r="D37" s="37">
        <f>C37</f>
        <v>114331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2">
        <v>38608</v>
      </c>
      <c r="D38" s="37">
        <f>C38</f>
        <v>38608</v>
      </c>
      <c r="E38" s="7" t="str">
        <f t="shared" si="0"/>
        <v>-</v>
      </c>
      <c r="F38" s="40">
        <f t="shared" si="1"/>
        <v>1</v>
      </c>
    </row>
    <row r="39" spans="1:6" s="2" customFormat="1" ht="42.75" customHeight="1" x14ac:dyDescent="0.2">
      <c r="A39" s="96" t="s">
        <v>153</v>
      </c>
      <c r="B39" s="17" t="s">
        <v>154</v>
      </c>
      <c r="C39" s="32">
        <f>C11+C13+C24+C30</f>
        <v>692083</v>
      </c>
      <c r="D39" s="32">
        <f>D11+D13+D24+D30</f>
        <v>692083</v>
      </c>
      <c r="E39" s="7" t="str">
        <f t="shared" si="0"/>
        <v>-</v>
      </c>
      <c r="F39" s="40">
        <f t="shared" si="1"/>
        <v>1</v>
      </c>
    </row>
    <row r="40" spans="1:6" ht="30" customHeight="1" x14ac:dyDescent="0.2">
      <c r="A40" s="97" t="s">
        <v>130</v>
      </c>
      <c r="B40" s="85" t="s">
        <v>183</v>
      </c>
      <c r="C40" s="71">
        <f>C41+C42+C43+C51+C53+C59+C60+C58</f>
        <v>25579</v>
      </c>
      <c r="D40" s="71">
        <f>D41+D42+D43+D51+D53+D59+D60+D58</f>
        <v>25579</v>
      </c>
      <c r="E40" s="68" t="str">
        <f t="shared" si="0"/>
        <v>-</v>
      </c>
      <c r="F40" s="86">
        <f t="shared" si="1"/>
        <v>1</v>
      </c>
    </row>
    <row r="41" spans="1:6" ht="28.5" customHeight="1" x14ac:dyDescent="0.2">
      <c r="A41" s="95" t="s">
        <v>16</v>
      </c>
      <c r="B41" s="18" t="s">
        <v>17</v>
      </c>
      <c r="C41" s="31">
        <v>893</v>
      </c>
      <c r="D41" s="33">
        <f>C41</f>
        <v>893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95" t="s">
        <v>18</v>
      </c>
      <c r="B42" s="18" t="s">
        <v>19</v>
      </c>
      <c r="C42" s="31">
        <v>2867</v>
      </c>
      <c r="D42" s="33">
        <f t="shared" ref="D42:D60" si="3">C42</f>
        <v>2867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20</v>
      </c>
      <c r="B43" s="19" t="s">
        <v>184</v>
      </c>
      <c r="C43" s="33">
        <f>C44+C46+C47+C48+C49+C50</f>
        <v>271</v>
      </c>
      <c r="D43" s="33">
        <f>D44+D46+D47+D48+D49+D50</f>
        <v>271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8" t="s">
        <v>37</v>
      </c>
      <c r="B44" s="46" t="s">
        <v>30</v>
      </c>
      <c r="C44" s="31">
        <v>32</v>
      </c>
      <c r="D44" s="33">
        <f t="shared" si="3"/>
        <v>32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98" t="s">
        <v>38</v>
      </c>
      <c r="B45" s="47" t="s">
        <v>31</v>
      </c>
      <c r="C45" s="31">
        <v>32</v>
      </c>
      <c r="D45" s="33">
        <f t="shared" si="3"/>
        <v>32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39</v>
      </c>
      <c r="B46" s="46" t="s">
        <v>32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98" t="s">
        <v>40</v>
      </c>
      <c r="B47" s="46" t="s">
        <v>33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98" t="s">
        <v>41</v>
      </c>
      <c r="B48" s="46" t="s">
        <v>34</v>
      </c>
      <c r="C48" s="31">
        <v>0</v>
      </c>
      <c r="D48" s="33">
        <f t="shared" si="3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42</v>
      </c>
      <c r="B49" s="46" t="s">
        <v>35</v>
      </c>
      <c r="C49" s="31">
        <v>225</v>
      </c>
      <c r="D49" s="33">
        <f t="shared" si="3"/>
        <v>225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98" t="s">
        <v>43</v>
      </c>
      <c r="B50" s="46" t="s">
        <v>36</v>
      </c>
      <c r="C50" s="31">
        <v>14</v>
      </c>
      <c r="D50" s="33">
        <f t="shared" si="3"/>
        <v>14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5" t="s">
        <v>21</v>
      </c>
      <c r="B51" s="18" t="s">
        <v>155</v>
      </c>
      <c r="C51" s="31">
        <v>16499</v>
      </c>
      <c r="D51" s="33">
        <f t="shared" si="3"/>
        <v>16499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8" t="s">
        <v>156</v>
      </c>
      <c r="B52" s="46" t="s">
        <v>157</v>
      </c>
      <c r="C52" s="31">
        <v>144</v>
      </c>
      <c r="D52" s="33">
        <f t="shared" si="3"/>
        <v>144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95" t="s">
        <v>22</v>
      </c>
      <c r="B53" s="19" t="s">
        <v>182</v>
      </c>
      <c r="C53" s="29">
        <f>C54+C55+C56+C57</f>
        <v>3699</v>
      </c>
      <c r="D53" s="29">
        <f>D54+D55+D56+D57</f>
        <v>3699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8" t="s">
        <v>48</v>
      </c>
      <c r="B54" s="46" t="s">
        <v>44</v>
      </c>
      <c r="C54" s="31">
        <v>2834</v>
      </c>
      <c r="D54" s="33">
        <f t="shared" si="3"/>
        <v>2834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49</v>
      </c>
      <c r="B55" s="46" t="s">
        <v>45</v>
      </c>
      <c r="C55" s="31">
        <v>405</v>
      </c>
      <c r="D55" s="33">
        <f t="shared" si="3"/>
        <v>405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50</v>
      </c>
      <c r="B56" s="46" t="s">
        <v>46</v>
      </c>
      <c r="C56" s="31">
        <v>0</v>
      </c>
      <c r="D56" s="33">
        <f t="shared" si="3"/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98" t="s">
        <v>51</v>
      </c>
      <c r="B57" s="46" t="s">
        <v>47</v>
      </c>
      <c r="C57" s="31">
        <v>460</v>
      </c>
      <c r="D57" s="33">
        <f t="shared" si="3"/>
        <v>460</v>
      </c>
      <c r="E57" s="38" t="str">
        <f t="shared" si="0"/>
        <v>-</v>
      </c>
      <c r="F57" s="39">
        <f t="shared" si="1"/>
        <v>1</v>
      </c>
    </row>
    <row r="58" spans="1:6" ht="28.5" customHeight="1" x14ac:dyDescent="0.2">
      <c r="A58" s="95" t="s">
        <v>23</v>
      </c>
      <c r="B58" s="18" t="s">
        <v>24</v>
      </c>
      <c r="C58" s="31">
        <v>0</v>
      </c>
      <c r="D58" s="33">
        <f t="shared" si="3"/>
        <v>0</v>
      </c>
      <c r="E58" s="38" t="str">
        <f t="shared" si="0"/>
        <v>-</v>
      </c>
      <c r="F58" s="39" t="str">
        <f t="shared" si="1"/>
        <v>-</v>
      </c>
    </row>
    <row r="59" spans="1:6" ht="28.5" customHeight="1" x14ac:dyDescent="0.2">
      <c r="A59" s="95" t="s">
        <v>25</v>
      </c>
      <c r="B59" s="18" t="s">
        <v>158</v>
      </c>
      <c r="C59" s="31">
        <v>966</v>
      </c>
      <c r="D59" s="33">
        <f t="shared" si="3"/>
        <v>966</v>
      </c>
      <c r="E59" s="38" t="str">
        <f t="shared" si="0"/>
        <v>-</v>
      </c>
      <c r="F59" s="41">
        <f t="shared" si="1"/>
        <v>1</v>
      </c>
    </row>
    <row r="60" spans="1:6" ht="28.5" customHeight="1" x14ac:dyDescent="0.2">
      <c r="A60" s="95" t="s">
        <v>26</v>
      </c>
      <c r="B60" s="18" t="s">
        <v>27</v>
      </c>
      <c r="C60" s="31">
        <v>384</v>
      </c>
      <c r="D60" s="33">
        <f t="shared" si="3"/>
        <v>384</v>
      </c>
      <c r="E60" s="38" t="str">
        <f t="shared" si="0"/>
        <v>-</v>
      </c>
      <c r="F60" s="39">
        <f t="shared" si="1"/>
        <v>1</v>
      </c>
    </row>
    <row r="61" spans="1:6" ht="30" customHeight="1" x14ac:dyDescent="0.2">
      <c r="A61" s="99" t="s">
        <v>132</v>
      </c>
      <c r="B61" s="77" t="s">
        <v>159</v>
      </c>
      <c r="C61" s="87">
        <f>C62+C63+C64+C65</f>
        <v>41500</v>
      </c>
      <c r="D61" s="87">
        <f>D62+D63+D64+D65</f>
        <v>41500</v>
      </c>
      <c r="E61" s="68" t="str">
        <f t="shared" si="0"/>
        <v>-</v>
      </c>
      <c r="F61" s="88">
        <f t="shared" si="1"/>
        <v>1</v>
      </c>
    </row>
    <row r="62" spans="1:6" ht="42" customHeight="1" x14ac:dyDescent="0.2">
      <c r="A62" s="95" t="s">
        <v>99</v>
      </c>
      <c r="B62" s="18" t="s">
        <v>112</v>
      </c>
      <c r="C62" s="31">
        <v>0</v>
      </c>
      <c r="D62" s="33">
        <f>C62</f>
        <v>0</v>
      </c>
      <c r="E62" s="29" t="str">
        <f t="shared" si="0"/>
        <v>-</v>
      </c>
      <c r="F62" s="39" t="str">
        <f t="shared" si="1"/>
        <v>-</v>
      </c>
    </row>
    <row r="63" spans="1:6" ht="31.5" customHeight="1" x14ac:dyDescent="0.2">
      <c r="A63" s="95" t="s">
        <v>28</v>
      </c>
      <c r="B63" s="18" t="s">
        <v>53</v>
      </c>
      <c r="C63" s="31">
        <v>40500</v>
      </c>
      <c r="D63" s="33">
        <f>C63</f>
        <v>40500</v>
      </c>
      <c r="E63" s="29" t="str">
        <f t="shared" si="0"/>
        <v>-</v>
      </c>
      <c r="F63" s="39">
        <f t="shared" si="1"/>
        <v>1</v>
      </c>
    </row>
    <row r="64" spans="1:6" ht="31.5" customHeight="1" x14ac:dyDescent="0.2">
      <c r="A64" s="95" t="s">
        <v>29</v>
      </c>
      <c r="B64" s="18" t="s">
        <v>101</v>
      </c>
      <c r="C64" s="31">
        <v>0</v>
      </c>
      <c r="D64" s="33">
        <f>C64</f>
        <v>0</v>
      </c>
      <c r="E64" s="29" t="str">
        <f t="shared" si="0"/>
        <v>-</v>
      </c>
      <c r="F64" s="39" t="str">
        <f t="shared" si="1"/>
        <v>-</v>
      </c>
    </row>
    <row r="65" spans="1:6" ht="31.5" customHeight="1" x14ac:dyDescent="0.2">
      <c r="A65" s="95" t="s">
        <v>100</v>
      </c>
      <c r="B65" s="18" t="s">
        <v>102</v>
      </c>
      <c r="C65" s="31">
        <v>1000</v>
      </c>
      <c r="D65" s="33">
        <f>C65</f>
        <v>1000</v>
      </c>
      <c r="E65" s="29" t="str">
        <f t="shared" si="0"/>
        <v>-</v>
      </c>
      <c r="F65" s="39">
        <f t="shared" si="1"/>
        <v>1</v>
      </c>
    </row>
    <row r="66" spans="1:6" ht="32.25" customHeight="1" x14ac:dyDescent="0.2">
      <c r="A66" s="99" t="s">
        <v>134</v>
      </c>
      <c r="B66" s="77" t="s">
        <v>113</v>
      </c>
      <c r="C66" s="87">
        <v>5000</v>
      </c>
      <c r="D66" s="87">
        <f>C66</f>
        <v>5000</v>
      </c>
      <c r="E66" s="68" t="str">
        <f t="shared" si="0"/>
        <v>-</v>
      </c>
      <c r="F66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pageSetUpPr fitToPage="1"/>
  </sheetPr>
  <dimension ref="A1:F66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J7" sqref="J7"/>
      <selection pane="topRight" activeCell="J7" sqref="J7"/>
      <selection pane="bottomLeft" activeCell="J7" sqref="J7"/>
      <selection pane="bottomRight" activeCell="J7" sqref="J7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2.75" customHeight="1" x14ac:dyDescent="0.2">
      <c r="A1" s="112" t="s">
        <v>202</v>
      </c>
      <c r="B1" s="112"/>
      <c r="C1" s="112"/>
      <c r="D1" s="112"/>
      <c r="E1" s="112"/>
      <c r="F1" s="112"/>
    </row>
    <row r="2" spans="1:6" s="22" customFormat="1" ht="33" customHeight="1" x14ac:dyDescent="0.2">
      <c r="A2" s="54" t="s">
        <v>62</v>
      </c>
      <c r="B2" s="54"/>
      <c r="C2" s="55"/>
    </row>
    <row r="3" spans="1:6" ht="33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195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198</v>
      </c>
      <c r="C6" s="83">
        <f>C7+C8+C9+C14+C15+C16+C17+C18+C19+C20+C21+C22+C23+C24+C28+C29+C31+C32+C33+C34+C35</f>
        <v>1979271</v>
      </c>
      <c r="D6" s="83">
        <f>D7+D8+D9+D14+D15+D16+D17+D18+D19+D20+D21+D22+D23+D24+D28+D29+D31+D32+D33+D34+D35</f>
        <v>1987229</v>
      </c>
      <c r="E6" s="68">
        <f>IF(C6=D6,"-",D6-C6)</f>
        <v>7958</v>
      </c>
      <c r="F6" s="84">
        <f>IF(C6=0,"-",D6/C6)</f>
        <v>1.004</v>
      </c>
    </row>
    <row r="7" spans="1:6" ht="33" customHeight="1" x14ac:dyDescent="0.2">
      <c r="A7" s="92" t="s">
        <v>1</v>
      </c>
      <c r="B7" s="14" t="s">
        <v>116</v>
      </c>
      <c r="C7" s="31">
        <v>281753</v>
      </c>
      <c r="D7" s="13">
        <f>C7</f>
        <v>281753</v>
      </c>
      <c r="E7" s="38" t="str">
        <f t="shared" ref="E7:E66" si="0">IF(C7=D7,"-",D7-C7)</f>
        <v>-</v>
      </c>
      <c r="F7" s="39">
        <f t="shared" ref="F7:F66" si="1">IF(C7=0,"-",D7/C7)</f>
        <v>1</v>
      </c>
    </row>
    <row r="8" spans="1:6" ht="33" customHeight="1" x14ac:dyDescent="0.2">
      <c r="A8" s="92" t="s">
        <v>2</v>
      </c>
      <c r="B8" s="14" t="s">
        <v>117</v>
      </c>
      <c r="C8" s="31">
        <v>111258</v>
      </c>
      <c r="D8" s="13">
        <f>C8</f>
        <v>111258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92" t="s">
        <v>3</v>
      </c>
      <c r="B9" s="14" t="s">
        <v>114</v>
      </c>
      <c r="C9" s="31">
        <v>1022750</v>
      </c>
      <c r="D9" s="13">
        <f>C9+4352</f>
        <v>1027102</v>
      </c>
      <c r="E9" s="38">
        <f t="shared" si="0"/>
        <v>4352</v>
      </c>
      <c r="F9" s="39">
        <f t="shared" si="1"/>
        <v>1.0043</v>
      </c>
    </row>
    <row r="10" spans="1:6" ht="31.5" customHeight="1" x14ac:dyDescent="0.2">
      <c r="A10" s="93" t="s">
        <v>54</v>
      </c>
      <c r="B10" s="45" t="s">
        <v>199</v>
      </c>
      <c r="C10" s="31">
        <v>84280</v>
      </c>
      <c r="D10" s="13">
        <f>C10</f>
        <v>84280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93" t="s">
        <v>139</v>
      </c>
      <c r="B11" s="45" t="s">
        <v>142</v>
      </c>
      <c r="C11" s="31">
        <v>78007</v>
      </c>
      <c r="D11" s="13">
        <f t="shared" ref="D11:D34" si="2">C11</f>
        <v>78007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v>38889</v>
      </c>
      <c r="D12" s="13">
        <f t="shared" si="2"/>
        <v>38889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93" t="s">
        <v>141</v>
      </c>
      <c r="B13" s="45" t="s">
        <v>144</v>
      </c>
      <c r="C13" s="31">
        <v>15940</v>
      </c>
      <c r="D13" s="13">
        <f t="shared" si="2"/>
        <v>15940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v>94869</v>
      </c>
      <c r="D14" s="13">
        <f>C14+2816</f>
        <v>97685</v>
      </c>
      <c r="E14" s="38">
        <f t="shared" si="0"/>
        <v>2816</v>
      </c>
      <c r="F14" s="39">
        <f t="shared" si="1"/>
        <v>1.0297000000000001</v>
      </c>
    </row>
    <row r="15" spans="1:6" ht="33" customHeight="1" x14ac:dyDescent="0.2">
      <c r="A15" s="92" t="s">
        <v>5</v>
      </c>
      <c r="B15" s="14" t="s">
        <v>118</v>
      </c>
      <c r="C15" s="31">
        <v>55557</v>
      </c>
      <c r="D15" s="13">
        <f t="shared" si="2"/>
        <v>55557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92" t="s">
        <v>6</v>
      </c>
      <c r="B16" s="14" t="s">
        <v>124</v>
      </c>
      <c r="C16" s="31">
        <v>31269</v>
      </c>
      <c r="D16" s="13">
        <f t="shared" si="2"/>
        <v>31269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92" t="s">
        <v>7</v>
      </c>
      <c r="B17" s="14" t="s">
        <v>123</v>
      </c>
      <c r="C17" s="31">
        <v>15992</v>
      </c>
      <c r="D17" s="13">
        <f t="shared" si="2"/>
        <v>15992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92" t="s">
        <v>8</v>
      </c>
      <c r="B18" s="14" t="s">
        <v>119</v>
      </c>
      <c r="C18" s="31">
        <v>40282</v>
      </c>
      <c r="D18" s="13">
        <f t="shared" si="2"/>
        <v>40282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92" t="s">
        <v>9</v>
      </c>
      <c r="B19" s="14" t="s">
        <v>120</v>
      </c>
      <c r="C19" s="31">
        <v>14400</v>
      </c>
      <c r="D19" s="13">
        <f t="shared" si="2"/>
        <v>14400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92" t="s">
        <v>10</v>
      </c>
      <c r="B20" s="14" t="s">
        <v>125</v>
      </c>
      <c r="C20" s="31">
        <v>1693</v>
      </c>
      <c r="D20" s="13">
        <f t="shared" si="2"/>
        <v>1693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v>5581</v>
      </c>
      <c r="D21" s="13">
        <f t="shared" si="2"/>
        <v>5581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92" t="s">
        <v>12</v>
      </c>
      <c r="B22" s="14" t="s">
        <v>161</v>
      </c>
      <c r="C22" s="31">
        <v>56879</v>
      </c>
      <c r="D22" s="13">
        <f t="shared" si="2"/>
        <v>56879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92" t="s">
        <v>13</v>
      </c>
      <c r="B23" s="14" t="s">
        <v>145</v>
      </c>
      <c r="C23" s="31">
        <v>28665</v>
      </c>
      <c r="D23" s="13">
        <f t="shared" si="2"/>
        <v>28665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94" t="s">
        <v>14</v>
      </c>
      <c r="B24" s="30" t="s">
        <v>177</v>
      </c>
      <c r="C24" s="31">
        <v>202785</v>
      </c>
      <c r="D24" s="13">
        <f t="shared" si="2"/>
        <v>202785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v>202235</v>
      </c>
      <c r="D25" s="13">
        <f t="shared" si="2"/>
        <v>202235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v>350</v>
      </c>
      <c r="D26" s="13">
        <f t="shared" si="2"/>
        <v>350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v>200</v>
      </c>
      <c r="D27" s="13">
        <f t="shared" si="2"/>
        <v>200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v>3765</v>
      </c>
      <c r="D29" s="13">
        <f t="shared" si="2"/>
        <v>3765</v>
      </c>
      <c r="E29" s="38" t="str">
        <f t="shared" si="0"/>
        <v>-</v>
      </c>
      <c r="F29" s="39">
        <f t="shared" si="1"/>
        <v>1</v>
      </c>
    </row>
    <row r="30" spans="1:6" ht="31.5" customHeight="1" x14ac:dyDescent="0.2">
      <c r="A30" s="93" t="s">
        <v>152</v>
      </c>
      <c r="B30" s="45" t="s">
        <v>163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v>10363</v>
      </c>
      <c r="D32" s="13">
        <f t="shared" si="2"/>
        <v>10363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178</v>
      </c>
      <c r="B33" s="16" t="s">
        <v>179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v>1000</v>
      </c>
      <c r="D34" s="13">
        <f t="shared" si="2"/>
        <v>1000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196</v>
      </c>
      <c r="B35" s="16" t="s">
        <v>197</v>
      </c>
      <c r="C35" s="31">
        <v>410</v>
      </c>
      <c r="D35" s="13">
        <f>C35+790</f>
        <v>1200</v>
      </c>
      <c r="E35" s="38">
        <f>IF(C35=D35,"-",D35-C35)</f>
        <v>790</v>
      </c>
      <c r="F35" s="39">
        <f>IF(C35=0,"-",D35/C35)</f>
        <v>2.9268000000000001</v>
      </c>
    </row>
    <row r="36" spans="1:6" s="2" customFormat="1" ht="31.5" customHeight="1" x14ac:dyDescent="0.2">
      <c r="A36" s="96" t="s">
        <v>56</v>
      </c>
      <c r="B36" s="17" t="s">
        <v>57</v>
      </c>
      <c r="C36" s="32">
        <v>0</v>
      </c>
      <c r="D36" s="37">
        <f>C36</f>
        <v>0</v>
      </c>
      <c r="E36" s="7" t="str">
        <f t="shared" si="0"/>
        <v>-</v>
      </c>
      <c r="F36" s="40" t="str">
        <f t="shared" si="1"/>
        <v>-</v>
      </c>
    </row>
    <row r="37" spans="1:6" s="2" customFormat="1" ht="31.5" customHeight="1" x14ac:dyDescent="0.2">
      <c r="A37" s="96" t="s">
        <v>55</v>
      </c>
      <c r="B37" s="17" t="s">
        <v>58</v>
      </c>
      <c r="C37" s="32">
        <v>66976</v>
      </c>
      <c r="D37" s="37">
        <f>C37</f>
        <v>66976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2">
        <v>14878</v>
      </c>
      <c r="D38" s="37">
        <f>C38</f>
        <v>14878</v>
      </c>
      <c r="E38" s="7" t="str">
        <f t="shared" si="0"/>
        <v>-</v>
      </c>
      <c r="F38" s="40">
        <f t="shared" si="1"/>
        <v>1</v>
      </c>
    </row>
    <row r="39" spans="1:6" s="2" customFormat="1" ht="42.75" customHeight="1" x14ac:dyDescent="0.2">
      <c r="A39" s="96" t="s">
        <v>153</v>
      </c>
      <c r="B39" s="17" t="s">
        <v>154</v>
      </c>
      <c r="C39" s="32">
        <f>C11+C13+C24+C30</f>
        <v>296732</v>
      </c>
      <c r="D39" s="32">
        <f>D11+D13+D24+D30</f>
        <v>296732</v>
      </c>
      <c r="E39" s="7" t="str">
        <f t="shared" si="0"/>
        <v>-</v>
      </c>
      <c r="F39" s="40">
        <f t="shared" si="1"/>
        <v>1</v>
      </c>
    </row>
    <row r="40" spans="1:6" ht="30" customHeight="1" x14ac:dyDescent="0.2">
      <c r="A40" s="97" t="s">
        <v>130</v>
      </c>
      <c r="B40" s="85" t="s">
        <v>183</v>
      </c>
      <c r="C40" s="71">
        <f>C41+C42+C43+C51+C53+C59+C60+C58</f>
        <v>17681</v>
      </c>
      <c r="D40" s="71">
        <f>D41+D42+D43+D51+D53+D59+D60+D58</f>
        <v>17681</v>
      </c>
      <c r="E40" s="68" t="str">
        <f t="shared" si="0"/>
        <v>-</v>
      </c>
      <c r="F40" s="86">
        <f t="shared" si="1"/>
        <v>1</v>
      </c>
    </row>
    <row r="41" spans="1:6" ht="28.5" customHeight="1" x14ac:dyDescent="0.2">
      <c r="A41" s="95" t="s">
        <v>16</v>
      </c>
      <c r="B41" s="18" t="s">
        <v>17</v>
      </c>
      <c r="C41" s="31">
        <v>829</v>
      </c>
      <c r="D41" s="33">
        <f>C41</f>
        <v>829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95" t="s">
        <v>18</v>
      </c>
      <c r="B42" s="18" t="s">
        <v>19</v>
      </c>
      <c r="C42" s="31">
        <v>2203</v>
      </c>
      <c r="D42" s="33">
        <f t="shared" ref="D42:D60" si="3">C42</f>
        <v>2203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20</v>
      </c>
      <c r="B43" s="19" t="s">
        <v>184</v>
      </c>
      <c r="C43" s="33">
        <f>C44+C46+C47+C48+C49+C50</f>
        <v>80</v>
      </c>
      <c r="D43" s="33">
        <f>D44+D46+D47+D48+D49+D50</f>
        <v>80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8" t="s">
        <v>37</v>
      </c>
      <c r="B44" s="46" t="s">
        <v>30</v>
      </c>
      <c r="C44" s="31">
        <v>15</v>
      </c>
      <c r="D44" s="33">
        <f t="shared" si="3"/>
        <v>15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98" t="s">
        <v>38</v>
      </c>
      <c r="B45" s="47" t="s">
        <v>31</v>
      </c>
      <c r="C45" s="31">
        <v>15</v>
      </c>
      <c r="D45" s="33">
        <f t="shared" si="3"/>
        <v>15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39</v>
      </c>
      <c r="B46" s="46" t="s">
        <v>32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98" t="s">
        <v>40</v>
      </c>
      <c r="B47" s="46" t="s">
        <v>33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98" t="s">
        <v>41</v>
      </c>
      <c r="B48" s="46" t="s">
        <v>34</v>
      </c>
      <c r="C48" s="31">
        <v>0</v>
      </c>
      <c r="D48" s="33">
        <f t="shared" si="3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42</v>
      </c>
      <c r="B49" s="46" t="s">
        <v>35</v>
      </c>
      <c r="C49" s="31">
        <v>41</v>
      </c>
      <c r="D49" s="33">
        <f t="shared" si="3"/>
        <v>41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98" t="s">
        <v>43</v>
      </c>
      <c r="B50" s="46" t="s">
        <v>36</v>
      </c>
      <c r="C50" s="31">
        <v>24</v>
      </c>
      <c r="D50" s="33">
        <f t="shared" si="3"/>
        <v>24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5" t="s">
        <v>21</v>
      </c>
      <c r="B51" s="18" t="s">
        <v>155</v>
      </c>
      <c r="C51" s="31">
        <v>9524</v>
      </c>
      <c r="D51" s="33">
        <f t="shared" si="3"/>
        <v>9524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8" t="s">
        <v>156</v>
      </c>
      <c r="B52" s="46" t="s">
        <v>157</v>
      </c>
      <c r="C52" s="31">
        <v>43</v>
      </c>
      <c r="D52" s="33">
        <f t="shared" si="3"/>
        <v>43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95" t="s">
        <v>22</v>
      </c>
      <c r="B53" s="19" t="s">
        <v>182</v>
      </c>
      <c r="C53" s="29">
        <f>C54+C55+C56+C57</f>
        <v>2131</v>
      </c>
      <c r="D53" s="29">
        <f>D54+D55+D56+D57</f>
        <v>2131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8" t="s">
        <v>48</v>
      </c>
      <c r="B54" s="46" t="s">
        <v>44</v>
      </c>
      <c r="C54" s="31">
        <v>1634</v>
      </c>
      <c r="D54" s="33">
        <f t="shared" si="3"/>
        <v>1634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49</v>
      </c>
      <c r="B55" s="46" t="s">
        <v>45</v>
      </c>
      <c r="C55" s="31">
        <v>233</v>
      </c>
      <c r="D55" s="33">
        <f t="shared" si="3"/>
        <v>233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50</v>
      </c>
      <c r="B56" s="46" t="s">
        <v>46</v>
      </c>
      <c r="C56" s="31">
        <v>0</v>
      </c>
      <c r="D56" s="33">
        <f t="shared" si="3"/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98" t="s">
        <v>51</v>
      </c>
      <c r="B57" s="46" t="s">
        <v>47</v>
      </c>
      <c r="C57" s="31">
        <v>264</v>
      </c>
      <c r="D57" s="33">
        <f t="shared" si="3"/>
        <v>264</v>
      </c>
      <c r="E57" s="38" t="str">
        <f t="shared" si="0"/>
        <v>-</v>
      </c>
      <c r="F57" s="39">
        <f t="shared" si="1"/>
        <v>1</v>
      </c>
    </row>
    <row r="58" spans="1:6" ht="28.5" customHeight="1" x14ac:dyDescent="0.2">
      <c r="A58" s="95" t="s">
        <v>23</v>
      </c>
      <c r="B58" s="18" t="s">
        <v>24</v>
      </c>
      <c r="C58" s="31">
        <v>0</v>
      </c>
      <c r="D58" s="33">
        <f t="shared" si="3"/>
        <v>0</v>
      </c>
      <c r="E58" s="38" t="str">
        <f t="shared" si="0"/>
        <v>-</v>
      </c>
      <c r="F58" s="39" t="str">
        <f t="shared" si="1"/>
        <v>-</v>
      </c>
    </row>
    <row r="59" spans="1:6" ht="28.5" customHeight="1" x14ac:dyDescent="0.2">
      <c r="A59" s="95" t="s">
        <v>25</v>
      </c>
      <c r="B59" s="18" t="s">
        <v>158</v>
      </c>
      <c r="C59" s="31">
        <v>2600</v>
      </c>
      <c r="D59" s="33">
        <f t="shared" si="3"/>
        <v>2600</v>
      </c>
      <c r="E59" s="38" t="str">
        <f t="shared" si="0"/>
        <v>-</v>
      </c>
      <c r="F59" s="41">
        <f t="shared" si="1"/>
        <v>1</v>
      </c>
    </row>
    <row r="60" spans="1:6" ht="28.5" customHeight="1" x14ac:dyDescent="0.2">
      <c r="A60" s="95" t="s">
        <v>26</v>
      </c>
      <c r="B60" s="18" t="s">
        <v>27</v>
      </c>
      <c r="C60" s="31">
        <v>314</v>
      </c>
      <c r="D60" s="33">
        <f t="shared" si="3"/>
        <v>314</v>
      </c>
      <c r="E60" s="38" t="str">
        <f t="shared" si="0"/>
        <v>-</v>
      </c>
      <c r="F60" s="39">
        <f t="shared" si="1"/>
        <v>1</v>
      </c>
    </row>
    <row r="61" spans="1:6" ht="30" customHeight="1" x14ac:dyDescent="0.2">
      <c r="A61" s="99" t="s">
        <v>132</v>
      </c>
      <c r="B61" s="77" t="s">
        <v>159</v>
      </c>
      <c r="C61" s="87">
        <f>C62+C63+C64+C65</f>
        <v>2623</v>
      </c>
      <c r="D61" s="87">
        <f>D62+D63+D64+D65</f>
        <v>2623</v>
      </c>
      <c r="E61" s="68" t="str">
        <f t="shared" si="0"/>
        <v>-</v>
      </c>
      <c r="F61" s="88">
        <f t="shared" si="1"/>
        <v>1</v>
      </c>
    </row>
    <row r="62" spans="1:6" ht="42" customHeight="1" x14ac:dyDescent="0.2">
      <c r="A62" s="95" t="s">
        <v>99</v>
      </c>
      <c r="B62" s="18" t="s">
        <v>112</v>
      </c>
      <c r="C62" s="31">
        <v>0</v>
      </c>
      <c r="D62" s="33">
        <f>C62</f>
        <v>0</v>
      </c>
      <c r="E62" s="29" t="str">
        <f t="shared" si="0"/>
        <v>-</v>
      </c>
      <c r="F62" s="39" t="str">
        <f t="shared" si="1"/>
        <v>-</v>
      </c>
    </row>
    <row r="63" spans="1:6" ht="31.5" customHeight="1" x14ac:dyDescent="0.2">
      <c r="A63" s="95" t="s">
        <v>28</v>
      </c>
      <c r="B63" s="18" t="s">
        <v>53</v>
      </c>
      <c r="C63" s="31">
        <v>1523</v>
      </c>
      <c r="D63" s="33">
        <f>C63</f>
        <v>1523</v>
      </c>
      <c r="E63" s="29" t="str">
        <f t="shared" si="0"/>
        <v>-</v>
      </c>
      <c r="F63" s="39">
        <f t="shared" si="1"/>
        <v>1</v>
      </c>
    </row>
    <row r="64" spans="1:6" ht="31.5" customHeight="1" x14ac:dyDescent="0.2">
      <c r="A64" s="95" t="s">
        <v>29</v>
      </c>
      <c r="B64" s="18" t="s">
        <v>101</v>
      </c>
      <c r="C64" s="31">
        <v>0</v>
      </c>
      <c r="D64" s="33">
        <f>C64</f>
        <v>0</v>
      </c>
      <c r="E64" s="29" t="str">
        <f t="shared" si="0"/>
        <v>-</v>
      </c>
      <c r="F64" s="39" t="str">
        <f t="shared" si="1"/>
        <v>-</v>
      </c>
    </row>
    <row r="65" spans="1:6" ht="31.5" customHeight="1" x14ac:dyDescent="0.2">
      <c r="A65" s="95" t="s">
        <v>100</v>
      </c>
      <c r="B65" s="18" t="s">
        <v>102</v>
      </c>
      <c r="C65" s="31">
        <v>1100</v>
      </c>
      <c r="D65" s="33">
        <f>C65</f>
        <v>1100</v>
      </c>
      <c r="E65" s="29" t="str">
        <f t="shared" si="0"/>
        <v>-</v>
      </c>
      <c r="F65" s="39">
        <f t="shared" si="1"/>
        <v>1</v>
      </c>
    </row>
    <row r="66" spans="1:6" ht="32.25" customHeight="1" x14ac:dyDescent="0.2">
      <c r="A66" s="99" t="s">
        <v>134</v>
      </c>
      <c r="B66" s="77" t="s">
        <v>113</v>
      </c>
      <c r="C66" s="87">
        <v>750</v>
      </c>
      <c r="D66" s="87">
        <f>C66</f>
        <v>750</v>
      </c>
      <c r="E66" s="68" t="str">
        <f t="shared" si="0"/>
        <v>-</v>
      </c>
      <c r="F66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F66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J7" sqref="J7"/>
      <selection pane="topRight" activeCell="J7" sqref="J7"/>
      <selection pane="bottomLeft" activeCell="J7" sqref="J7"/>
      <selection pane="bottomRight" activeCell="J7" sqref="J7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2.75" customHeight="1" x14ac:dyDescent="0.2">
      <c r="A1" s="112" t="s">
        <v>202</v>
      </c>
      <c r="B1" s="112"/>
      <c r="C1" s="112"/>
      <c r="D1" s="112"/>
      <c r="E1" s="112"/>
      <c r="F1" s="112"/>
    </row>
    <row r="2" spans="1:6" s="22" customFormat="1" ht="33" customHeight="1" x14ac:dyDescent="0.2">
      <c r="A2" s="54" t="s">
        <v>63</v>
      </c>
      <c r="B2" s="54"/>
      <c r="C2" s="55"/>
    </row>
    <row r="3" spans="1:6" ht="33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195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198</v>
      </c>
      <c r="C6" s="83">
        <f>C7+C8+C9+C14+C15+C16+C17+C18+C19+C20+C21+C22+C23+C24+C28+C29+C31+C32+C33+C34+C35</f>
        <v>5289084</v>
      </c>
      <c r="D6" s="83">
        <f>D7+D8+D9+D14+D15+D16+D17+D18+D19+D20+D21+D22+D23+D24+D28+D29+D31+D32+D33+D34+D35</f>
        <v>5307554</v>
      </c>
      <c r="E6" s="68">
        <f>IF(C6=D6,"-",D6-C6)</f>
        <v>18470</v>
      </c>
      <c r="F6" s="84">
        <f>IF(C6=0,"-",D6/C6)</f>
        <v>1.0029999999999999</v>
      </c>
    </row>
    <row r="7" spans="1:6" ht="33" customHeight="1" x14ac:dyDescent="0.2">
      <c r="A7" s="92" t="s">
        <v>1</v>
      </c>
      <c r="B7" s="14" t="s">
        <v>116</v>
      </c>
      <c r="C7" s="31">
        <v>701671</v>
      </c>
      <c r="D7" s="13">
        <f>C7</f>
        <v>701671</v>
      </c>
      <c r="E7" s="38" t="str">
        <f t="shared" ref="E7:E66" si="0">IF(C7=D7,"-",D7-C7)</f>
        <v>-</v>
      </c>
      <c r="F7" s="39">
        <f t="shared" ref="F7:F66" si="1">IF(C7=0,"-",D7/C7)</f>
        <v>1</v>
      </c>
    </row>
    <row r="8" spans="1:6" ht="33" customHeight="1" x14ac:dyDescent="0.2">
      <c r="A8" s="92" t="s">
        <v>2</v>
      </c>
      <c r="B8" s="14" t="s">
        <v>117</v>
      </c>
      <c r="C8" s="31">
        <v>280906</v>
      </c>
      <c r="D8" s="13">
        <f>C8</f>
        <v>280906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92" t="s">
        <v>3</v>
      </c>
      <c r="B9" s="14" t="s">
        <v>114</v>
      </c>
      <c r="C9" s="31">
        <v>2813021</v>
      </c>
      <c r="D9" s="13">
        <f>C9+11622</f>
        <v>2824643</v>
      </c>
      <c r="E9" s="38">
        <f t="shared" si="0"/>
        <v>11622</v>
      </c>
      <c r="F9" s="39">
        <f t="shared" si="1"/>
        <v>1.0041</v>
      </c>
    </row>
    <row r="10" spans="1:6" ht="31.5" customHeight="1" x14ac:dyDescent="0.2">
      <c r="A10" s="93" t="s">
        <v>54</v>
      </c>
      <c r="B10" s="45" t="s">
        <v>199</v>
      </c>
      <c r="C10" s="31">
        <v>284417</v>
      </c>
      <c r="D10" s="13">
        <f>C10</f>
        <v>284417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93" t="s">
        <v>139</v>
      </c>
      <c r="B11" s="45" t="s">
        <v>142</v>
      </c>
      <c r="C11" s="31">
        <v>259200</v>
      </c>
      <c r="D11" s="13">
        <f t="shared" ref="D11:D34" si="2">C11</f>
        <v>259200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v>92152</v>
      </c>
      <c r="D12" s="13">
        <f t="shared" si="2"/>
        <v>92152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93" t="s">
        <v>141</v>
      </c>
      <c r="B13" s="45" t="s">
        <v>144</v>
      </c>
      <c r="C13" s="31">
        <v>37285</v>
      </c>
      <c r="D13" s="13">
        <f t="shared" si="2"/>
        <v>37285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v>196090</v>
      </c>
      <c r="D14" s="13">
        <f>C14+3823</f>
        <v>199913</v>
      </c>
      <c r="E14" s="38">
        <f t="shared" si="0"/>
        <v>3823</v>
      </c>
      <c r="F14" s="39">
        <f t="shared" si="1"/>
        <v>1.0195000000000001</v>
      </c>
    </row>
    <row r="15" spans="1:6" ht="33" customHeight="1" x14ac:dyDescent="0.2">
      <c r="A15" s="92" t="s">
        <v>5</v>
      </c>
      <c r="B15" s="14" t="s">
        <v>118</v>
      </c>
      <c r="C15" s="31">
        <v>138942</v>
      </c>
      <c r="D15" s="13">
        <f t="shared" si="2"/>
        <v>138942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92" t="s">
        <v>6</v>
      </c>
      <c r="B16" s="14" t="s">
        <v>124</v>
      </c>
      <c r="C16" s="31">
        <v>77698</v>
      </c>
      <c r="D16" s="13">
        <f t="shared" si="2"/>
        <v>77698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92" t="s">
        <v>7</v>
      </c>
      <c r="B17" s="14" t="s">
        <v>123</v>
      </c>
      <c r="C17" s="31">
        <v>36771</v>
      </c>
      <c r="D17" s="13">
        <f t="shared" si="2"/>
        <v>36771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92" t="s">
        <v>8</v>
      </c>
      <c r="B18" s="14" t="s">
        <v>119</v>
      </c>
      <c r="C18" s="31">
        <v>130292</v>
      </c>
      <c r="D18" s="13">
        <f t="shared" si="2"/>
        <v>130292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92" t="s">
        <v>9</v>
      </c>
      <c r="B19" s="14" t="s">
        <v>120</v>
      </c>
      <c r="C19" s="31">
        <v>44500</v>
      </c>
      <c r="D19" s="13">
        <f t="shared" si="2"/>
        <v>44500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92" t="s">
        <v>10</v>
      </c>
      <c r="B20" s="14" t="s">
        <v>125</v>
      </c>
      <c r="C20" s="31">
        <v>2506</v>
      </c>
      <c r="D20" s="13">
        <f t="shared" si="2"/>
        <v>2506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v>12258</v>
      </c>
      <c r="D21" s="13">
        <f t="shared" si="2"/>
        <v>12258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92" t="s">
        <v>12</v>
      </c>
      <c r="B22" s="14" t="s">
        <v>161</v>
      </c>
      <c r="C22" s="31">
        <v>145182</v>
      </c>
      <c r="D22" s="13">
        <f t="shared" si="2"/>
        <v>145182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92" t="s">
        <v>13</v>
      </c>
      <c r="B23" s="14" t="s">
        <v>145</v>
      </c>
      <c r="C23" s="31">
        <v>69421</v>
      </c>
      <c r="D23" s="13">
        <f t="shared" si="2"/>
        <v>69421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94" t="s">
        <v>14</v>
      </c>
      <c r="B24" s="30" t="s">
        <v>177</v>
      </c>
      <c r="C24" s="31">
        <v>612383</v>
      </c>
      <c r="D24" s="13">
        <f t="shared" si="2"/>
        <v>612383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v>610670</v>
      </c>
      <c r="D25" s="13">
        <f t="shared" si="2"/>
        <v>610670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v>889</v>
      </c>
      <c r="D26" s="13">
        <f t="shared" si="2"/>
        <v>889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v>824</v>
      </c>
      <c r="D27" s="13">
        <f t="shared" si="2"/>
        <v>824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v>0</v>
      </c>
      <c r="D29" s="13">
        <f t="shared" si="2"/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v>20838</v>
      </c>
      <c r="D32" s="13">
        <f t="shared" si="2"/>
        <v>20838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178</v>
      </c>
      <c r="B33" s="16" t="s">
        <v>179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v>5500</v>
      </c>
      <c r="D34" s="13">
        <f t="shared" si="2"/>
        <v>5500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196</v>
      </c>
      <c r="B35" s="16" t="s">
        <v>197</v>
      </c>
      <c r="C35" s="31">
        <v>1105</v>
      </c>
      <c r="D35" s="13">
        <f>C35+3025</f>
        <v>4130</v>
      </c>
      <c r="E35" s="38">
        <f>IF(C35=D35,"-",D35-C35)</f>
        <v>3025</v>
      </c>
      <c r="F35" s="39">
        <f>IF(C35=0,"-",D35/C35)</f>
        <v>3.7376</v>
      </c>
    </row>
    <row r="36" spans="1:6" s="2" customFormat="1" ht="31.5" customHeight="1" x14ac:dyDescent="0.2">
      <c r="A36" s="96" t="s">
        <v>56</v>
      </c>
      <c r="B36" s="17" t="s">
        <v>57</v>
      </c>
      <c r="C36" s="32">
        <v>306</v>
      </c>
      <c r="D36" s="37">
        <f>C36</f>
        <v>306</v>
      </c>
      <c r="E36" s="7" t="str">
        <f t="shared" si="0"/>
        <v>-</v>
      </c>
      <c r="F36" s="40">
        <f t="shared" si="1"/>
        <v>1</v>
      </c>
    </row>
    <row r="37" spans="1:6" s="2" customFormat="1" ht="31.5" customHeight="1" x14ac:dyDescent="0.2">
      <c r="A37" s="96" t="s">
        <v>55</v>
      </c>
      <c r="B37" s="17" t="s">
        <v>58</v>
      </c>
      <c r="C37" s="32">
        <v>127580</v>
      </c>
      <c r="D37" s="37">
        <f>C37</f>
        <v>127580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2">
        <v>45730</v>
      </c>
      <c r="D38" s="37">
        <f>C38</f>
        <v>45730</v>
      </c>
      <c r="E38" s="7" t="str">
        <f t="shared" si="0"/>
        <v>-</v>
      </c>
      <c r="F38" s="40">
        <f t="shared" si="1"/>
        <v>1</v>
      </c>
    </row>
    <row r="39" spans="1:6" s="2" customFormat="1" ht="42.75" customHeight="1" x14ac:dyDescent="0.2">
      <c r="A39" s="96" t="s">
        <v>153</v>
      </c>
      <c r="B39" s="17" t="s">
        <v>154</v>
      </c>
      <c r="C39" s="32">
        <f>C11+C13+C24+C30</f>
        <v>908868</v>
      </c>
      <c r="D39" s="32">
        <f>D11+D13+D24+D30</f>
        <v>908868</v>
      </c>
      <c r="E39" s="7" t="str">
        <f t="shared" si="0"/>
        <v>-</v>
      </c>
      <c r="F39" s="40">
        <f t="shared" si="1"/>
        <v>1</v>
      </c>
    </row>
    <row r="40" spans="1:6" ht="30" customHeight="1" x14ac:dyDescent="0.2">
      <c r="A40" s="97" t="s">
        <v>130</v>
      </c>
      <c r="B40" s="85" t="s">
        <v>183</v>
      </c>
      <c r="C40" s="71">
        <f>C41+C42+C43+C51+C53+C59+C60+C58</f>
        <v>32539</v>
      </c>
      <c r="D40" s="71">
        <f>D41+D42+D43+D51+D53+D59+D60+D58</f>
        <v>32539</v>
      </c>
      <c r="E40" s="68" t="str">
        <f t="shared" si="0"/>
        <v>-</v>
      </c>
      <c r="F40" s="86">
        <f t="shared" si="1"/>
        <v>1</v>
      </c>
    </row>
    <row r="41" spans="1:6" ht="28.5" customHeight="1" x14ac:dyDescent="0.2">
      <c r="A41" s="95" t="s">
        <v>16</v>
      </c>
      <c r="B41" s="18" t="s">
        <v>17</v>
      </c>
      <c r="C41" s="31">
        <v>1279</v>
      </c>
      <c r="D41" s="33">
        <f>C41</f>
        <v>1279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95" t="s">
        <v>18</v>
      </c>
      <c r="B42" s="18" t="s">
        <v>19</v>
      </c>
      <c r="C42" s="31">
        <v>5394</v>
      </c>
      <c r="D42" s="33">
        <f t="shared" ref="D42:D60" si="3">C42</f>
        <v>5394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20</v>
      </c>
      <c r="B43" s="19" t="s">
        <v>184</v>
      </c>
      <c r="C43" s="33">
        <f>C44+C46+C47+C48+C49+C50</f>
        <v>273</v>
      </c>
      <c r="D43" s="33">
        <f>D44+D46+D47+D48+D49+D50</f>
        <v>273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8" t="s">
        <v>37</v>
      </c>
      <c r="B44" s="46" t="s">
        <v>30</v>
      </c>
      <c r="C44" s="31">
        <v>11</v>
      </c>
      <c r="D44" s="33">
        <f t="shared" si="3"/>
        <v>11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98" t="s">
        <v>38</v>
      </c>
      <c r="B45" s="47" t="s">
        <v>31</v>
      </c>
      <c r="C45" s="31">
        <v>11</v>
      </c>
      <c r="D45" s="33">
        <f t="shared" si="3"/>
        <v>11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39</v>
      </c>
      <c r="B46" s="46" t="s">
        <v>32</v>
      </c>
      <c r="C46" s="31">
        <v>10</v>
      </c>
      <c r="D46" s="33">
        <f t="shared" si="3"/>
        <v>10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40</v>
      </c>
      <c r="B47" s="46" t="s">
        <v>33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98" t="s">
        <v>41</v>
      </c>
      <c r="B48" s="46" t="s">
        <v>34</v>
      </c>
      <c r="C48" s="31">
        <v>0</v>
      </c>
      <c r="D48" s="33">
        <f t="shared" si="3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42</v>
      </c>
      <c r="B49" s="46" t="s">
        <v>35</v>
      </c>
      <c r="C49" s="31">
        <v>248</v>
      </c>
      <c r="D49" s="33">
        <f t="shared" si="3"/>
        <v>248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98" t="s">
        <v>43</v>
      </c>
      <c r="B50" s="46" t="s">
        <v>36</v>
      </c>
      <c r="C50" s="31">
        <v>4</v>
      </c>
      <c r="D50" s="33">
        <f t="shared" si="3"/>
        <v>4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5" t="s">
        <v>21</v>
      </c>
      <c r="B51" s="18" t="s">
        <v>155</v>
      </c>
      <c r="C51" s="31">
        <v>19220</v>
      </c>
      <c r="D51" s="33">
        <f t="shared" si="3"/>
        <v>19220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8" t="s">
        <v>156</v>
      </c>
      <c r="B52" s="46" t="s">
        <v>157</v>
      </c>
      <c r="C52" s="31">
        <v>90</v>
      </c>
      <c r="D52" s="33">
        <f t="shared" si="3"/>
        <v>90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95" t="s">
        <v>22</v>
      </c>
      <c r="B53" s="19" t="s">
        <v>182</v>
      </c>
      <c r="C53" s="29">
        <f>C54+C55+C56+C57</f>
        <v>4310</v>
      </c>
      <c r="D53" s="29">
        <f>D54+D55+D56+D57</f>
        <v>4310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8" t="s">
        <v>48</v>
      </c>
      <c r="B54" s="46" t="s">
        <v>44</v>
      </c>
      <c r="C54" s="31">
        <v>3300</v>
      </c>
      <c r="D54" s="33">
        <f t="shared" si="3"/>
        <v>3300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49</v>
      </c>
      <c r="B55" s="46" t="s">
        <v>45</v>
      </c>
      <c r="C55" s="31">
        <v>471</v>
      </c>
      <c r="D55" s="33">
        <f t="shared" si="3"/>
        <v>471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50</v>
      </c>
      <c r="B56" s="46" t="s">
        <v>46</v>
      </c>
      <c r="C56" s="31">
        <v>0</v>
      </c>
      <c r="D56" s="33">
        <f t="shared" si="3"/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98" t="s">
        <v>51</v>
      </c>
      <c r="B57" s="46" t="s">
        <v>47</v>
      </c>
      <c r="C57" s="31">
        <v>539</v>
      </c>
      <c r="D57" s="33">
        <f t="shared" si="3"/>
        <v>539</v>
      </c>
      <c r="E57" s="38" t="str">
        <f t="shared" si="0"/>
        <v>-</v>
      </c>
      <c r="F57" s="39">
        <f t="shared" si="1"/>
        <v>1</v>
      </c>
    </row>
    <row r="58" spans="1:6" ht="28.5" customHeight="1" x14ac:dyDescent="0.2">
      <c r="A58" s="95" t="s">
        <v>23</v>
      </c>
      <c r="B58" s="18" t="s">
        <v>24</v>
      </c>
      <c r="C58" s="31">
        <v>0</v>
      </c>
      <c r="D58" s="33">
        <f t="shared" si="3"/>
        <v>0</v>
      </c>
      <c r="E58" s="38" t="str">
        <f t="shared" si="0"/>
        <v>-</v>
      </c>
      <c r="F58" s="39" t="str">
        <f t="shared" si="1"/>
        <v>-</v>
      </c>
    </row>
    <row r="59" spans="1:6" ht="28.5" customHeight="1" x14ac:dyDescent="0.2">
      <c r="A59" s="95" t="s">
        <v>25</v>
      </c>
      <c r="B59" s="18" t="s">
        <v>158</v>
      </c>
      <c r="C59" s="31">
        <v>1780</v>
      </c>
      <c r="D59" s="33">
        <f t="shared" si="3"/>
        <v>1780</v>
      </c>
      <c r="E59" s="38" t="str">
        <f t="shared" si="0"/>
        <v>-</v>
      </c>
      <c r="F59" s="41">
        <f t="shared" si="1"/>
        <v>1</v>
      </c>
    </row>
    <row r="60" spans="1:6" ht="28.5" customHeight="1" x14ac:dyDescent="0.2">
      <c r="A60" s="95" t="s">
        <v>26</v>
      </c>
      <c r="B60" s="18" t="s">
        <v>27</v>
      </c>
      <c r="C60" s="31">
        <v>283</v>
      </c>
      <c r="D60" s="33">
        <f t="shared" si="3"/>
        <v>283</v>
      </c>
      <c r="E60" s="38" t="str">
        <f t="shared" si="0"/>
        <v>-</v>
      </c>
      <c r="F60" s="39">
        <f t="shared" si="1"/>
        <v>1</v>
      </c>
    </row>
    <row r="61" spans="1:6" ht="30" customHeight="1" x14ac:dyDescent="0.2">
      <c r="A61" s="99" t="s">
        <v>132</v>
      </c>
      <c r="B61" s="77" t="s">
        <v>159</v>
      </c>
      <c r="C61" s="87">
        <f>C62+C63+C64+C65</f>
        <v>16800</v>
      </c>
      <c r="D61" s="87">
        <f>D62+D63+D64+D65</f>
        <v>16800</v>
      </c>
      <c r="E61" s="68" t="str">
        <f t="shared" si="0"/>
        <v>-</v>
      </c>
      <c r="F61" s="88">
        <f t="shared" si="1"/>
        <v>1</v>
      </c>
    </row>
    <row r="62" spans="1:6" ht="42" customHeight="1" x14ac:dyDescent="0.2">
      <c r="A62" s="95" t="s">
        <v>99</v>
      </c>
      <c r="B62" s="18" t="s">
        <v>112</v>
      </c>
      <c r="C62" s="31">
        <v>0</v>
      </c>
      <c r="D62" s="33">
        <f>C62</f>
        <v>0</v>
      </c>
      <c r="E62" s="29" t="str">
        <f t="shared" si="0"/>
        <v>-</v>
      </c>
      <c r="F62" s="39" t="str">
        <f t="shared" si="1"/>
        <v>-</v>
      </c>
    </row>
    <row r="63" spans="1:6" ht="31.5" customHeight="1" x14ac:dyDescent="0.2">
      <c r="A63" s="95" t="s">
        <v>28</v>
      </c>
      <c r="B63" s="18" t="s">
        <v>53</v>
      </c>
      <c r="C63" s="31">
        <v>14800</v>
      </c>
      <c r="D63" s="33">
        <f>C63</f>
        <v>14800</v>
      </c>
      <c r="E63" s="29" t="str">
        <f t="shared" si="0"/>
        <v>-</v>
      </c>
      <c r="F63" s="39">
        <f t="shared" si="1"/>
        <v>1</v>
      </c>
    </row>
    <row r="64" spans="1:6" ht="31.5" customHeight="1" x14ac:dyDescent="0.2">
      <c r="A64" s="95" t="s">
        <v>29</v>
      </c>
      <c r="B64" s="18" t="s">
        <v>101</v>
      </c>
      <c r="C64" s="31">
        <v>0</v>
      </c>
      <c r="D64" s="33">
        <f>C64</f>
        <v>0</v>
      </c>
      <c r="E64" s="29" t="str">
        <f t="shared" si="0"/>
        <v>-</v>
      </c>
      <c r="F64" s="39" t="str">
        <f t="shared" si="1"/>
        <v>-</v>
      </c>
    </row>
    <row r="65" spans="1:6" ht="31.5" customHeight="1" x14ac:dyDescent="0.2">
      <c r="A65" s="95" t="s">
        <v>100</v>
      </c>
      <c r="B65" s="18" t="s">
        <v>102</v>
      </c>
      <c r="C65" s="31">
        <v>2000</v>
      </c>
      <c r="D65" s="33">
        <f>C65</f>
        <v>2000</v>
      </c>
      <c r="E65" s="29" t="str">
        <f t="shared" si="0"/>
        <v>-</v>
      </c>
      <c r="F65" s="39">
        <f t="shared" si="1"/>
        <v>1</v>
      </c>
    </row>
    <row r="66" spans="1:6" ht="32.25" customHeight="1" x14ac:dyDescent="0.2">
      <c r="A66" s="99" t="s">
        <v>134</v>
      </c>
      <c r="B66" s="77" t="s">
        <v>113</v>
      </c>
      <c r="C66" s="87">
        <v>5000</v>
      </c>
      <c r="D66" s="87">
        <f>C66</f>
        <v>5000</v>
      </c>
      <c r="E66" s="68" t="str">
        <f t="shared" si="0"/>
        <v>-</v>
      </c>
      <c r="F66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pageSetUpPr fitToPage="1"/>
  </sheetPr>
  <dimension ref="A1:F66"/>
  <sheetViews>
    <sheetView showGridLines="0" view="pageBreakPreview" zoomScale="55" zoomScaleNormal="70" zoomScaleSheetLayoutView="55" workbookViewId="0">
      <pane xSplit="1" ySplit="6" topLeftCell="B7" activePane="bottomRight" state="frozen"/>
      <selection activeCell="J7" sqref="J7"/>
      <selection pane="topRight" activeCell="J7" sqref="J7"/>
      <selection pane="bottomLeft" activeCell="J7" sqref="J7"/>
      <selection pane="bottomRight" activeCell="J7" sqref="J7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2.75" customHeight="1" x14ac:dyDescent="0.2">
      <c r="A1" s="112" t="s">
        <v>202</v>
      </c>
      <c r="B1" s="112"/>
      <c r="C1" s="112"/>
      <c r="D1" s="112"/>
      <c r="E1" s="112"/>
      <c r="F1" s="112"/>
    </row>
    <row r="2" spans="1:6" s="22" customFormat="1" ht="33" customHeight="1" x14ac:dyDescent="0.2">
      <c r="A2" s="54" t="s">
        <v>64</v>
      </c>
      <c r="B2" s="54"/>
      <c r="C2" s="55"/>
    </row>
    <row r="3" spans="1:6" ht="33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195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198</v>
      </c>
      <c r="C6" s="83">
        <f>C7+C8+C9+C14+C15+C16+C17+C18+C19+C20+C21+C22+C23+C24+C28+C29+C31+C32+C33+C34+C35</f>
        <v>6746845</v>
      </c>
      <c r="D6" s="83">
        <f>D7+D8+D9+D14+D15+D16+D17+D18+D19+D20+D21+D22+D23+D24+D28+D29+D31+D32+D33+D34+D35</f>
        <v>6772940</v>
      </c>
      <c r="E6" s="68">
        <f>IF(C6=D6,"-",D6-C6)</f>
        <v>26095</v>
      </c>
      <c r="F6" s="84">
        <f>IF(C6=0,"-",D6/C6)</f>
        <v>1.004</v>
      </c>
    </row>
    <row r="7" spans="1:6" ht="33" customHeight="1" x14ac:dyDescent="0.2">
      <c r="A7" s="92" t="s">
        <v>1</v>
      </c>
      <c r="B7" s="14" t="s">
        <v>116</v>
      </c>
      <c r="C7" s="31">
        <v>968060</v>
      </c>
      <c r="D7" s="13">
        <f>C7</f>
        <v>968060</v>
      </c>
      <c r="E7" s="38" t="str">
        <f t="shared" ref="E7:E66" si="0">IF(C7=D7,"-",D7-C7)</f>
        <v>-</v>
      </c>
      <c r="F7" s="39">
        <f t="shared" ref="F7:F66" si="1">IF(C7=0,"-",D7/C7)</f>
        <v>1</v>
      </c>
    </row>
    <row r="8" spans="1:6" ht="33" customHeight="1" x14ac:dyDescent="0.2">
      <c r="A8" s="92" t="s">
        <v>2</v>
      </c>
      <c r="B8" s="14" t="s">
        <v>117</v>
      </c>
      <c r="C8" s="31">
        <v>391735</v>
      </c>
      <c r="D8" s="13">
        <f>C8</f>
        <v>391735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92" t="s">
        <v>3</v>
      </c>
      <c r="B9" s="14" t="s">
        <v>114</v>
      </c>
      <c r="C9" s="31">
        <v>3378753</v>
      </c>
      <c r="D9" s="13">
        <f>C9+16351</f>
        <v>3395104</v>
      </c>
      <c r="E9" s="38">
        <f t="shared" si="0"/>
        <v>16351</v>
      </c>
      <c r="F9" s="39">
        <f t="shared" si="1"/>
        <v>1.0047999999999999</v>
      </c>
    </row>
    <row r="10" spans="1:6" ht="31.5" customHeight="1" x14ac:dyDescent="0.2">
      <c r="A10" s="93" t="s">
        <v>54</v>
      </c>
      <c r="B10" s="45" t="s">
        <v>199</v>
      </c>
      <c r="C10" s="31">
        <v>335287</v>
      </c>
      <c r="D10" s="13">
        <f>C10</f>
        <v>335287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93" t="s">
        <v>139</v>
      </c>
      <c r="B11" s="45" t="s">
        <v>142</v>
      </c>
      <c r="C11" s="31">
        <v>308108</v>
      </c>
      <c r="D11" s="13">
        <f t="shared" ref="D11:D34" si="2">C11</f>
        <v>308108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v>102794</v>
      </c>
      <c r="D12" s="13">
        <f t="shared" si="2"/>
        <v>102794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93" t="s">
        <v>141</v>
      </c>
      <c r="B13" s="45" t="s">
        <v>144</v>
      </c>
      <c r="C13" s="31">
        <v>52652</v>
      </c>
      <c r="D13" s="13">
        <f t="shared" si="2"/>
        <v>52652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v>214686</v>
      </c>
      <c r="D14" s="13">
        <f>C14+2794</f>
        <v>217480</v>
      </c>
      <c r="E14" s="38">
        <f t="shared" si="0"/>
        <v>2794</v>
      </c>
      <c r="F14" s="39">
        <f t="shared" si="1"/>
        <v>1.0129999999999999</v>
      </c>
    </row>
    <row r="15" spans="1:6" ht="33" customHeight="1" x14ac:dyDescent="0.2">
      <c r="A15" s="92" t="s">
        <v>5</v>
      </c>
      <c r="B15" s="14" t="s">
        <v>118</v>
      </c>
      <c r="C15" s="31">
        <v>232087</v>
      </c>
      <c r="D15" s="13">
        <f t="shared" si="2"/>
        <v>232087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92" t="s">
        <v>6</v>
      </c>
      <c r="B16" s="14" t="s">
        <v>124</v>
      </c>
      <c r="C16" s="31">
        <v>169064</v>
      </c>
      <c r="D16" s="13">
        <f t="shared" si="2"/>
        <v>169064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92" t="s">
        <v>7</v>
      </c>
      <c r="B17" s="14" t="s">
        <v>123</v>
      </c>
      <c r="C17" s="31">
        <v>71395</v>
      </c>
      <c r="D17" s="13">
        <f t="shared" si="2"/>
        <v>71395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92" t="s">
        <v>8</v>
      </c>
      <c r="B18" s="14" t="s">
        <v>119</v>
      </c>
      <c r="C18" s="31">
        <v>205320</v>
      </c>
      <c r="D18" s="13">
        <f t="shared" si="2"/>
        <v>205320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92" t="s">
        <v>9</v>
      </c>
      <c r="B19" s="14" t="s">
        <v>120</v>
      </c>
      <c r="C19" s="31">
        <v>54000</v>
      </c>
      <c r="D19" s="13">
        <f t="shared" si="2"/>
        <v>54000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92" t="s">
        <v>10</v>
      </c>
      <c r="B20" s="14" t="s">
        <v>125</v>
      </c>
      <c r="C20" s="31">
        <v>1876</v>
      </c>
      <c r="D20" s="13">
        <f t="shared" si="2"/>
        <v>1876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v>14982</v>
      </c>
      <c r="D21" s="13">
        <f t="shared" si="2"/>
        <v>14982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92" t="s">
        <v>12</v>
      </c>
      <c r="B22" s="14" t="s">
        <v>161</v>
      </c>
      <c r="C22" s="31">
        <v>208855</v>
      </c>
      <c r="D22" s="13">
        <f t="shared" si="2"/>
        <v>208855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92" t="s">
        <v>13</v>
      </c>
      <c r="B23" s="14" t="s">
        <v>145</v>
      </c>
      <c r="C23" s="31">
        <v>80000</v>
      </c>
      <c r="D23" s="13">
        <f t="shared" si="2"/>
        <v>80000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94" t="s">
        <v>14</v>
      </c>
      <c r="B24" s="30" t="s">
        <v>177</v>
      </c>
      <c r="C24" s="31">
        <v>727678</v>
      </c>
      <c r="D24" s="13">
        <f t="shared" si="2"/>
        <v>727678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v>723678</v>
      </c>
      <c r="D25" s="13">
        <f t="shared" si="2"/>
        <v>723678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v>3000</v>
      </c>
      <c r="D26" s="13">
        <f t="shared" si="2"/>
        <v>3000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v>1000</v>
      </c>
      <c r="D27" s="13">
        <f t="shared" si="2"/>
        <v>1000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v>0</v>
      </c>
      <c r="D29" s="13">
        <f t="shared" si="2"/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v>25274</v>
      </c>
      <c r="D32" s="13">
        <f t="shared" si="2"/>
        <v>25274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178</v>
      </c>
      <c r="B33" s="16" t="s">
        <v>179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v>700</v>
      </c>
      <c r="D34" s="13">
        <f t="shared" si="2"/>
        <v>700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196</v>
      </c>
      <c r="B35" s="16" t="s">
        <v>197</v>
      </c>
      <c r="C35" s="31">
        <v>2380</v>
      </c>
      <c r="D35" s="13">
        <f>C35+6950</f>
        <v>9330</v>
      </c>
      <c r="E35" s="38">
        <f>IF(C35=D35,"-",D35-C35)</f>
        <v>6950</v>
      </c>
      <c r="F35" s="39">
        <f>IF(C35=0,"-",D35/C35)</f>
        <v>3.9201999999999999</v>
      </c>
    </row>
    <row r="36" spans="1:6" s="2" customFormat="1" ht="31.5" customHeight="1" x14ac:dyDescent="0.2">
      <c r="A36" s="96" t="s">
        <v>56</v>
      </c>
      <c r="B36" s="17" t="s">
        <v>57</v>
      </c>
      <c r="C36" s="32">
        <v>306</v>
      </c>
      <c r="D36" s="37">
        <f>C36</f>
        <v>306</v>
      </c>
      <c r="E36" s="7" t="str">
        <f t="shared" si="0"/>
        <v>-</v>
      </c>
      <c r="F36" s="40">
        <f t="shared" si="1"/>
        <v>1</v>
      </c>
    </row>
    <row r="37" spans="1:6" s="2" customFormat="1" ht="31.5" customHeight="1" x14ac:dyDescent="0.2">
      <c r="A37" s="96" t="s">
        <v>55</v>
      </c>
      <c r="B37" s="17" t="s">
        <v>58</v>
      </c>
      <c r="C37" s="32">
        <v>148702</v>
      </c>
      <c r="D37" s="37">
        <f>C37</f>
        <v>148702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2">
        <v>57136</v>
      </c>
      <c r="D38" s="37">
        <f>C38</f>
        <v>57136</v>
      </c>
      <c r="E38" s="7" t="str">
        <f t="shared" si="0"/>
        <v>-</v>
      </c>
      <c r="F38" s="40">
        <f t="shared" si="1"/>
        <v>1</v>
      </c>
    </row>
    <row r="39" spans="1:6" s="2" customFormat="1" ht="42.75" customHeight="1" x14ac:dyDescent="0.2">
      <c r="A39" s="96" t="s">
        <v>153</v>
      </c>
      <c r="B39" s="17" t="s">
        <v>154</v>
      </c>
      <c r="C39" s="32">
        <f>C11+C13+C24+C30</f>
        <v>1088438</v>
      </c>
      <c r="D39" s="32">
        <f>D11+D13+D24+D30</f>
        <v>1088438</v>
      </c>
      <c r="E39" s="7" t="str">
        <f t="shared" si="0"/>
        <v>-</v>
      </c>
      <c r="F39" s="40">
        <f t="shared" si="1"/>
        <v>1</v>
      </c>
    </row>
    <row r="40" spans="1:6" ht="30" customHeight="1" x14ac:dyDescent="0.2">
      <c r="A40" s="97" t="s">
        <v>130</v>
      </c>
      <c r="B40" s="85" t="s">
        <v>183</v>
      </c>
      <c r="C40" s="71">
        <f>C41+C42+C43+C51+C53+C59+C60+C58</f>
        <v>41290</v>
      </c>
      <c r="D40" s="71">
        <f>D41+D42+D43+D51+D53+D59+D60+D58</f>
        <v>41290</v>
      </c>
      <c r="E40" s="68" t="str">
        <f t="shared" si="0"/>
        <v>-</v>
      </c>
      <c r="F40" s="86">
        <f t="shared" si="1"/>
        <v>1</v>
      </c>
    </row>
    <row r="41" spans="1:6" ht="28.5" customHeight="1" x14ac:dyDescent="0.2">
      <c r="A41" s="95" t="s">
        <v>16</v>
      </c>
      <c r="B41" s="18" t="s">
        <v>17</v>
      </c>
      <c r="C41" s="31">
        <v>1790</v>
      </c>
      <c r="D41" s="33">
        <f>C41</f>
        <v>1790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95" t="s">
        <v>18</v>
      </c>
      <c r="B42" s="18" t="s">
        <v>19</v>
      </c>
      <c r="C42" s="31">
        <v>5961</v>
      </c>
      <c r="D42" s="33">
        <f t="shared" ref="D42:D60" si="3">C42</f>
        <v>5961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20</v>
      </c>
      <c r="B43" s="19" t="s">
        <v>184</v>
      </c>
      <c r="C43" s="33">
        <f>C44+C46+C47+C48+C49+C50</f>
        <v>296</v>
      </c>
      <c r="D43" s="33">
        <f>D44+D46+D47+D48+D49+D50</f>
        <v>296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8" t="s">
        <v>37</v>
      </c>
      <c r="B44" s="46" t="s">
        <v>30</v>
      </c>
      <c r="C44" s="31">
        <v>25</v>
      </c>
      <c r="D44" s="33">
        <f t="shared" si="3"/>
        <v>25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98" t="s">
        <v>38</v>
      </c>
      <c r="B45" s="47" t="s">
        <v>31</v>
      </c>
      <c r="C45" s="31">
        <v>25</v>
      </c>
      <c r="D45" s="33">
        <f t="shared" si="3"/>
        <v>25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39</v>
      </c>
      <c r="B46" s="46" t="s">
        <v>32</v>
      </c>
      <c r="C46" s="31">
        <v>55</v>
      </c>
      <c r="D46" s="33">
        <f t="shared" si="3"/>
        <v>55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40</v>
      </c>
      <c r="B47" s="46" t="s">
        <v>33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98" t="s">
        <v>41</v>
      </c>
      <c r="B48" s="46" t="s">
        <v>34</v>
      </c>
      <c r="C48" s="31">
        <v>0</v>
      </c>
      <c r="D48" s="33">
        <f t="shared" si="3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42</v>
      </c>
      <c r="B49" s="46" t="s">
        <v>35</v>
      </c>
      <c r="C49" s="31">
        <v>155</v>
      </c>
      <c r="D49" s="33">
        <f t="shared" si="3"/>
        <v>155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98" t="s">
        <v>43</v>
      </c>
      <c r="B50" s="46" t="s">
        <v>36</v>
      </c>
      <c r="C50" s="31">
        <v>61</v>
      </c>
      <c r="D50" s="33">
        <f t="shared" si="3"/>
        <v>61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5" t="s">
        <v>21</v>
      </c>
      <c r="B51" s="18" t="s">
        <v>155</v>
      </c>
      <c r="C51" s="31">
        <v>24234</v>
      </c>
      <c r="D51" s="33">
        <f t="shared" si="3"/>
        <v>24234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8" t="s">
        <v>156</v>
      </c>
      <c r="B52" s="46" t="s">
        <v>157</v>
      </c>
      <c r="C52" s="31">
        <v>24</v>
      </c>
      <c r="D52" s="33">
        <f t="shared" si="3"/>
        <v>24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95" t="s">
        <v>22</v>
      </c>
      <c r="B53" s="19" t="s">
        <v>182</v>
      </c>
      <c r="C53" s="29">
        <f>C54+C55+C56+C57</f>
        <v>5443</v>
      </c>
      <c r="D53" s="29">
        <f>D54+D55+D56+D57</f>
        <v>5443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8" t="s">
        <v>48</v>
      </c>
      <c r="B54" s="46" t="s">
        <v>44</v>
      </c>
      <c r="C54" s="31">
        <v>4160</v>
      </c>
      <c r="D54" s="33">
        <f t="shared" si="3"/>
        <v>4160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49</v>
      </c>
      <c r="B55" s="46" t="s">
        <v>45</v>
      </c>
      <c r="C55" s="31">
        <v>594</v>
      </c>
      <c r="D55" s="33">
        <f t="shared" si="3"/>
        <v>594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50</v>
      </c>
      <c r="B56" s="46" t="s">
        <v>46</v>
      </c>
      <c r="C56" s="31">
        <v>0</v>
      </c>
      <c r="D56" s="33">
        <f t="shared" si="3"/>
        <v>0</v>
      </c>
      <c r="E56" s="38" t="str">
        <f t="shared" si="0"/>
        <v>-</v>
      </c>
      <c r="F56" s="39" t="str">
        <f t="shared" si="1"/>
        <v>-</v>
      </c>
    </row>
    <row r="57" spans="1:6" ht="28.5" customHeight="1" x14ac:dyDescent="0.2">
      <c r="A57" s="98" t="s">
        <v>51</v>
      </c>
      <c r="B57" s="46" t="s">
        <v>47</v>
      </c>
      <c r="C57" s="31">
        <v>689</v>
      </c>
      <c r="D57" s="33">
        <f t="shared" si="3"/>
        <v>689</v>
      </c>
      <c r="E57" s="38" t="str">
        <f t="shared" si="0"/>
        <v>-</v>
      </c>
      <c r="F57" s="39">
        <f t="shared" si="1"/>
        <v>1</v>
      </c>
    </row>
    <row r="58" spans="1:6" ht="28.5" customHeight="1" x14ac:dyDescent="0.2">
      <c r="A58" s="95" t="s">
        <v>23</v>
      </c>
      <c r="B58" s="18" t="s">
        <v>24</v>
      </c>
      <c r="C58" s="31">
        <v>0</v>
      </c>
      <c r="D58" s="33">
        <f t="shared" si="3"/>
        <v>0</v>
      </c>
      <c r="E58" s="38" t="str">
        <f t="shared" si="0"/>
        <v>-</v>
      </c>
      <c r="F58" s="39" t="str">
        <f t="shared" si="1"/>
        <v>-</v>
      </c>
    </row>
    <row r="59" spans="1:6" ht="28.5" customHeight="1" x14ac:dyDescent="0.2">
      <c r="A59" s="95" t="s">
        <v>25</v>
      </c>
      <c r="B59" s="18" t="s">
        <v>158</v>
      </c>
      <c r="C59" s="31">
        <v>3250</v>
      </c>
      <c r="D59" s="33">
        <f t="shared" si="3"/>
        <v>3250</v>
      </c>
      <c r="E59" s="38" t="str">
        <f t="shared" si="0"/>
        <v>-</v>
      </c>
      <c r="F59" s="41">
        <f t="shared" si="1"/>
        <v>1</v>
      </c>
    </row>
    <row r="60" spans="1:6" ht="28.5" customHeight="1" x14ac:dyDescent="0.2">
      <c r="A60" s="95" t="s">
        <v>26</v>
      </c>
      <c r="B60" s="18" t="s">
        <v>27</v>
      </c>
      <c r="C60" s="31">
        <v>316</v>
      </c>
      <c r="D60" s="33">
        <f t="shared" si="3"/>
        <v>316</v>
      </c>
      <c r="E60" s="38" t="str">
        <f t="shared" si="0"/>
        <v>-</v>
      </c>
      <c r="F60" s="39">
        <f t="shared" si="1"/>
        <v>1</v>
      </c>
    </row>
    <row r="61" spans="1:6" ht="30" customHeight="1" x14ac:dyDescent="0.2">
      <c r="A61" s="99" t="s">
        <v>132</v>
      </c>
      <c r="B61" s="77" t="s">
        <v>159</v>
      </c>
      <c r="C61" s="87">
        <f>C62+C63+C64+C65</f>
        <v>19360</v>
      </c>
      <c r="D61" s="87">
        <f>D62+D63+D64+D65</f>
        <v>19360</v>
      </c>
      <c r="E61" s="68" t="str">
        <f t="shared" si="0"/>
        <v>-</v>
      </c>
      <c r="F61" s="88">
        <f t="shared" si="1"/>
        <v>1</v>
      </c>
    </row>
    <row r="62" spans="1:6" ht="42" customHeight="1" x14ac:dyDescent="0.2">
      <c r="A62" s="95" t="s">
        <v>99</v>
      </c>
      <c r="B62" s="18" t="s">
        <v>112</v>
      </c>
      <c r="C62" s="31">
        <v>0</v>
      </c>
      <c r="D62" s="33">
        <f>C62</f>
        <v>0</v>
      </c>
      <c r="E62" s="29" t="str">
        <f t="shared" si="0"/>
        <v>-</v>
      </c>
      <c r="F62" s="39" t="str">
        <f t="shared" si="1"/>
        <v>-</v>
      </c>
    </row>
    <row r="63" spans="1:6" ht="31.5" customHeight="1" x14ac:dyDescent="0.2">
      <c r="A63" s="95" t="s">
        <v>28</v>
      </c>
      <c r="B63" s="18" t="s">
        <v>53</v>
      </c>
      <c r="C63" s="31">
        <v>16095</v>
      </c>
      <c r="D63" s="33">
        <f>C63</f>
        <v>16095</v>
      </c>
      <c r="E63" s="29" t="str">
        <f t="shared" si="0"/>
        <v>-</v>
      </c>
      <c r="F63" s="39">
        <f t="shared" si="1"/>
        <v>1</v>
      </c>
    </row>
    <row r="64" spans="1:6" ht="31.5" customHeight="1" x14ac:dyDescent="0.2">
      <c r="A64" s="95" t="s">
        <v>29</v>
      </c>
      <c r="B64" s="18" t="s">
        <v>101</v>
      </c>
      <c r="C64" s="31">
        <v>0</v>
      </c>
      <c r="D64" s="33">
        <f>C64</f>
        <v>0</v>
      </c>
      <c r="E64" s="29" t="str">
        <f t="shared" si="0"/>
        <v>-</v>
      </c>
      <c r="F64" s="39" t="str">
        <f t="shared" si="1"/>
        <v>-</v>
      </c>
    </row>
    <row r="65" spans="1:6" ht="31.5" customHeight="1" x14ac:dyDescent="0.2">
      <c r="A65" s="95" t="s">
        <v>100</v>
      </c>
      <c r="B65" s="18" t="s">
        <v>102</v>
      </c>
      <c r="C65" s="31">
        <v>3265</v>
      </c>
      <c r="D65" s="33">
        <f>C65</f>
        <v>3265</v>
      </c>
      <c r="E65" s="29" t="str">
        <f t="shared" si="0"/>
        <v>-</v>
      </c>
      <c r="F65" s="39">
        <f t="shared" si="1"/>
        <v>1</v>
      </c>
    </row>
    <row r="66" spans="1:6" ht="32.25" customHeight="1" x14ac:dyDescent="0.2">
      <c r="A66" s="99" t="s">
        <v>134</v>
      </c>
      <c r="B66" s="77" t="s">
        <v>113</v>
      </c>
      <c r="C66" s="87">
        <v>300</v>
      </c>
      <c r="D66" s="87">
        <f>C66</f>
        <v>300</v>
      </c>
      <c r="E66" s="68" t="str">
        <f t="shared" si="0"/>
        <v>-</v>
      </c>
      <c r="F66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Zakresy nazwane</vt:lpstr>
      </vt:variant>
      <vt:variant>
        <vt:i4>20</vt:i4>
      </vt:variant>
    </vt:vector>
  </HeadingPairs>
  <TitlesOfParts>
    <vt:vector size="39" baseType="lpstr">
      <vt:lpstr>NFZ</vt:lpstr>
      <vt:lpstr>CENTRALA</vt:lpstr>
      <vt:lpstr>Razem OW</vt:lpstr>
      <vt:lpstr>Dolnośląski</vt:lpstr>
      <vt:lpstr>KujawskoPomorski</vt:lpstr>
      <vt:lpstr>Lubelski</vt:lpstr>
      <vt:lpstr>Lubuski</vt:lpstr>
      <vt:lpstr>Łódzki</vt:lpstr>
      <vt:lpstr>Małopolski</vt:lpstr>
      <vt:lpstr>Mazowiecki</vt:lpstr>
      <vt:lpstr>Opolski</vt:lpstr>
      <vt:lpstr>Podkarpacki</vt:lpstr>
      <vt:lpstr>Podlaski</vt:lpstr>
      <vt:lpstr>Pomorski</vt:lpstr>
      <vt:lpstr>Śląski</vt:lpstr>
      <vt:lpstr>Świętokrzyski</vt:lpstr>
      <vt:lpstr>WarmińskoMazurski</vt:lpstr>
      <vt:lpstr>Wielkopolski</vt:lpstr>
      <vt:lpstr>Zachodniopomorski</vt:lpstr>
      <vt:lpstr>CENTRALA!Obszar_wydruku</vt:lpstr>
      <vt:lpstr>Dolnośląski!Obszar_wydruku</vt:lpstr>
      <vt:lpstr>KujawskoPomorski!Obszar_wydruku</vt:lpstr>
      <vt:lpstr>Lubelski!Obszar_wydruku</vt:lpstr>
      <vt:lpstr>Lubuski!Obszar_wydruku</vt:lpstr>
      <vt:lpstr>Łódzki!Obszar_wydruku</vt:lpstr>
      <vt:lpstr>Małopolski!Obszar_wydruku</vt:lpstr>
      <vt:lpstr>Mazowiecki!Obszar_wydruku</vt:lpstr>
      <vt:lpstr>NFZ!Obszar_wydruku</vt:lpstr>
      <vt:lpstr>Opolski!Obszar_wydruku</vt:lpstr>
      <vt:lpstr>Podkarpacki!Obszar_wydruku</vt:lpstr>
      <vt:lpstr>Podlaski!Obszar_wydruku</vt:lpstr>
      <vt:lpstr>Pomorski!Obszar_wydruku</vt:lpstr>
      <vt:lpstr>'Razem OW'!Obszar_wydruku</vt:lpstr>
      <vt:lpstr>Śląski!Obszar_wydruku</vt:lpstr>
      <vt:lpstr>Świętokrzyski!Obszar_wydruku</vt:lpstr>
      <vt:lpstr>WarmińskoMazurski!Obszar_wydruku</vt:lpstr>
      <vt:lpstr>Wielkopolski!Obszar_wydruku</vt:lpstr>
      <vt:lpstr>Zachodniopomorski!Obszar_wydruku</vt:lpstr>
      <vt:lpstr>NFZ!Tytuły_wydruku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Edyta Rosińska</dc:creator>
  <cp:lastModifiedBy>Babraj Rafał</cp:lastModifiedBy>
  <cp:lastPrinted>2018-04-16T08:21:44Z</cp:lastPrinted>
  <dcterms:created xsi:type="dcterms:W3CDTF">2005-07-21T09:51:05Z</dcterms:created>
  <dcterms:modified xsi:type="dcterms:W3CDTF">2018-04-20T12:30:34Z</dcterms:modified>
</cp:coreProperties>
</file>