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<sst xmlns="http://schemas.openxmlformats.org/spreadsheetml/2006/main" count="261" uniqueCount="114">
  <si>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</si>
  <si>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</si>
  <si>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</si>
  <si>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</si>
  <si>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</si>
  <si>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</si>
  <si>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</si>
  <si>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</si>
  <si>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</si>
  <si>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</si>
  <si>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</si>
  <si>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</si>
  <si>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</si>
  <si>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</si>
  <si>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</si>
  <si>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</si>
  <si>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</si>
  <si>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</si>
  <si>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</si>
  <si>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</si>
  <si>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</si>
  <si>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</si>
  <si>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</si>
  <si>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</si>
  <si>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</si>
  <si>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</si>
  <si>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</si>
  <si>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</si>
  <si>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</si>
  <si>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</si>
  <si>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</si>
  <si>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</si>
  <si>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</si>
  <si>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</si>
  <si>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</si>
  <si>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</si>
  <si>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</si>
  <si>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</si>
  <si>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</si>
  <si>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</si>
  <si>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</si>
  <si>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</si>
  <si>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</si>
  <si>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</si>
  <si>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</si>
  <si>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</si>
  <si>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</si>
  <si>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</si>
  <si>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</si>
  <si>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</si>
  <si>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</si>
  <si>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</si>
  <si>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</si>
  <si>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</si>
  <si>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</si>
  <si>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</si>
  <si>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</si>
  <si>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</si>
  <si>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</si>
  <si>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</si>
  <si>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</si>
  <si>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</si>
  <si>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</si>
  <si>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</si>
  <si>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</si>
  <si>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</si>
  <si>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</si>
  <si>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</si>
  <si>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</si>
  <si>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</si>
  <si>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</si>
  <si>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</si>
  <si>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</si>
  <si>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</si>
  <si>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</si>
  <si>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</si>
  <si>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</si>
  <si>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</si>
  <si>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</si>
  <si>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</si>
  <si>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</si>
  <si>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</si>
  <si>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</si>
  <si>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</si>
  <si>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</si>
  <si>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</si>
  <si>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</si>
  <si>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</si>
  <si>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</si>
  <si>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</si>
  <si>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</si>
  <si>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</si>
  <si>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</si>
  <si>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</si>
  <si>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</si>
  <si>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</si>
  <si>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</si>
  <si>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</si>
  <si>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</si>
  <si>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</si>
  <si>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</si>
  <si>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</si>
  <si>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</si>
  <si>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</si>
  <si>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</si>
  <si>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</si>
  <si>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</si>
  <si>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</si>
  <si>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</si>
  <si>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</si>
  <si>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</si>
  <si>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</si>
  <si>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</si>
  <si>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 Kwartał 2019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</si>
</sst>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0" fontId="7" fillId="2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4" fontId="14" fillId="29" borderId="19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4" fontId="7" fillId="40" borderId="20" xfId="0" applyNumberFormat="1" applyFont="1" applyFill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94" t="s">
        <v>113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12.75"/>
    <row r="3" spans="2:13" ht="66.75" customHeight="1">
      <c r="B3" s="95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5"/>
      <c r="C4" s="96" t="s">
        <v>81</v>
      </c>
      <c r="D4" s="96"/>
      <c r="E4" s="96"/>
      <c r="F4" s="96"/>
      <c r="G4" s="96"/>
      <c r="H4" s="96"/>
      <c r="I4" s="96"/>
      <c r="J4" s="96"/>
      <c r="K4" s="96" t="s">
        <v>4</v>
      </c>
      <c r="L4" s="96"/>
      <c r="M4" s="96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263019453662.24</f>
        <v>263019453662.24</v>
      </c>
      <c r="D6" s="69">
        <f>69050446037.4</f>
        <v>69050446037.4</v>
      </c>
      <c r="E6" s="69">
        <f>63302739101.96</f>
        <v>63302739101.96</v>
      </c>
      <c r="F6" s="69">
        <f>936436901.7</f>
        <v>936436901.7</v>
      </c>
      <c r="G6" s="69">
        <f>216329361.39</f>
        <v>216329361.39</v>
      </c>
      <c r="H6" s="69">
        <f>26721967.1</f>
        <v>26721967.1</v>
      </c>
      <c r="I6" s="69">
        <f>117538487.54</f>
        <v>117538487.54</v>
      </c>
      <c r="J6" s="69">
        <f>1386765.09</f>
        <v>1386765.09</v>
      </c>
      <c r="K6" s="70">
        <f aca="true" t="shared" si="0" ref="K6:K46">IF($D$6=0,"",100*$D6/$D$6)</f>
        <v>100</v>
      </c>
      <c r="L6" s="70">
        <f aca="true" t="shared" si="1" ref="L6:L50">IF(C6=0,"",100*D6/C6)</f>
        <v>26.252980559404577</v>
      </c>
      <c r="M6" s="70"/>
    </row>
    <row r="7" spans="2:13" ht="38.25" customHeight="1">
      <c r="B7" s="20" t="s">
        <v>62</v>
      </c>
      <c r="C7" s="25">
        <f>C6-C22-C40</f>
        <v>129006137751.07999</v>
      </c>
      <c r="D7" s="25">
        <f>D6-D22-D40</f>
        <v>32469585744.329994</v>
      </c>
      <c r="E7" s="25">
        <f>E6-E22-E40</f>
        <v>30393989260.089996</v>
      </c>
      <c r="F7" s="25">
        <f>F6</f>
        <v>936436901.7</v>
      </c>
      <c r="G7" s="25">
        <f>G6</f>
        <v>216329361.39</v>
      </c>
      <c r="H7" s="25">
        <f>H6</f>
        <v>26721967.1</v>
      </c>
      <c r="I7" s="25">
        <f>I6</f>
        <v>117538487.54</v>
      </c>
      <c r="J7" s="25">
        <f>J6</f>
        <v>1386765.09</v>
      </c>
      <c r="K7" s="31">
        <f t="shared" si="0"/>
        <v>47.022992040838375</v>
      </c>
      <c r="L7" s="31">
        <f t="shared" si="1"/>
        <v>25.169023978518553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9551261684.56</f>
        <v>9551261684.56</v>
      </c>
      <c r="D8" s="23">
        <f>2884161069.32</f>
        <v>2884161069.32</v>
      </c>
      <c r="E8" s="23">
        <f>2371559758.92</f>
        <v>2371559758.92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4.176889846240592</v>
      </c>
      <c r="L8" s="32">
        <f t="shared" si="1"/>
        <v>30.196650082180902</v>
      </c>
      <c r="M8" s="32">
        <f t="shared" si="2"/>
        <v>8.882654346225058</v>
      </c>
    </row>
    <row r="9" spans="2:13" ht="32.25" customHeight="1">
      <c r="B9" s="21" t="s">
        <v>19</v>
      </c>
      <c r="C9" s="23">
        <f>55463729954.56</f>
        <v>55463729954.56</v>
      </c>
      <c r="D9" s="23">
        <f>11910359488</f>
        <v>11910359488</v>
      </c>
      <c r="E9" s="23">
        <f>10412486790.37</f>
        <v>10412486790.37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17.248779944953515</v>
      </c>
      <c r="L9" s="32">
        <f t="shared" si="1"/>
        <v>21.474140844400207</v>
      </c>
      <c r="M9" s="32">
        <f t="shared" si="2"/>
        <v>36.68158744550613</v>
      </c>
    </row>
    <row r="10" spans="2:13" ht="32.25" customHeight="1">
      <c r="B10" s="21" t="s">
        <v>20</v>
      </c>
      <c r="C10" s="23">
        <f>1549009276.94</f>
        <v>1549009276.94</v>
      </c>
      <c r="D10" s="23">
        <f>567765067.17</f>
        <v>567765067.17</v>
      </c>
      <c r="E10" s="23">
        <f>566763186.27</f>
        <v>566763186.27</v>
      </c>
      <c r="F10" s="23">
        <f>37586652.02</f>
        <v>37586652.02</v>
      </c>
      <c r="G10" s="23">
        <f>788637.53</f>
        <v>788637.53</v>
      </c>
      <c r="H10" s="23">
        <f>3382258.57</f>
        <v>3382258.57</v>
      </c>
      <c r="I10" s="23">
        <f>2064773.03</f>
        <v>2064773.03</v>
      </c>
      <c r="J10" s="24">
        <f>1481.4</f>
        <v>1481.4</v>
      </c>
      <c r="K10" s="32">
        <f t="shared" si="0"/>
        <v>0.8222467771786437</v>
      </c>
      <c r="L10" s="32">
        <f t="shared" si="1"/>
        <v>36.65343233396219</v>
      </c>
      <c r="M10" s="32">
        <f t="shared" si="2"/>
        <v>1.7486058234332293</v>
      </c>
    </row>
    <row r="11" spans="2:13" ht="32.25" customHeight="1">
      <c r="B11" s="21" t="s">
        <v>21</v>
      </c>
      <c r="C11" s="23">
        <f>22896461298.85</f>
        <v>22896461298.85</v>
      </c>
      <c r="D11" s="23">
        <f>6594462356.09</f>
        <v>6594462356.09</v>
      </c>
      <c r="E11" s="23">
        <f>6587643387.43</f>
        <v>6587643387.43</v>
      </c>
      <c r="F11" s="23">
        <f>622574973.22</f>
        <v>622574973.22</v>
      </c>
      <c r="G11" s="23">
        <f>212783271.05</f>
        <v>212783271.05</v>
      </c>
      <c r="H11" s="23">
        <f>17980071.43</f>
        <v>17980071.43</v>
      </c>
      <c r="I11" s="23">
        <f>92675354.73</f>
        <v>92675354.73</v>
      </c>
      <c r="J11" s="24">
        <f>699034.34</f>
        <v>699034.34</v>
      </c>
      <c r="K11" s="32">
        <f t="shared" si="0"/>
        <v>9.550209643132822</v>
      </c>
      <c r="L11" s="32">
        <f t="shared" si="1"/>
        <v>28.801229456454106</v>
      </c>
      <c r="M11" s="32">
        <f t="shared" si="2"/>
        <v>20.309659655086787</v>
      </c>
    </row>
    <row r="12" spans="2:13" ht="32.25" customHeight="1">
      <c r="B12" s="21" t="s">
        <v>22</v>
      </c>
      <c r="C12" s="23">
        <f>298577826.62</f>
        <v>298577826.62</v>
      </c>
      <c r="D12" s="23">
        <f>94816471.47</f>
        <v>94816471.47</v>
      </c>
      <c r="E12" s="23">
        <f>94642658.24</f>
        <v>94642658.24</v>
      </c>
      <c r="F12" s="23">
        <f>392338.12</f>
        <v>392338.12</v>
      </c>
      <c r="G12" s="23">
        <f>170467.69</f>
        <v>170467.69</v>
      </c>
      <c r="H12" s="23">
        <f>55237.34</f>
        <v>55237.34</v>
      </c>
      <c r="I12" s="23">
        <f>27103.39</f>
        <v>27103.39</v>
      </c>
      <c r="J12" s="24">
        <f>56.81</f>
        <v>56.81</v>
      </c>
      <c r="K12" s="32">
        <f t="shared" si="0"/>
        <v>0.13731478493077987</v>
      </c>
      <c r="L12" s="32">
        <f t="shared" si="1"/>
        <v>31.756032436619254</v>
      </c>
      <c r="M12" s="32">
        <f t="shared" si="2"/>
        <v>0.292016264748796</v>
      </c>
    </row>
    <row r="13" spans="2:13" ht="32.25" customHeight="1">
      <c r="B13" s="21" t="s">
        <v>23</v>
      </c>
      <c r="C13" s="23">
        <f>1149223072.21</f>
        <v>1149223072.21</v>
      </c>
      <c r="D13" s="23">
        <f>521421128.93</f>
        <v>521421128.93</v>
      </c>
      <c r="E13" s="23">
        <f>521104623.02</f>
        <v>521104623.02</v>
      </c>
      <c r="F13" s="23">
        <f>271243532.97</f>
        <v>271243532.97</v>
      </c>
      <c r="G13" s="23">
        <f>927555.58</f>
        <v>927555.58</v>
      </c>
      <c r="H13" s="23">
        <f>1172089.66</f>
        <v>1172089.66</v>
      </c>
      <c r="I13" s="23">
        <f>7858590.95</f>
        <v>7858590.95</v>
      </c>
      <c r="J13" s="24">
        <f>3767.25</f>
        <v>3767.25</v>
      </c>
      <c r="K13" s="32">
        <f t="shared" si="0"/>
        <v>0.7551307179791151</v>
      </c>
      <c r="L13" s="32">
        <f t="shared" si="1"/>
        <v>45.37162031800207</v>
      </c>
      <c r="M13" s="32">
        <f t="shared" si="2"/>
        <v>1.6058755200504928</v>
      </c>
    </row>
    <row r="14" spans="2:13" ht="43.5" customHeight="1">
      <c r="B14" s="21" t="s">
        <v>46</v>
      </c>
      <c r="C14" s="23">
        <f>69611641.12</f>
        <v>69611641.12</v>
      </c>
      <c r="D14" s="23">
        <f>9350527.66</f>
        <v>9350527.66</v>
      </c>
      <c r="E14" s="23">
        <f>9239604.24</f>
        <v>9239604.24</v>
      </c>
      <c r="F14" s="23">
        <f>0</f>
        <v>0</v>
      </c>
      <c r="G14" s="23">
        <f>0</f>
        <v>0</v>
      </c>
      <c r="H14" s="23">
        <f>67116.5</f>
        <v>67116.5</v>
      </c>
      <c r="I14" s="23">
        <f>127540.98</f>
        <v>127540.98</v>
      </c>
      <c r="J14" s="24">
        <f>0</f>
        <v>0</v>
      </c>
      <c r="K14" s="32">
        <f t="shared" si="0"/>
        <v>0.013541589079577337</v>
      </c>
      <c r="L14" s="32">
        <f t="shared" si="1"/>
        <v>13.432419505641443</v>
      </c>
      <c r="M14" s="32">
        <f t="shared" si="2"/>
        <v>0.028797803993027036</v>
      </c>
    </row>
    <row r="15" spans="2:13" ht="32.25" customHeight="1">
      <c r="B15" s="21" t="s">
        <v>28</v>
      </c>
      <c r="C15" s="23">
        <f>272902021.38</f>
        <v>272902021.38</v>
      </c>
      <c r="D15" s="23">
        <f>68905851.62</f>
        <v>68905851.62</v>
      </c>
      <c r="E15" s="23">
        <f>68327221.23</f>
        <v>68327221.23</v>
      </c>
      <c r="F15" s="23">
        <f>0</f>
        <v>0</v>
      </c>
      <c r="G15" s="23">
        <f>11300.5</f>
        <v>11300.5</v>
      </c>
      <c r="H15" s="23">
        <f>1507559.76</f>
        <v>1507559.76</v>
      </c>
      <c r="I15" s="23">
        <f>3873642.92</f>
        <v>3873642.92</v>
      </c>
      <c r="J15" s="24">
        <f>0</f>
        <v>0</v>
      </c>
      <c r="K15" s="32">
        <f t="shared" si="0"/>
        <v>0.09979059596903736</v>
      </c>
      <c r="L15" s="32">
        <f t="shared" si="1"/>
        <v>25.24930056272931</v>
      </c>
      <c r="M15" s="32">
        <f t="shared" si="2"/>
        <v>0.21221660221529834</v>
      </c>
    </row>
    <row r="16" spans="2:13" ht="32.25" customHeight="1">
      <c r="B16" s="21" t="s">
        <v>29</v>
      </c>
      <c r="C16" s="23">
        <f>2379975715.94</f>
        <v>2379975715.94</v>
      </c>
      <c r="D16" s="23">
        <f>640460215.63</f>
        <v>640460215.63</v>
      </c>
      <c r="E16" s="23">
        <f>645938687.76</f>
        <v>645938687.76</v>
      </c>
      <c r="F16" s="23">
        <f>0</f>
        <v>0</v>
      </c>
      <c r="G16" s="23">
        <f>0</f>
        <v>0</v>
      </c>
      <c r="H16" s="23">
        <f>12932.51</f>
        <v>12932.51</v>
      </c>
      <c r="I16" s="23">
        <f>312461.04</f>
        <v>312461.04</v>
      </c>
      <c r="J16" s="24">
        <f>0</f>
        <v>0</v>
      </c>
      <c r="K16" s="32">
        <f t="shared" si="0"/>
        <v>0.9275250956135832</v>
      </c>
      <c r="L16" s="32">
        <f t="shared" si="1"/>
        <v>26.91036767058115</v>
      </c>
      <c r="M16" s="32">
        <f t="shared" si="2"/>
        <v>1.9724927218753951</v>
      </c>
    </row>
    <row r="17" spans="2:13" ht="32.25" customHeight="1">
      <c r="B17" s="21" t="s">
        <v>30</v>
      </c>
      <c r="C17" s="23">
        <f>473638555.99</f>
        <v>473638555.99</v>
      </c>
      <c r="D17" s="23">
        <f>130628284.35</f>
        <v>130628284.35</v>
      </c>
      <c r="E17" s="23">
        <f>130094451.19</f>
        <v>130094451.19</v>
      </c>
      <c r="F17" s="23">
        <f>0</f>
        <v>0</v>
      </c>
      <c r="G17" s="23">
        <f>0</f>
        <v>0</v>
      </c>
      <c r="H17" s="23">
        <f>3551</f>
        <v>3551</v>
      </c>
      <c r="I17" s="23">
        <f>4351</f>
        <v>4351</v>
      </c>
      <c r="J17" s="24">
        <f>0</f>
        <v>0</v>
      </c>
      <c r="K17" s="32">
        <f t="shared" si="0"/>
        <v>0.1891780456845238</v>
      </c>
      <c r="L17" s="32">
        <f t="shared" si="1"/>
        <v>27.579740436662842</v>
      </c>
      <c r="M17" s="32">
        <f t="shared" si="2"/>
        <v>0.40230967336197376</v>
      </c>
    </row>
    <row r="18" spans="2:13" ht="32.25" customHeight="1">
      <c r="B18" s="21" t="s">
        <v>31</v>
      </c>
      <c r="C18" s="23">
        <f>416287768.95</f>
        <v>416287768.95</v>
      </c>
      <c r="D18" s="23">
        <f>215445510.59</f>
        <v>215445510.59</v>
      </c>
      <c r="E18" s="23">
        <f>215315927.18</f>
        <v>215315927.18</v>
      </c>
      <c r="F18" s="23">
        <f>0</f>
        <v>0</v>
      </c>
      <c r="G18" s="23">
        <f>314880.4</f>
        <v>314880.4</v>
      </c>
      <c r="H18" s="23">
        <f>0</f>
        <v>0</v>
      </c>
      <c r="I18" s="23">
        <f>505612.91</f>
        <v>505612.91</v>
      </c>
      <c r="J18" s="24">
        <f>0</f>
        <v>0</v>
      </c>
      <c r="K18" s="32">
        <f t="shared" si="0"/>
        <v>0.31201175800270375</v>
      </c>
      <c r="L18" s="32">
        <f t="shared" si="1"/>
        <v>51.753985262026035</v>
      </c>
      <c r="M18" s="32">
        <f t="shared" si="2"/>
        <v>0.6635302103526904</v>
      </c>
    </row>
    <row r="19" spans="2:13" ht="32.25" customHeight="1">
      <c r="B19" s="21" t="s">
        <v>32</v>
      </c>
      <c r="C19" s="23">
        <f>139655854.8</f>
        <v>139655854.8</v>
      </c>
      <c r="D19" s="23">
        <f>19942382.22</f>
        <v>19942382.22</v>
      </c>
      <c r="E19" s="23">
        <f>19907397.42</f>
        <v>19907397.42</v>
      </c>
      <c r="F19" s="23">
        <f>188287.4</f>
        <v>188287.4</v>
      </c>
      <c r="G19" s="23">
        <f>0</f>
        <v>0</v>
      </c>
      <c r="H19" s="23">
        <f>3722</f>
        <v>3722</v>
      </c>
      <c r="I19" s="23">
        <f>1200</f>
        <v>1200</v>
      </c>
      <c r="J19" s="24">
        <f>0</f>
        <v>0</v>
      </c>
      <c r="K19" s="32">
        <f t="shared" si="0"/>
        <v>0.02888088834241353</v>
      </c>
      <c r="L19" s="32">
        <f t="shared" si="1"/>
        <v>14.279660704923055</v>
      </c>
      <c r="M19" s="32">
        <f t="shared" si="2"/>
        <v>0.06141865306514556</v>
      </c>
    </row>
    <row r="20" spans="2:13" ht="32.25" customHeight="1">
      <c r="B20" s="21" t="s">
        <v>24</v>
      </c>
      <c r="C20" s="23">
        <f>8465624370.18</f>
        <v>8465624370.18</v>
      </c>
      <c r="D20" s="23">
        <f>1558868545.02</f>
        <v>1558868545.02</v>
      </c>
      <c r="E20" s="23">
        <f>1553956147.4</f>
        <v>1553956147.4</v>
      </c>
      <c r="F20" s="23">
        <f>0</f>
        <v>0</v>
      </c>
      <c r="G20" s="23">
        <f>4344.15</f>
        <v>4344.15</v>
      </c>
      <c r="H20" s="23">
        <f>0</f>
        <v>0</v>
      </c>
      <c r="I20" s="23">
        <f>156011.8</f>
        <v>156011.8</v>
      </c>
      <c r="J20" s="24">
        <f>0</f>
        <v>0</v>
      </c>
      <c r="K20" s="32">
        <f t="shared" si="0"/>
        <v>2.257579254702664</v>
      </c>
      <c r="L20" s="32">
        <f t="shared" si="1"/>
        <v>18.414100092972287</v>
      </c>
      <c r="M20" s="32">
        <f t="shared" si="2"/>
        <v>4.801011498251769</v>
      </c>
    </row>
    <row r="21" spans="2:13" ht="32.25" customHeight="1">
      <c r="B21" s="21" t="s">
        <v>25</v>
      </c>
      <c r="C21" s="23">
        <f>C7-C8-C9-C10-C11-C12-C13-C14-C15-C16-C17-C18-C19-C20</f>
        <v>25880178708.979992</v>
      </c>
      <c r="D21" s="23">
        <f aca="true" t="shared" si="3" ref="D21:J21">D7-D8-D9-D10-D11-D12-D13-D14-D15-D16-D17-D18-D19-D20</f>
        <v>7252998846.2599945</v>
      </c>
      <c r="E21" s="23">
        <f t="shared" si="3"/>
        <v>7197009419.419994</v>
      </c>
      <c r="F21" s="23">
        <f t="shared" si="3"/>
        <v>4451117.970000004</v>
      </c>
      <c r="G21" s="23">
        <f t="shared" si="3"/>
        <v>1328904.4899999727</v>
      </c>
      <c r="H21" s="23">
        <f t="shared" si="3"/>
        <v>2537428.330000002</v>
      </c>
      <c r="I21" s="23">
        <f t="shared" si="3"/>
        <v>9931844.790000001</v>
      </c>
      <c r="J21" s="24">
        <f t="shared" si="3"/>
        <v>682425.2900000002</v>
      </c>
      <c r="K21" s="32">
        <f t="shared" si="0"/>
        <v>10.5039130990284</v>
      </c>
      <c r="L21" s="32">
        <f t="shared" si="1"/>
        <v>28.02530433742069</v>
      </c>
      <c r="M21" s="32">
        <f t="shared" si="2"/>
        <v>22.337823781834206</v>
      </c>
    </row>
    <row r="22" spans="2:13" ht="36.75" customHeight="1">
      <c r="B22" s="68" t="s">
        <v>70</v>
      </c>
      <c r="C22" s="69">
        <f>C23+C36+C38</f>
        <v>74047099757.16</v>
      </c>
      <c r="D22" s="69">
        <f>D23+D36+D38</f>
        <v>15450347667.07</v>
      </c>
      <c r="E22" s="69">
        <f>E23+E36+E38</f>
        <v>15155995371.79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22.375449477475616</v>
      </c>
      <c r="L22" s="70">
        <f t="shared" si="1"/>
        <v>20.86556761539607</v>
      </c>
      <c r="M22" s="73"/>
    </row>
    <row r="23" spans="2:13" ht="36.75" customHeight="1">
      <c r="B23" s="68" t="s">
        <v>63</v>
      </c>
      <c r="C23" s="69">
        <f>C24+C26+C28+C30+C32+C34</f>
        <v>47300142036.52</v>
      </c>
      <c r="D23" s="69">
        <f>D24+D26+D28+D30+D32+D34</f>
        <v>12053794023.869999</v>
      </c>
      <c r="E23" s="69">
        <f>E24+E26+E28+E30+E32+E34</f>
        <v>11910966535.539999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17.456504216267145</v>
      </c>
      <c r="L23" s="70">
        <f t="shared" si="1"/>
        <v>25.483631771260598</v>
      </c>
      <c r="M23" s="73"/>
    </row>
    <row r="24" spans="2:13" ht="33.75" customHeight="1">
      <c r="B24" s="71" t="s">
        <v>9</v>
      </c>
      <c r="C24" s="24">
        <f>38479539085.18</f>
        <v>38479539085.18</v>
      </c>
      <c r="D24" s="24">
        <f>10736183431.56</f>
        <v>10736183431.56</v>
      </c>
      <c r="E24" s="24">
        <f>10599726964.73</f>
        <v>10599726964.73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15.548318725913703</v>
      </c>
      <c r="L24" s="32">
        <f t="shared" si="1"/>
        <v>27.901018792854853</v>
      </c>
      <c r="M24" s="28"/>
    </row>
    <row r="25" spans="2:13" ht="21" customHeight="1">
      <c r="B25" s="74" t="s">
        <v>6</v>
      </c>
      <c r="C25" s="24">
        <f>61256429.64</f>
        <v>61256429.64</v>
      </c>
      <c r="D25" s="24">
        <f>10758510.76</f>
        <v>10758510.76</v>
      </c>
      <c r="E25" s="24">
        <f>10757905.76</f>
        <v>10757905.76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0.01558065353288643</v>
      </c>
      <c r="L25" s="32">
        <f t="shared" si="1"/>
        <v>17.56307186564261</v>
      </c>
      <c r="M25" s="28"/>
    </row>
    <row r="26" spans="2:13" ht="33.75" customHeight="1">
      <c r="B26" s="71" t="s">
        <v>7</v>
      </c>
      <c r="C26" s="24">
        <f>5927947517.5</f>
        <v>5927947517.5</v>
      </c>
      <c r="D26" s="24">
        <f>879584321.92</f>
        <v>879584321.92</v>
      </c>
      <c r="E26" s="24">
        <f>875540141.98</f>
        <v>875540141.98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1.2738285882231495</v>
      </c>
      <c r="L26" s="32">
        <f t="shared" si="1"/>
        <v>14.837923570061363</v>
      </c>
      <c r="M26" s="28"/>
    </row>
    <row r="27" spans="2:13" ht="21" customHeight="1">
      <c r="B27" s="74" t="s">
        <v>6</v>
      </c>
      <c r="C27" s="24">
        <f>1396250537.79</f>
        <v>1396250537.79</v>
      </c>
      <c r="D27" s="24">
        <f>10197652.44</f>
        <v>10197652.44</v>
      </c>
      <c r="E27" s="24">
        <f>10110122.72</f>
        <v>10110122.72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0.014768409221392453</v>
      </c>
      <c r="L27" s="32">
        <f t="shared" si="1"/>
        <v>0.730359786012398</v>
      </c>
      <c r="M27" s="28"/>
    </row>
    <row r="28" spans="2:13" ht="39.75" customHeight="1">
      <c r="B28" s="71" t="s">
        <v>10</v>
      </c>
      <c r="C28" s="24">
        <f>183365917.3</f>
        <v>183365917.3</v>
      </c>
      <c r="D28" s="24">
        <f>34647726.76</f>
        <v>34647726.76</v>
      </c>
      <c r="E28" s="24">
        <f>33356087.21</f>
        <v>33356087.21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0.05017741194782964</v>
      </c>
      <c r="L28" s="32">
        <f t="shared" si="1"/>
        <v>18.895401757412635</v>
      </c>
      <c r="M28" s="28"/>
    </row>
    <row r="29" spans="2:13" ht="21" customHeight="1">
      <c r="B29" s="74" t="s">
        <v>6</v>
      </c>
      <c r="C29" s="24">
        <f>59119211</f>
        <v>59119211</v>
      </c>
      <c r="D29" s="24">
        <f>296813.69</f>
        <v>296813.69</v>
      </c>
      <c r="E29" s="24">
        <f>293433.69</f>
        <v>293433.69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0.0004298505035568285</v>
      </c>
      <c r="L29" s="32">
        <f t="shared" si="1"/>
        <v>0.502059626607669</v>
      </c>
      <c r="M29" s="28"/>
    </row>
    <row r="30" spans="2:13" ht="39.75" customHeight="1">
      <c r="B30" s="71" t="s">
        <v>11</v>
      </c>
      <c r="C30" s="24">
        <f>1336937003.84</f>
        <v>1336937003.84</v>
      </c>
      <c r="D30" s="24">
        <f>270568669</f>
        <v>270568669</v>
      </c>
      <c r="E30" s="24">
        <f>270657514</f>
        <v>270657514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0.3918420293091968</v>
      </c>
      <c r="L30" s="32">
        <f t="shared" si="1"/>
        <v>20.23795199196841</v>
      </c>
      <c r="M30" s="28"/>
    </row>
    <row r="31" spans="2:13" ht="21" customHeight="1">
      <c r="B31" s="74" t="s">
        <v>6</v>
      </c>
      <c r="C31" s="24">
        <f>364668196.55</f>
        <v>364668196.55</v>
      </c>
      <c r="D31" s="24">
        <f>28538005.49</f>
        <v>28538005.49</v>
      </c>
      <c r="E31" s="24">
        <f>28544982.86</f>
        <v>28544982.86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0.041329212376909015</v>
      </c>
      <c r="L31" s="32">
        <f t="shared" si="1"/>
        <v>7.825745639457518</v>
      </c>
      <c r="M31" s="28"/>
    </row>
    <row r="32" spans="2:13" ht="39.75" customHeight="1">
      <c r="B32" s="71" t="s">
        <v>82</v>
      </c>
      <c r="C32" s="24">
        <f>841627589.63</f>
        <v>841627589.63</v>
      </c>
      <c r="D32" s="24">
        <f>70951850.82</f>
        <v>70951850.82</v>
      </c>
      <c r="E32" s="24">
        <f>70910530.12</f>
        <v>70910530.12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0.10275364590920982</v>
      </c>
      <c r="L32" s="32">
        <f t="shared" si="1"/>
        <v>8.430314273702951</v>
      </c>
      <c r="M32" s="28"/>
    </row>
    <row r="33" spans="2:13" ht="24" customHeight="1">
      <c r="B33" s="74" t="s">
        <v>6</v>
      </c>
      <c r="C33" s="24">
        <f>748513127.33</f>
        <v>748513127.33</v>
      </c>
      <c r="D33" s="24">
        <f>50785404.99</f>
        <v>50785404.99</v>
      </c>
      <c r="E33" s="24">
        <f>50769864.37</f>
        <v>50769864.37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0.07354826493444076</v>
      </c>
      <c r="L33" s="32">
        <f t="shared" si="1"/>
        <v>6.7848382527578615</v>
      </c>
      <c r="M33" s="28"/>
    </row>
    <row r="34" spans="2:13" ht="22.5" customHeight="1">
      <c r="B34" s="71" t="s">
        <v>8</v>
      </c>
      <c r="C34" s="24">
        <f>530724923.07</f>
        <v>530724923.07</v>
      </c>
      <c r="D34" s="24">
        <f>61858023.81</f>
        <v>61858023.81</v>
      </c>
      <c r="E34" s="24">
        <f>60775297.5</f>
        <v>60775297.5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0.08958381496405636</v>
      </c>
      <c r="L34" s="32">
        <f t="shared" si="1"/>
        <v>11.655383254319345</v>
      </c>
      <c r="M34" s="28"/>
    </row>
    <row r="35" spans="2:13" ht="21" customHeight="1">
      <c r="B35" s="74" t="s">
        <v>6</v>
      </c>
      <c r="C35" s="24">
        <f>415042609.93</f>
        <v>415042609.93</v>
      </c>
      <c r="D35" s="24">
        <f>23478233.73</f>
        <v>23478233.73</v>
      </c>
      <c r="E35" s="24">
        <f>22433034.97</f>
        <v>22433034.97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0.034001567082250876</v>
      </c>
      <c r="L35" s="32">
        <f t="shared" si="1"/>
        <v>5.6568249062330676</v>
      </c>
      <c r="M35" s="28"/>
    </row>
    <row r="36" spans="2:13" ht="25.5" customHeight="1">
      <c r="B36" s="68" t="s">
        <v>72</v>
      </c>
      <c r="C36" s="69">
        <f>3478080716.01</f>
        <v>3478080716.01</v>
      </c>
      <c r="D36" s="69">
        <f>508215358.04</f>
        <v>508215358.04</v>
      </c>
      <c r="E36" s="69">
        <f>495709865.37</f>
        <v>495709865.37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0.7360059017790179</v>
      </c>
      <c r="L36" s="70">
        <f t="shared" si="1"/>
        <v>14.611948357052988</v>
      </c>
      <c r="M36" s="28"/>
    </row>
    <row r="37" spans="2:13" ht="19.5" customHeight="1">
      <c r="B37" s="29" t="s">
        <v>73</v>
      </c>
      <c r="C37" s="23">
        <f>2532770765.21</f>
        <v>2532770765.21</v>
      </c>
      <c r="D37" s="23">
        <f>230499236.03</f>
        <v>230499236.03</v>
      </c>
      <c r="E37" s="23">
        <f>230323256.64</f>
        <v>230323256.64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0.3338128125995798</v>
      </c>
      <c r="L37" s="32">
        <f t="shared" si="1"/>
        <v>9.10067500762899</v>
      </c>
      <c r="M37" s="28"/>
    </row>
    <row r="38" spans="2:13" ht="25.5" customHeight="1">
      <c r="B38" s="68" t="s">
        <v>97</v>
      </c>
      <c r="C38" s="69">
        <f>23268877004.63</f>
        <v>23268877004.63</v>
      </c>
      <c r="D38" s="69">
        <f>2888338285.16</f>
        <v>2888338285.16</v>
      </c>
      <c r="E38" s="69">
        <f>2749318970.88</f>
        <v>2749318970.88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4.1829393594294535</v>
      </c>
      <c r="L38" s="70">
        <f t="shared" si="1"/>
        <v>12.412882171259419</v>
      </c>
      <c r="M38" s="28"/>
    </row>
    <row r="39" spans="2:13" ht="21" customHeight="1">
      <c r="B39" s="29" t="s">
        <v>98</v>
      </c>
      <c r="C39" s="23">
        <f>19992460877.01</f>
        <v>19992460877.01</v>
      </c>
      <c r="D39" s="23">
        <f>2032905045.33</f>
        <v>2032905045.33</v>
      </c>
      <c r="E39" s="23">
        <f>1923848632.16</f>
        <v>1923848632.16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2.944086768431462</v>
      </c>
      <c r="L39" s="32">
        <f t="shared" si="1"/>
        <v>10.168358251823344</v>
      </c>
      <c r="M39" s="28"/>
    </row>
    <row r="40" spans="2:13" ht="35.25" customHeight="1">
      <c r="B40" s="68" t="s">
        <v>64</v>
      </c>
      <c r="C40" s="69">
        <f>C41+C42+C43+C44+C45+C46</f>
        <v>59966216154</v>
      </c>
      <c r="D40" s="69">
        <f>D41+D42+D43+D44+D45+D46</f>
        <v>21130512626</v>
      </c>
      <c r="E40" s="69">
        <f>E41+E42+E43+E44+E45+E46</f>
        <v>17752754470.08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30.601558481686013</v>
      </c>
      <c r="L40" s="70">
        <f t="shared" si="1"/>
        <v>35.237361936818665</v>
      </c>
      <c r="M40" s="28"/>
    </row>
    <row r="41" spans="2:13" ht="26.25" customHeight="1">
      <c r="B41" s="21" t="s">
        <v>50</v>
      </c>
      <c r="C41" s="23">
        <f>11869011282</f>
        <v>11869011282</v>
      </c>
      <c r="D41" s="23">
        <f>2967885159</f>
        <v>2967885159</v>
      </c>
      <c r="E41" s="23">
        <f>2966636737</f>
        <v>2966636737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4.298140460081164</v>
      </c>
      <c r="L41" s="32">
        <f t="shared" si="1"/>
        <v>25.005327642589396</v>
      </c>
      <c r="M41" s="28"/>
    </row>
    <row r="42" spans="2:13" ht="26.25" customHeight="1">
      <c r="B42" s="21" t="s">
        <v>49</v>
      </c>
      <c r="C42" s="23">
        <f>45730281613</f>
        <v>45730281613</v>
      </c>
      <c r="D42" s="23">
        <f>17586101515</f>
        <v>17586101515</v>
      </c>
      <c r="E42" s="23">
        <f>14209604315.08</f>
        <v>14209604315.08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25.468483585862412</v>
      </c>
      <c r="L42" s="32">
        <f t="shared" si="1"/>
        <v>38.45614086487651</v>
      </c>
      <c r="M42" s="28"/>
    </row>
    <row r="43" spans="2:13" ht="26.25" customHeight="1">
      <c r="B43" s="21" t="s">
        <v>48</v>
      </c>
      <c r="C43" s="23">
        <f>275581</f>
        <v>275581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1839953536</f>
        <v>1839953536</v>
      </c>
      <c r="D44" s="23">
        <f>459559644</f>
        <v>459559644</v>
      </c>
      <c r="E44" s="23">
        <f>459547110</f>
        <v>459547110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0.6655418905637298</v>
      </c>
      <c r="L44" s="32">
        <f t="shared" si="1"/>
        <v>24.97669832462552</v>
      </c>
      <c r="M44" s="28"/>
    </row>
    <row r="45" spans="2:13" ht="26.25" customHeight="1">
      <c r="B45" s="21" t="s">
        <v>60</v>
      </c>
      <c r="C45" s="23">
        <f>460622467</f>
        <v>460622467</v>
      </c>
      <c r="D45" s="23">
        <f>116351967</f>
        <v>116351967</v>
      </c>
      <c r="E45" s="23">
        <f>116351967</f>
        <v>116351967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0.16850284636391769</v>
      </c>
      <c r="L45" s="32">
        <f t="shared" si="1"/>
        <v>25.259724684684127</v>
      </c>
      <c r="M45" s="28"/>
    </row>
    <row r="46" spans="2:13" ht="26.25" customHeight="1">
      <c r="B46" s="21" t="s">
        <v>45</v>
      </c>
      <c r="C46" s="23">
        <f>66071675</f>
        <v>66071675</v>
      </c>
      <c r="D46" s="23">
        <f>614341</f>
        <v>614341</v>
      </c>
      <c r="E46" s="23">
        <f>614341</f>
        <v>614341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0.000889698814787167</v>
      </c>
      <c r="L46" s="32">
        <f t="shared" si="1"/>
        <v>0.9298099374656387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263019453662.24</v>
      </c>
      <c r="D48" s="76">
        <f t="shared" si="4"/>
        <v>69050446037.4</v>
      </c>
      <c r="E48" s="76">
        <f t="shared" si="4"/>
        <v>63302739101.96</v>
      </c>
      <c r="F48" s="76">
        <f t="shared" si="4"/>
        <v>936436901.7</v>
      </c>
      <c r="G48" s="76">
        <f t="shared" si="4"/>
        <v>216329361.39</v>
      </c>
      <c r="H48" s="76">
        <f t="shared" si="4"/>
        <v>26721967.1</v>
      </c>
      <c r="I48" s="76">
        <f t="shared" si="4"/>
        <v>117538487.54</v>
      </c>
      <c r="J48" s="76">
        <f t="shared" si="4"/>
        <v>1386765.09</v>
      </c>
      <c r="K48" s="77">
        <f>IF($D$48=0,"",100*$D48/$D$48)</f>
        <v>100</v>
      </c>
      <c r="L48" s="77">
        <f t="shared" si="1"/>
        <v>26.252980559404577</v>
      </c>
      <c r="M48" s="4"/>
    </row>
    <row r="49" spans="1:13" s="6" customFormat="1" ht="24.75" customHeight="1">
      <c r="A49" s="3"/>
      <c r="B49" s="66" t="s">
        <v>76</v>
      </c>
      <c r="C49" s="67">
        <f>32010682822.63</f>
        <v>32010682822.63</v>
      </c>
      <c r="D49" s="67">
        <f>3283722782.64</f>
        <v>3283722782.64</v>
      </c>
      <c r="E49" s="67">
        <f>3170814515.43</f>
        <v>3170814515.43</v>
      </c>
      <c r="F49" s="67">
        <f>0</f>
        <v>0</v>
      </c>
      <c r="G49" s="67">
        <f>3392.93</f>
        <v>3392.93</v>
      </c>
      <c r="H49" s="67">
        <f>0</f>
        <v>0</v>
      </c>
      <c r="I49" s="67">
        <f>156011.8</f>
        <v>156011.8</v>
      </c>
      <c r="J49" s="67">
        <f>0</f>
        <v>0</v>
      </c>
      <c r="K49" s="33">
        <f>IF($D$48=0,"",100*$D49/$D$48)</f>
        <v>4.755541739529717</v>
      </c>
      <c r="L49" s="33">
        <f t="shared" si="1"/>
        <v>10.258209113610558</v>
      </c>
      <c r="M49" s="4"/>
    </row>
    <row r="50" spans="1:13" s="6" customFormat="1" ht="24.75" customHeight="1">
      <c r="A50" s="3"/>
      <c r="B50" s="66" t="s">
        <v>77</v>
      </c>
      <c r="C50" s="67">
        <f>+C48-C49</f>
        <v>231008770839.61</v>
      </c>
      <c r="D50" s="67">
        <f aca="true" t="shared" si="5" ref="D50:J50">+D48-D49</f>
        <v>65766723254.759995</v>
      </c>
      <c r="E50" s="67">
        <f t="shared" si="5"/>
        <v>60131924586.53</v>
      </c>
      <c r="F50" s="67">
        <f t="shared" si="5"/>
        <v>936436901.7</v>
      </c>
      <c r="G50" s="67">
        <f t="shared" si="5"/>
        <v>216325968.45999998</v>
      </c>
      <c r="H50" s="67">
        <f t="shared" si="5"/>
        <v>26721967.1</v>
      </c>
      <c r="I50" s="67">
        <f t="shared" si="5"/>
        <v>117382475.74000001</v>
      </c>
      <c r="J50" s="67">
        <f t="shared" si="5"/>
        <v>1386765.09</v>
      </c>
      <c r="K50" s="33">
        <f>IF($D$48=0,"",100*$D50/$D$48)</f>
        <v>95.24445826047028</v>
      </c>
      <c r="L50" s="33">
        <f t="shared" si="1"/>
        <v>28.469362014147077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94" t="s">
        <v>113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5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0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5"/>
      <c r="C55" s="97"/>
      <c r="D55" s="87"/>
      <c r="E55" s="97"/>
      <c r="F55" s="98" t="s">
        <v>59</v>
      </c>
      <c r="G55" s="99" t="s">
        <v>34</v>
      </c>
      <c r="H55" s="87"/>
      <c r="I55" s="97"/>
      <c r="J55" s="97"/>
      <c r="K55" s="97"/>
      <c r="L55" s="100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5"/>
      <c r="C56" s="97"/>
      <c r="D56" s="87"/>
      <c r="E56" s="97"/>
      <c r="F56" s="87"/>
      <c r="G56" s="18" t="s">
        <v>54</v>
      </c>
      <c r="H56" s="18" t="s">
        <v>55</v>
      </c>
      <c r="I56" s="97"/>
      <c r="J56" s="97"/>
      <c r="K56" s="97"/>
      <c r="L56" s="100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5"/>
      <c r="C57" s="96" t="s">
        <v>81</v>
      </c>
      <c r="D57" s="96"/>
      <c r="E57" s="96"/>
      <c r="F57" s="96"/>
      <c r="G57" s="96"/>
      <c r="H57" s="96"/>
      <c r="I57" s="96"/>
      <c r="J57" s="96"/>
      <c r="K57" s="96" t="s">
        <v>4</v>
      </c>
      <c r="L57" s="9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87">
        <v>8</v>
      </c>
      <c r="J58" s="87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283479675958.33</f>
        <v>283479675958.33</v>
      </c>
      <c r="D59" s="76">
        <f>177993970639.6</f>
        <v>177993970639.6</v>
      </c>
      <c r="E59" s="76">
        <f>58025583167.64</f>
        <v>58025583167.64</v>
      </c>
      <c r="F59" s="76">
        <f>7181469149.67</f>
        <v>7181469149.67</v>
      </c>
      <c r="G59" s="76">
        <f>15151356.67</f>
        <v>15151356.67</v>
      </c>
      <c r="H59" s="76">
        <f>31978406.37</f>
        <v>31978406.37</v>
      </c>
      <c r="I59" s="92">
        <f>0</f>
        <v>0</v>
      </c>
      <c r="J59" s="92"/>
      <c r="K59" s="60">
        <f aca="true" t="shared" si="6" ref="K59:K68">IF($E$59=0,"",100*$E59/$E$59)</f>
        <v>100</v>
      </c>
      <c r="L59" s="60">
        <f aca="true" t="shared" si="7" ref="L59:L68">IF(C59=0,"",100*E59/C59)</f>
        <v>20.469045257470043</v>
      </c>
    </row>
    <row r="60" spans="2:12" ht="24" customHeight="1">
      <c r="B60" s="20" t="s">
        <v>14</v>
      </c>
      <c r="C60" s="26">
        <f>66904166577.19</f>
        <v>66904166577.19</v>
      </c>
      <c r="D60" s="26">
        <f>29480511127.51</f>
        <v>29480511127.51</v>
      </c>
      <c r="E60" s="26">
        <f>4860199145.62</f>
        <v>4860199145.62</v>
      </c>
      <c r="F60" s="26">
        <f>1682060319.57</f>
        <v>1682060319.57</v>
      </c>
      <c r="G60" s="26">
        <f>5395389.5</f>
        <v>5395389.5</v>
      </c>
      <c r="H60" s="26">
        <f>5922578.59</f>
        <v>5922578.59</v>
      </c>
      <c r="I60" s="91">
        <f>0</f>
        <v>0</v>
      </c>
      <c r="J60" s="93"/>
      <c r="K60" s="34">
        <f t="shared" si="6"/>
        <v>8.375959155082581</v>
      </c>
      <c r="L60" s="34">
        <f t="shared" si="7"/>
        <v>7.264419234656477</v>
      </c>
    </row>
    <row r="61" spans="2:12" ht="22.5" customHeight="1">
      <c r="B61" s="21" t="s">
        <v>13</v>
      </c>
      <c r="C61" s="23">
        <f>65062960504.27</f>
        <v>65062960504.27</v>
      </c>
      <c r="D61" s="23">
        <f>28713927492.82</f>
        <v>28713927492.82</v>
      </c>
      <c r="E61" s="23">
        <f>4508785539.32</f>
        <v>4508785539.32</v>
      </c>
      <c r="F61" s="23">
        <f>1529677186.21</f>
        <v>1529677186.21</v>
      </c>
      <c r="G61" s="23">
        <f>5315194.23</f>
        <v>5315194.23</v>
      </c>
      <c r="H61" s="23">
        <f>5922578.59</f>
        <v>5922578.59</v>
      </c>
      <c r="I61" s="89">
        <f>0</f>
        <v>0</v>
      </c>
      <c r="J61" s="90"/>
      <c r="K61" s="35">
        <f t="shared" si="6"/>
        <v>7.770340758650888</v>
      </c>
      <c r="L61" s="35">
        <f t="shared" si="7"/>
        <v>6.929880694599032</v>
      </c>
    </row>
    <row r="62" spans="2:12" ht="44.25" customHeight="1">
      <c r="B62" s="68" t="s">
        <v>66</v>
      </c>
      <c r="C62" s="76">
        <f aca="true" t="shared" si="8" ref="C62:I62">C59-C60</f>
        <v>216575509381.14</v>
      </c>
      <c r="D62" s="76">
        <f t="shared" si="8"/>
        <v>148513459512.09</v>
      </c>
      <c r="E62" s="76">
        <f t="shared" si="8"/>
        <v>53165384022.02</v>
      </c>
      <c r="F62" s="76">
        <f t="shared" si="8"/>
        <v>5499408830.1</v>
      </c>
      <c r="G62" s="76">
        <f t="shared" si="8"/>
        <v>9755967.17</v>
      </c>
      <c r="H62" s="76">
        <f t="shared" si="8"/>
        <v>26055827.78</v>
      </c>
      <c r="I62" s="92">
        <f t="shared" si="8"/>
        <v>0</v>
      </c>
      <c r="J62" s="92"/>
      <c r="K62" s="60">
        <f t="shared" si="6"/>
        <v>91.62404084491742</v>
      </c>
      <c r="L62" s="60">
        <f t="shared" si="7"/>
        <v>24.54819761197329</v>
      </c>
    </row>
    <row r="63" spans="2:12" ht="22.5" customHeight="1">
      <c r="B63" s="21" t="s">
        <v>112</v>
      </c>
      <c r="C63" s="23">
        <f>87885510017.92</f>
        <v>87885510017.92</v>
      </c>
      <c r="D63" s="23">
        <f>73994336188.83</f>
        <v>73994336188.83</v>
      </c>
      <c r="E63" s="23">
        <f>24373137540.03</f>
        <v>24373137540.03</v>
      </c>
      <c r="F63" s="23">
        <f>2570761942.23</f>
        <v>2570761942.23</v>
      </c>
      <c r="G63" s="23">
        <f>473037.51</f>
        <v>473037.51</v>
      </c>
      <c r="H63" s="23">
        <f>2299478.59</f>
        <v>2299478.59</v>
      </c>
      <c r="I63" s="89">
        <f>0</f>
        <v>0</v>
      </c>
      <c r="J63" s="90"/>
      <c r="K63" s="35">
        <f t="shared" si="6"/>
        <v>42.00412337022842</v>
      </c>
      <c r="L63" s="35">
        <f t="shared" si="7"/>
        <v>27.732828238762313</v>
      </c>
    </row>
    <row r="64" spans="2:12" ht="22.5" customHeight="1">
      <c r="B64" s="21" t="s">
        <v>53</v>
      </c>
      <c r="C64" s="23">
        <f>23264867797.34</f>
        <v>23264867797.34</v>
      </c>
      <c r="D64" s="23">
        <f>14838344005.2</f>
        <v>14838344005.2</v>
      </c>
      <c r="E64" s="23">
        <f>5969323656.86</f>
        <v>5969323656.86</v>
      </c>
      <c r="F64" s="23">
        <f>159651201.82</f>
        <v>159651201.82</v>
      </c>
      <c r="G64" s="23">
        <f>1273747.64</f>
        <v>1273747.64</v>
      </c>
      <c r="H64" s="23">
        <f>8834137.2</f>
        <v>8834137.2</v>
      </c>
      <c r="I64" s="89">
        <f>0</f>
        <v>0</v>
      </c>
      <c r="J64" s="90"/>
      <c r="K64" s="35">
        <f t="shared" si="6"/>
        <v>10.287399679576168</v>
      </c>
      <c r="L64" s="35">
        <f t="shared" si="7"/>
        <v>25.658102632942988</v>
      </c>
    </row>
    <row r="65" spans="2:12" ht="22.5" customHeight="1">
      <c r="B65" s="21" t="s">
        <v>52</v>
      </c>
      <c r="C65" s="23">
        <f>2529460108.58</f>
        <v>2529460108.58</v>
      </c>
      <c r="D65" s="23">
        <f>1103920641.25</f>
        <v>1103920641.25</v>
      </c>
      <c r="E65" s="23">
        <f>372395116.79</f>
        <v>372395116.79</v>
      </c>
      <c r="F65" s="23">
        <f>55447328.29</f>
        <v>55447328.29</v>
      </c>
      <c r="G65" s="23">
        <f>0</f>
        <v>0</v>
      </c>
      <c r="H65" s="23">
        <f>14672.51</f>
        <v>14672.51</v>
      </c>
      <c r="I65" s="89">
        <f>0</f>
        <v>0</v>
      </c>
      <c r="J65" s="90"/>
      <c r="K65" s="35">
        <f t="shared" si="6"/>
        <v>0.6417774651469237</v>
      </c>
      <c r="L65" s="35">
        <f t="shared" si="7"/>
        <v>14.722316257403122</v>
      </c>
    </row>
    <row r="66" spans="2:12" ht="33.75" customHeight="1">
      <c r="B66" s="21" t="s">
        <v>69</v>
      </c>
      <c r="C66" s="23">
        <f>500486750.5</f>
        <v>500486750.5</v>
      </c>
      <c r="D66" s="23">
        <f>68493320.44</f>
        <v>68493320.44</v>
      </c>
      <c r="E66" s="23">
        <f>5581414.11</f>
        <v>5581414.11</v>
      </c>
      <c r="F66" s="23">
        <f>1466204.11</f>
        <v>1466204.11</v>
      </c>
      <c r="G66" s="23">
        <f>0</f>
        <v>0</v>
      </c>
      <c r="H66" s="23">
        <f>841204.09</f>
        <v>841204.09</v>
      </c>
      <c r="I66" s="89">
        <f>0</f>
        <v>0</v>
      </c>
      <c r="J66" s="90"/>
      <c r="K66" s="35">
        <f t="shared" si="6"/>
        <v>0.009618884990565112</v>
      </c>
      <c r="L66" s="35">
        <f t="shared" si="7"/>
        <v>1.1151971764335447</v>
      </c>
    </row>
    <row r="67" spans="2:12" ht="30" customHeight="1">
      <c r="B67" s="21" t="s">
        <v>71</v>
      </c>
      <c r="C67" s="23">
        <f>38355722636.37</f>
        <v>38355722636.37</v>
      </c>
      <c r="D67" s="23">
        <f>24234631404.23</f>
        <v>24234631404.23</v>
      </c>
      <c r="E67" s="23">
        <f>10009519595.02</f>
        <v>10009519595.02</v>
      </c>
      <c r="F67" s="23">
        <f>562561750.89</f>
        <v>562561750.89</v>
      </c>
      <c r="G67" s="23">
        <f>34946.72</f>
        <v>34946.72</v>
      </c>
      <c r="H67" s="23">
        <f>109138.85</f>
        <v>109138.85</v>
      </c>
      <c r="I67" s="89">
        <f>0</f>
        <v>0</v>
      </c>
      <c r="J67" s="90"/>
      <c r="K67" s="35">
        <f t="shared" si="6"/>
        <v>17.25018353732317</v>
      </c>
      <c r="L67" s="35">
        <f t="shared" si="7"/>
        <v>26.096548069019263</v>
      </c>
    </row>
    <row r="68" spans="2:12" ht="22.5" customHeight="1">
      <c r="B68" s="21" t="s">
        <v>51</v>
      </c>
      <c r="C68" s="23">
        <f aca="true" t="shared" si="9" ref="C68:I68">C62-C63-C64-C65-C66-C67</f>
        <v>64039462070.430016</v>
      </c>
      <c r="D68" s="23">
        <f t="shared" si="9"/>
        <v>34273733952.139996</v>
      </c>
      <c r="E68" s="23">
        <f t="shared" si="9"/>
        <v>12435426699.209995</v>
      </c>
      <c r="F68" s="23">
        <f t="shared" si="9"/>
        <v>2149520402.76</v>
      </c>
      <c r="G68" s="23">
        <f t="shared" si="9"/>
        <v>7974235.300000001</v>
      </c>
      <c r="H68" s="23">
        <f t="shared" si="9"/>
        <v>13957196.540000003</v>
      </c>
      <c r="I68" s="89">
        <f t="shared" si="9"/>
        <v>0</v>
      </c>
      <c r="J68" s="90"/>
      <c r="K68" s="35">
        <f t="shared" si="6"/>
        <v>21.430937907652165</v>
      </c>
      <c r="L68" s="35">
        <f t="shared" si="7"/>
        <v>19.418380943821212</v>
      </c>
    </row>
    <row r="69" spans="2:13" ht="24" customHeight="1">
      <c r="B69" s="20" t="s">
        <v>15</v>
      </c>
      <c r="C69" s="26">
        <f>C6-C59</f>
        <v>-20460222296.090027</v>
      </c>
      <c r="D69" s="26"/>
      <c r="E69" s="26">
        <f>D6-E59</f>
        <v>11024862869.759995</v>
      </c>
      <c r="F69" s="26"/>
      <c r="G69" s="26"/>
      <c r="H69" s="26"/>
      <c r="I69" s="91"/>
      <c r="J69" s="91"/>
      <c r="K69" s="27"/>
      <c r="L69" s="27"/>
      <c r="M69" s="14"/>
    </row>
    <row r="70" spans="2:13" ht="38.25">
      <c r="B70" s="61" t="s">
        <v>80</v>
      </c>
      <c r="C70" s="62">
        <f>+C50-C62</f>
        <v>14433261458.46997</v>
      </c>
      <c r="D70" s="62"/>
      <c r="E70" s="62">
        <f>+D50-E62</f>
        <v>12601339232.739998</v>
      </c>
      <c r="F70" s="62"/>
      <c r="G70" s="62"/>
      <c r="H70" s="62"/>
      <c r="I70" s="101"/>
      <c r="J70" s="102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36284758460.32</f>
        <v>36284758460.32</v>
      </c>
      <c r="D73" s="76">
        <f>18698451571.46</f>
        <v>18698451571.46</v>
      </c>
      <c r="E73" s="76">
        <f>3404630688.56</f>
        <v>3404630688.56</v>
      </c>
      <c r="F73" s="76">
        <f>611405960.81</f>
        <v>611405960.81</v>
      </c>
      <c r="G73" s="76">
        <f>1774770.82</f>
        <v>1774770.82</v>
      </c>
      <c r="H73" s="76">
        <f>2790097.61</f>
        <v>2790097.61</v>
      </c>
      <c r="I73" s="92">
        <f>0</f>
        <v>0</v>
      </c>
      <c r="J73" s="92"/>
      <c r="K73" s="60">
        <f>IF($E$73=0,"",100*$E73/$E$73)</f>
        <v>100</v>
      </c>
      <c r="L73" s="60">
        <f>IF(C73=0,"",100*E73/C73)</f>
        <v>9.38308764624466</v>
      </c>
      <c r="M73" s="11"/>
    </row>
    <row r="74" spans="2:13" ht="21.75" customHeight="1">
      <c r="B74" s="78" t="s">
        <v>78</v>
      </c>
      <c r="C74" s="79">
        <f>31257691857.28</f>
        <v>31257691857.28</v>
      </c>
      <c r="D74" s="79">
        <f>16254452488.02</f>
        <v>16254452488.02</v>
      </c>
      <c r="E74" s="79">
        <f>2491392430.73</f>
        <v>2491392430.73</v>
      </c>
      <c r="F74" s="79">
        <f>569582772.95</f>
        <v>569582772.95</v>
      </c>
      <c r="G74" s="79">
        <f>1774770.82</f>
        <v>1774770.82</v>
      </c>
      <c r="H74" s="79">
        <f>2775606.24</f>
        <v>2775606.24</v>
      </c>
      <c r="I74" s="88">
        <f>0</f>
        <v>0</v>
      </c>
      <c r="J74" s="88"/>
      <c r="K74" s="80">
        <f>IF($E$73=0,"",100*$E74/$E$73)</f>
        <v>73.17658385390818</v>
      </c>
      <c r="L74" s="80">
        <f>IF(C74=0,"",100*E74/C74)</f>
        <v>7.970493925480771</v>
      </c>
      <c r="M74" s="11"/>
    </row>
    <row r="75" spans="2:12" ht="24" customHeight="1">
      <c r="B75" s="78" t="s">
        <v>79</v>
      </c>
      <c r="C75" s="79">
        <f aca="true" t="shared" si="10" ref="C75:I75">C73-C74</f>
        <v>5027066603.040001</v>
      </c>
      <c r="D75" s="79">
        <f t="shared" si="10"/>
        <v>2443999083.4399986</v>
      </c>
      <c r="E75" s="79">
        <f t="shared" si="10"/>
        <v>913238257.8299999</v>
      </c>
      <c r="F75" s="79">
        <f t="shared" si="10"/>
        <v>41823187.859999895</v>
      </c>
      <c r="G75" s="79">
        <f t="shared" si="10"/>
        <v>0</v>
      </c>
      <c r="H75" s="79">
        <f t="shared" si="10"/>
        <v>14491.369999999646</v>
      </c>
      <c r="I75" s="88">
        <f t="shared" si="10"/>
        <v>0</v>
      </c>
      <c r="J75" s="88"/>
      <c r="K75" s="80">
        <f>IF($E$73=0,"",100*$E75/$E$73)</f>
        <v>26.823416146091816</v>
      </c>
      <c r="L75" s="80">
        <f>IF(C75=0,"",100*E75/C75)</f>
        <v>18.166424476607105</v>
      </c>
    </row>
    <row r="76" spans="2:13" ht="20.25">
      <c r="B76" s="94" t="s">
        <v>113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8" ht="12.75">
      <c r="B77" s="41" t="s">
        <v>16</v>
      </c>
      <c r="C77" s="107" t="s">
        <v>17</v>
      </c>
      <c r="D77" s="108"/>
      <c r="E77" s="107" t="s">
        <v>1</v>
      </c>
      <c r="F77" s="108"/>
      <c r="G77" s="19" t="s">
        <v>26</v>
      </c>
      <c r="H77" s="19" t="s">
        <v>27</v>
      </c>
    </row>
    <row r="78" spans="2:8" ht="12.75">
      <c r="B78" s="41"/>
      <c r="C78" s="98" t="s">
        <v>81</v>
      </c>
      <c r="D78" s="105"/>
      <c r="E78" s="105"/>
      <c r="F78" s="106"/>
      <c r="G78" s="103" t="s">
        <v>4</v>
      </c>
      <c r="H78" s="104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30865437899.94</f>
        <v>30865437899.94</v>
      </c>
      <c r="D80" s="46"/>
      <c r="E80" s="45">
        <f>27615157061.42</f>
        <v>27615157061.42</v>
      </c>
      <c r="F80" s="46"/>
      <c r="G80" s="42">
        <f>IF($E$80=0,"",100*$E80/$E$80)</f>
        <v>100</v>
      </c>
      <c r="H80" s="34">
        <f>IF(C80=0,"",100*E80/C80)</f>
        <v>89.46951328195374</v>
      </c>
    </row>
    <row r="81" spans="2:8" ht="33.75">
      <c r="B81" s="37" t="s">
        <v>100</v>
      </c>
      <c r="C81" s="47">
        <f>19944755467.85</f>
        <v>19944755467.85</v>
      </c>
      <c r="D81" s="48"/>
      <c r="E81" s="47">
        <f>774124865.19</f>
        <v>774124865.19</v>
      </c>
      <c r="F81" s="48"/>
      <c r="G81" s="58">
        <f aca="true" t="shared" si="11" ref="G81:G87">IF($E$80=0,"",100*$E81/$E$80)</f>
        <v>2.8032607725831045</v>
      </c>
      <c r="H81" s="59">
        <f aca="true" t="shared" si="12" ref="H81:H92">IF(C81=0,"",100*E81/C81)</f>
        <v>3.8813454817124864</v>
      </c>
    </row>
    <row r="82" spans="2:8" ht="22.5">
      <c r="B82" s="30" t="s">
        <v>101</v>
      </c>
      <c r="C82" s="82">
        <f>391595912.1</f>
        <v>391595912.1</v>
      </c>
      <c r="D82" s="83"/>
      <c r="E82" s="82">
        <f>3700000</f>
        <v>3700000</v>
      </c>
      <c r="F82" s="83"/>
      <c r="G82" s="84">
        <f t="shared" si="11"/>
        <v>0.013398439095496284</v>
      </c>
      <c r="H82" s="80">
        <f t="shared" si="12"/>
        <v>0.944851538454045</v>
      </c>
    </row>
    <row r="83" spans="2:8" ht="12.75">
      <c r="B83" s="85" t="s">
        <v>102</v>
      </c>
      <c r="C83" s="82">
        <f>186817871.71</f>
        <v>186817871.71</v>
      </c>
      <c r="D83" s="83"/>
      <c r="E83" s="82">
        <f>28023612.59</f>
        <v>28023612.59</v>
      </c>
      <c r="F83" s="83"/>
      <c r="G83" s="84">
        <f t="shared" si="11"/>
        <v>0.10147909906024268</v>
      </c>
      <c r="H83" s="80">
        <f t="shared" si="12"/>
        <v>15.00049879248247</v>
      </c>
    </row>
    <row r="84" spans="2:8" ht="12.75">
      <c r="B84" s="85" t="s">
        <v>103</v>
      </c>
      <c r="C84" s="82">
        <f>1426771301.83</f>
        <v>1426771301.83</v>
      </c>
      <c r="D84" s="83"/>
      <c r="E84" s="82">
        <f>2324888849.9</f>
        <v>2324888849.9</v>
      </c>
      <c r="F84" s="83"/>
      <c r="G84" s="84">
        <f t="shared" si="11"/>
        <v>8.418886934914473</v>
      </c>
      <c r="H84" s="80">
        <f t="shared" si="12"/>
        <v>162.9475478598469</v>
      </c>
    </row>
    <row r="85" spans="2:8" ht="12.75">
      <c r="B85" s="85" t="s">
        <v>104</v>
      </c>
      <c r="C85" s="82">
        <f>0.53</f>
        <v>0.53</v>
      </c>
      <c r="D85" s="83"/>
      <c r="E85" s="82">
        <f>0.53</f>
        <v>0.53</v>
      </c>
      <c r="F85" s="83"/>
      <c r="G85" s="84">
        <f t="shared" si="11"/>
        <v>1.9192358704359545E-09</v>
      </c>
      <c r="H85" s="80">
        <f t="shared" si="12"/>
        <v>100</v>
      </c>
    </row>
    <row r="86" spans="2:8" ht="33.75">
      <c r="B86" s="85" t="s">
        <v>105</v>
      </c>
      <c r="C86" s="82">
        <f>8965155732.66</f>
        <v>8965155732.66</v>
      </c>
      <c r="D86" s="83"/>
      <c r="E86" s="82">
        <f>24435054002.64</f>
        <v>24435054002.64</v>
      </c>
      <c r="F86" s="83"/>
      <c r="G86" s="84">
        <f t="shared" si="11"/>
        <v>88.48421158095533</v>
      </c>
      <c r="H86" s="80">
        <f t="shared" si="12"/>
        <v>272.55582313671664</v>
      </c>
    </row>
    <row r="87" spans="2:8" ht="12.75">
      <c r="B87" s="85" t="s">
        <v>83</v>
      </c>
      <c r="C87" s="82">
        <f>341937525.36</f>
        <v>341937525.36</v>
      </c>
      <c r="D87" s="83"/>
      <c r="E87" s="82">
        <f>53065730.57</f>
        <v>53065730.57</v>
      </c>
      <c r="F87" s="83"/>
      <c r="G87" s="84">
        <f t="shared" si="11"/>
        <v>0.1921616105676109</v>
      </c>
      <c r="H87" s="80">
        <f t="shared" si="12"/>
        <v>15.519130435927185</v>
      </c>
    </row>
    <row r="88" spans="2:8" ht="25.5">
      <c r="B88" s="38" t="s">
        <v>68</v>
      </c>
      <c r="C88" s="55">
        <f>10403023374.91</f>
        <v>10403023374.91</v>
      </c>
      <c r="D88" s="56"/>
      <c r="E88" s="55">
        <f>2798370516.86</f>
        <v>2798370516.86</v>
      </c>
      <c r="F88" s="56"/>
      <c r="G88" s="42">
        <f>IF($E$88=0,"",100*$E88/$E$88)</f>
        <v>100</v>
      </c>
      <c r="H88" s="34">
        <f t="shared" si="12"/>
        <v>26.899588859995326</v>
      </c>
    </row>
    <row r="89" spans="2:8" ht="33.75">
      <c r="B89" s="37" t="s">
        <v>106</v>
      </c>
      <c r="C89" s="47">
        <f>9379699220.64</f>
        <v>9379699220.64</v>
      </c>
      <c r="D89" s="53"/>
      <c r="E89" s="54">
        <f>1807734838.42</f>
        <v>1807734838.42</v>
      </c>
      <c r="F89" s="53"/>
      <c r="G89" s="58">
        <f>IF($E$88=0,"",100*$E89/$E$88)</f>
        <v>64.59955275859703</v>
      </c>
      <c r="H89" s="59">
        <f t="shared" si="12"/>
        <v>19.272844425992734</v>
      </c>
    </row>
    <row r="90" spans="2:8" ht="22.5">
      <c r="B90" s="30" t="s">
        <v>107</v>
      </c>
      <c r="C90" s="82">
        <f>878134760</f>
        <v>878134760</v>
      </c>
      <c r="D90" s="83"/>
      <c r="E90" s="82">
        <f>6925000</f>
        <v>6925000</v>
      </c>
      <c r="F90" s="83"/>
      <c r="G90" s="84">
        <f>IF($E$88=0,"",100*$E90/$E$88)</f>
        <v>0.24746544313118388</v>
      </c>
      <c r="H90" s="80">
        <f t="shared" si="12"/>
        <v>0.7886033346408016</v>
      </c>
    </row>
    <row r="91" spans="2:8" ht="12.75">
      <c r="B91" s="85" t="s">
        <v>108</v>
      </c>
      <c r="C91" s="82">
        <f>213371999.57</f>
        <v>213371999.57</v>
      </c>
      <c r="D91" s="83"/>
      <c r="E91" s="82">
        <f>108547868.15</f>
        <v>108547868.15</v>
      </c>
      <c r="F91" s="83"/>
      <c r="G91" s="84">
        <f>IF($E$88=0,"",100*$E91/$E$88)</f>
        <v>3.8789669736729344</v>
      </c>
      <c r="H91" s="80">
        <f t="shared" si="12"/>
        <v>50.872592640436494</v>
      </c>
    </row>
    <row r="92" spans="2:8" ht="12.75">
      <c r="B92" s="36" t="s">
        <v>33</v>
      </c>
      <c r="C92" s="47">
        <f>809952154.7</f>
        <v>809952154.7</v>
      </c>
      <c r="D92" s="50"/>
      <c r="E92" s="47">
        <f>882087810.29</f>
        <v>882087810.29</v>
      </c>
      <c r="F92" s="50"/>
      <c r="G92" s="58">
        <f>IF($E$88=0,"",100*$E92/$E$88)</f>
        <v>31.521480267730038</v>
      </c>
      <c r="H92" s="59">
        <f t="shared" si="12"/>
        <v>108.90616256422189</v>
      </c>
    </row>
    <row r="94" spans="2:8" ht="12.75">
      <c r="B94" s="41" t="s">
        <v>16</v>
      </c>
      <c r="C94" s="107" t="s">
        <v>17</v>
      </c>
      <c r="D94" s="108"/>
      <c r="E94" s="107" t="s">
        <v>1</v>
      </c>
      <c r="F94" s="108"/>
      <c r="G94" s="19" t="s">
        <v>26</v>
      </c>
      <c r="H94" s="19" t="s">
        <v>27</v>
      </c>
    </row>
    <row r="95" spans="2:8" ht="12.75">
      <c r="B95" s="41"/>
      <c r="C95" s="98" t="s">
        <v>81</v>
      </c>
      <c r="D95" s="105"/>
      <c r="E95" s="105"/>
      <c r="F95" s="106"/>
      <c r="G95" s="103" t="s">
        <v>4</v>
      </c>
      <c r="H95" s="104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21250694572.66</f>
        <v>21250694572.66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275050980.44</f>
        <v>275050980.44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13800902430.19</f>
        <v>13800902430.19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855615111.46</f>
        <v>855615111.46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6319126050.57</f>
        <v>6319126050.57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107" t="s">
        <v>111</v>
      </c>
      <c r="D104" s="109"/>
      <c r="E104" s="109"/>
      <c r="F104" s="108"/>
    </row>
    <row r="105" spans="2:6" ht="12.75">
      <c r="B105" s="41"/>
      <c r="C105" s="98" t="s">
        <v>81</v>
      </c>
      <c r="D105" s="105"/>
      <c r="E105" s="105"/>
      <c r="F105" s="106"/>
    </row>
    <row r="106" spans="2:6" ht="12.75">
      <c r="B106" s="39">
        <v>1</v>
      </c>
      <c r="C106" s="110">
        <v>2</v>
      </c>
      <c r="D106" s="111"/>
      <c r="E106" s="111"/>
      <c r="F106" s="112"/>
    </row>
    <row r="107" spans="2:6" ht="56.25">
      <c r="B107" s="57" t="s">
        <v>90</v>
      </c>
      <c r="C107" s="113">
        <f>656348745.02</f>
        <v>656348745.02</v>
      </c>
      <c r="D107" s="109"/>
      <c r="E107" s="109"/>
      <c r="F107" s="108"/>
    </row>
    <row r="108" spans="2:6" ht="45">
      <c r="B108" s="86" t="s">
        <v>91</v>
      </c>
      <c r="C108" s="113">
        <f>384821176.45</f>
        <v>384821176.45</v>
      </c>
      <c r="D108" s="109"/>
      <c r="E108" s="109"/>
      <c r="F108" s="108"/>
    </row>
    <row r="109" spans="2:6" ht="45">
      <c r="B109" s="86" t="s">
        <v>92</v>
      </c>
      <c r="C109" s="113">
        <f>128098360.96</f>
        <v>128098360.96</v>
      </c>
      <c r="D109" s="109"/>
      <c r="E109" s="109"/>
      <c r="F109" s="108"/>
    </row>
    <row r="110" spans="2:6" ht="78.75">
      <c r="B110" s="86" t="s">
        <v>93</v>
      </c>
      <c r="C110" s="113">
        <f>249999</f>
        <v>249999</v>
      </c>
      <c r="D110" s="109"/>
      <c r="E110" s="109"/>
      <c r="F110" s="108"/>
    </row>
    <row r="111" spans="2:6" ht="56.25">
      <c r="B111" s="86" t="s">
        <v>94</v>
      </c>
      <c r="C111" s="113">
        <f>130640760</f>
        <v>130640760</v>
      </c>
      <c r="D111" s="109"/>
      <c r="E111" s="109"/>
      <c r="F111" s="108"/>
    </row>
    <row r="112" spans="2:6" ht="56.25">
      <c r="B112" s="86" t="s">
        <v>95</v>
      </c>
      <c r="C112" s="113">
        <f>10034762.37</f>
        <v>10034762.37</v>
      </c>
      <c r="D112" s="109"/>
      <c r="E112" s="109"/>
      <c r="F112" s="108"/>
    </row>
    <row r="113" spans="2:6" ht="56.25">
      <c r="B113" s="86" t="s">
        <v>96</v>
      </c>
      <c r="C113" s="113">
        <f>0</f>
        <v>0</v>
      </c>
      <c r="D113" s="109"/>
      <c r="E113" s="109"/>
      <c r="F113" s="108"/>
    </row>
    <row r="114" spans="2:6" ht="112.5">
      <c r="B114" s="86" t="s">
        <v>109</v>
      </c>
      <c r="C114" s="113">
        <f>5137851.44</f>
        <v>5137851.44</v>
      </c>
      <c r="D114" s="109"/>
      <c r="E114" s="109"/>
      <c r="F114" s="108"/>
    </row>
    <row r="115" spans="2:6" ht="112.5">
      <c r="B115" s="86" t="s">
        <v>110</v>
      </c>
      <c r="C115" s="113">
        <f>2731450.05</f>
        <v>2731450.05</v>
      </c>
      <c r="D115" s="109"/>
      <c r="E115" s="109"/>
      <c r="F115" s="108"/>
    </row>
  </sheetData>
  <sheetProtection/>
  <mergeCells count="54">
    <mergeCell ref="C112:F112"/>
    <mergeCell ref="C113:F113"/>
    <mergeCell ref="C114:F114"/>
    <mergeCell ref="C115:F115"/>
    <mergeCell ref="C111:F111"/>
    <mergeCell ref="C108:F108"/>
    <mergeCell ref="C109:F109"/>
    <mergeCell ref="C110:F110"/>
    <mergeCell ref="C104:F104"/>
    <mergeCell ref="C106:F106"/>
    <mergeCell ref="C107:F107"/>
    <mergeCell ref="C77:D77"/>
    <mergeCell ref="E77:F77"/>
    <mergeCell ref="C78:F78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2019-05-21T11:50:04Z</dcterms:modified>
  <cp:category/>
  <cp:version/>
  <cp:contentType/>
  <cp:contentStatus/>
</cp:coreProperties>
</file>