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wodzynska\Desktop\plan fin 2016\"/>
    </mc:Choice>
  </mc:AlternateContent>
  <bookViews>
    <workbookView xWindow="0" yWindow="0" windowWidth="10500" windowHeight="465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WarmińskoMazurski!$A$6:$C$63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CENTRALA!$A$1:$F$64</definedName>
    <definedName name="_xlnm.Print_Area" localSheetId="3">Dolnośląski!$A$1:$F$64</definedName>
    <definedName name="_xlnm.Print_Area" localSheetId="4">KujawskoPomorski!$A$1:$F$64</definedName>
    <definedName name="_xlnm.Print_Area" localSheetId="5">Lubelski!$A$1:$F$64</definedName>
    <definedName name="_xlnm.Print_Area" localSheetId="6">Lubuski!$A$1:$F$64</definedName>
    <definedName name="_xlnm.Print_Area" localSheetId="7">Łódzki!$A$1:$F$64</definedName>
    <definedName name="_xlnm.Print_Area" localSheetId="8">Małopolski!$A$1:$F$64</definedName>
    <definedName name="_xlnm.Print_Area" localSheetId="9">Mazowiecki!$A$1:$F$64</definedName>
    <definedName name="_xlnm.Print_Area" localSheetId="0">NFZ!$A$1:$F$92</definedName>
    <definedName name="_xlnm.Print_Area" localSheetId="10">Opolski!$A$1:$F$64</definedName>
    <definedName name="_xlnm.Print_Area" localSheetId="11">Podkarpacki!$A$1:$F$64</definedName>
    <definedName name="_xlnm.Print_Area" localSheetId="12">Podlaski!$A$1:$F$64</definedName>
    <definedName name="_xlnm.Print_Area" localSheetId="13">Pomorski!$A$1:$F$64</definedName>
    <definedName name="_xlnm.Print_Area" localSheetId="2">'Razem OW'!$A$1:$F$64</definedName>
    <definedName name="_xlnm.Print_Area" localSheetId="14">Śląski!$A$1:$F$64</definedName>
    <definedName name="_xlnm.Print_Area" localSheetId="15">Świętokrzyski!$A$1:$F$64</definedName>
    <definedName name="_xlnm.Print_Area" localSheetId="16">WarmińskoMazurski!$A$1:$F$64</definedName>
    <definedName name="_xlnm.Print_Area" localSheetId="17">Wielkopolski!$A$1:$F$64</definedName>
    <definedName name="_xlnm.Print_Area" localSheetId="18">Zachodniopomorski!$A$1:$F$64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A1" i="22" l="1"/>
  <c r="A1" i="20" s="1"/>
  <c r="A1" i="19" s="1"/>
  <c r="A1" i="18" s="1"/>
  <c r="A1" i="17" s="1"/>
  <c r="A1" i="16" s="1"/>
  <c r="A1" i="15" s="1"/>
  <c r="A1" i="14" s="1"/>
  <c r="A1" i="13" s="1"/>
  <c r="A1" i="12" s="1"/>
  <c r="A1" i="11" s="1"/>
  <c r="A1" i="10" s="1"/>
  <c r="A1" i="9" s="1"/>
  <c r="A1" i="8" s="1"/>
  <c r="A1" i="7" s="1"/>
  <c r="A1" i="6" s="1"/>
  <c r="A1" i="5" s="1"/>
  <c r="A1" i="3" s="1"/>
  <c r="C64" i="3" l="1"/>
  <c r="D64" i="3" s="1"/>
  <c r="C63" i="3"/>
  <c r="D63" i="3" s="1"/>
  <c r="C62" i="3"/>
  <c r="C61" i="3"/>
  <c r="C60" i="3"/>
  <c r="C58" i="3"/>
  <c r="C57" i="3"/>
  <c r="C56" i="3"/>
  <c r="C55" i="3"/>
  <c r="C54" i="3"/>
  <c r="C53" i="3"/>
  <c r="C52" i="3"/>
  <c r="C50" i="3"/>
  <c r="C49" i="3"/>
  <c r="C48" i="3"/>
  <c r="C47" i="3"/>
  <c r="C46" i="3"/>
  <c r="C45" i="3"/>
  <c r="C44" i="3"/>
  <c r="C43" i="3"/>
  <c r="C42" i="3"/>
  <c r="C40" i="3"/>
  <c r="C39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4" i="5"/>
  <c r="C63" i="5"/>
  <c r="C62" i="5"/>
  <c r="C61" i="5"/>
  <c r="C60" i="5"/>
  <c r="C58" i="5"/>
  <c r="C57" i="5"/>
  <c r="C56" i="5"/>
  <c r="C55" i="5"/>
  <c r="C54" i="5"/>
  <c r="C53" i="5"/>
  <c r="C52" i="5"/>
  <c r="C50" i="5"/>
  <c r="C49" i="5"/>
  <c r="C48" i="5"/>
  <c r="C47" i="5"/>
  <c r="C46" i="5"/>
  <c r="C45" i="5"/>
  <c r="C44" i="5"/>
  <c r="C43" i="5"/>
  <c r="C42" i="5"/>
  <c r="C40" i="5"/>
  <c r="C39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4" i="6"/>
  <c r="C63" i="6"/>
  <c r="C62" i="6"/>
  <c r="C61" i="6"/>
  <c r="C60" i="6"/>
  <c r="C58" i="6"/>
  <c r="C57" i="6"/>
  <c r="C56" i="6"/>
  <c r="C55" i="6"/>
  <c r="C54" i="6"/>
  <c r="C53" i="6"/>
  <c r="C52" i="6"/>
  <c r="C50" i="6"/>
  <c r="C49" i="6"/>
  <c r="C48" i="6"/>
  <c r="C47" i="6"/>
  <c r="C46" i="6"/>
  <c r="C45" i="6"/>
  <c r="C44" i="6"/>
  <c r="C43" i="6"/>
  <c r="C42" i="6"/>
  <c r="C40" i="6"/>
  <c r="C39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4" i="7"/>
  <c r="C63" i="7"/>
  <c r="C62" i="7"/>
  <c r="C61" i="7"/>
  <c r="C60" i="7"/>
  <c r="C58" i="7"/>
  <c r="C57" i="7"/>
  <c r="C56" i="7"/>
  <c r="C55" i="7"/>
  <c r="C54" i="7"/>
  <c r="C53" i="7"/>
  <c r="C52" i="7"/>
  <c r="C50" i="7"/>
  <c r="C49" i="7"/>
  <c r="C48" i="7"/>
  <c r="C47" i="7"/>
  <c r="C46" i="7"/>
  <c r="C45" i="7"/>
  <c r="C44" i="7"/>
  <c r="C43" i="7"/>
  <c r="C42" i="7"/>
  <c r="C40" i="7"/>
  <c r="C39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4" i="8"/>
  <c r="C63" i="8"/>
  <c r="C62" i="8"/>
  <c r="C61" i="8"/>
  <c r="C60" i="8"/>
  <c r="C58" i="8"/>
  <c r="C57" i="8"/>
  <c r="C56" i="8"/>
  <c r="C55" i="8"/>
  <c r="C54" i="8"/>
  <c r="C53" i="8"/>
  <c r="C52" i="8"/>
  <c r="C50" i="8"/>
  <c r="C49" i="8"/>
  <c r="C48" i="8"/>
  <c r="C47" i="8"/>
  <c r="C46" i="8"/>
  <c r="C45" i="8"/>
  <c r="C44" i="8"/>
  <c r="C43" i="8"/>
  <c r="C42" i="8"/>
  <c r="C40" i="8"/>
  <c r="C39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4" i="9"/>
  <c r="C63" i="9"/>
  <c r="C62" i="9"/>
  <c r="C61" i="9"/>
  <c r="C60" i="9"/>
  <c r="C58" i="9"/>
  <c r="C57" i="9"/>
  <c r="C56" i="9"/>
  <c r="C55" i="9"/>
  <c r="C54" i="9"/>
  <c r="C53" i="9"/>
  <c r="C52" i="9"/>
  <c r="C50" i="9"/>
  <c r="C49" i="9"/>
  <c r="C48" i="9"/>
  <c r="C47" i="9"/>
  <c r="C46" i="9"/>
  <c r="C45" i="9"/>
  <c r="C44" i="9"/>
  <c r="C43" i="9"/>
  <c r="C42" i="9"/>
  <c r="C40" i="9"/>
  <c r="C39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4" i="10"/>
  <c r="C63" i="10"/>
  <c r="C62" i="10"/>
  <c r="C61" i="10"/>
  <c r="C60" i="10"/>
  <c r="C58" i="10"/>
  <c r="C57" i="10"/>
  <c r="C56" i="10"/>
  <c r="C55" i="10"/>
  <c r="C54" i="10"/>
  <c r="C53" i="10"/>
  <c r="C52" i="10"/>
  <c r="C50" i="10"/>
  <c r="C49" i="10"/>
  <c r="C48" i="10"/>
  <c r="C47" i="10"/>
  <c r="C46" i="10"/>
  <c r="C45" i="10"/>
  <c r="C44" i="10"/>
  <c r="C43" i="10"/>
  <c r="C42" i="10"/>
  <c r="C40" i="10"/>
  <c r="C39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4" i="11"/>
  <c r="C63" i="11"/>
  <c r="C62" i="11"/>
  <c r="C61" i="11"/>
  <c r="C60" i="11"/>
  <c r="C58" i="11"/>
  <c r="C57" i="11"/>
  <c r="C56" i="11"/>
  <c r="C55" i="11"/>
  <c r="C54" i="11"/>
  <c r="C53" i="11"/>
  <c r="C52" i="11"/>
  <c r="C50" i="11"/>
  <c r="C49" i="11"/>
  <c r="C48" i="11"/>
  <c r="C47" i="11"/>
  <c r="C46" i="11"/>
  <c r="C45" i="11"/>
  <c r="C44" i="11"/>
  <c r="C43" i="11"/>
  <c r="C42" i="11"/>
  <c r="C40" i="11"/>
  <c r="C39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4" i="12"/>
  <c r="C63" i="12"/>
  <c r="C62" i="12"/>
  <c r="C61" i="12"/>
  <c r="C60" i="12"/>
  <c r="C58" i="12"/>
  <c r="C57" i="12"/>
  <c r="C56" i="12"/>
  <c r="C55" i="12"/>
  <c r="C54" i="12"/>
  <c r="C53" i="12"/>
  <c r="C52" i="12"/>
  <c r="C50" i="12"/>
  <c r="C49" i="12"/>
  <c r="C48" i="12"/>
  <c r="C47" i="12"/>
  <c r="C46" i="12"/>
  <c r="C45" i="12"/>
  <c r="C44" i="12"/>
  <c r="C43" i="12"/>
  <c r="C42" i="12"/>
  <c r="C40" i="12"/>
  <c r="C39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4" i="13"/>
  <c r="C63" i="13"/>
  <c r="C62" i="13"/>
  <c r="C61" i="13"/>
  <c r="C60" i="13"/>
  <c r="C58" i="13"/>
  <c r="C57" i="13"/>
  <c r="C56" i="13"/>
  <c r="C55" i="13"/>
  <c r="C54" i="13"/>
  <c r="C53" i="13"/>
  <c r="C52" i="13"/>
  <c r="C50" i="13"/>
  <c r="C49" i="13"/>
  <c r="C48" i="13"/>
  <c r="C47" i="13"/>
  <c r="C46" i="13"/>
  <c r="C45" i="13"/>
  <c r="C44" i="13"/>
  <c r="C43" i="13"/>
  <c r="C42" i="13"/>
  <c r="C40" i="13"/>
  <c r="C39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4" i="14"/>
  <c r="C63" i="14"/>
  <c r="C62" i="14"/>
  <c r="C61" i="14"/>
  <c r="C60" i="14"/>
  <c r="C58" i="14"/>
  <c r="C57" i="14"/>
  <c r="C56" i="14"/>
  <c r="C55" i="14"/>
  <c r="C54" i="14"/>
  <c r="C53" i="14"/>
  <c r="C52" i="14"/>
  <c r="C50" i="14"/>
  <c r="C49" i="14"/>
  <c r="C48" i="14"/>
  <c r="C47" i="14"/>
  <c r="C46" i="14"/>
  <c r="C45" i="14"/>
  <c r="C44" i="14"/>
  <c r="C43" i="14"/>
  <c r="C42" i="14"/>
  <c r="C40" i="14"/>
  <c r="C39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4" i="15"/>
  <c r="C63" i="15"/>
  <c r="C62" i="15"/>
  <c r="C61" i="15"/>
  <c r="C60" i="15"/>
  <c r="C58" i="15"/>
  <c r="C57" i="15"/>
  <c r="C56" i="15"/>
  <c r="C55" i="15"/>
  <c r="C54" i="15"/>
  <c r="C53" i="15"/>
  <c r="C52" i="15"/>
  <c r="C50" i="15"/>
  <c r="C49" i="15"/>
  <c r="C48" i="15"/>
  <c r="C47" i="15"/>
  <c r="C46" i="15"/>
  <c r="C45" i="15"/>
  <c r="C44" i="15"/>
  <c r="C43" i="15"/>
  <c r="C42" i="15"/>
  <c r="C40" i="15"/>
  <c r="C39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4" i="16"/>
  <c r="C63" i="16"/>
  <c r="C62" i="16"/>
  <c r="C61" i="16"/>
  <c r="C60" i="16"/>
  <c r="C58" i="16"/>
  <c r="C57" i="16"/>
  <c r="C56" i="16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0" i="16"/>
  <c r="C39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4" i="17"/>
  <c r="C63" i="17"/>
  <c r="C62" i="17"/>
  <c r="C61" i="17"/>
  <c r="C60" i="17"/>
  <c r="C58" i="17"/>
  <c r="C57" i="17"/>
  <c r="C56" i="17"/>
  <c r="C55" i="17"/>
  <c r="C54" i="17"/>
  <c r="C53" i="17"/>
  <c r="C52" i="17"/>
  <c r="C50" i="17"/>
  <c r="C49" i="17"/>
  <c r="C48" i="17"/>
  <c r="C47" i="17"/>
  <c r="C46" i="17"/>
  <c r="C45" i="17"/>
  <c r="C44" i="17"/>
  <c r="C43" i="17"/>
  <c r="C42" i="17"/>
  <c r="C40" i="17"/>
  <c r="C39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4" i="18"/>
  <c r="C63" i="18"/>
  <c r="C62" i="18"/>
  <c r="C61" i="18"/>
  <c r="C60" i="18"/>
  <c r="C58" i="18"/>
  <c r="C57" i="18"/>
  <c r="C56" i="18"/>
  <c r="C55" i="18"/>
  <c r="C54" i="18"/>
  <c r="C53" i="18"/>
  <c r="C52" i="18"/>
  <c r="C50" i="18"/>
  <c r="C49" i="18"/>
  <c r="C48" i="18"/>
  <c r="C47" i="18"/>
  <c r="C46" i="18"/>
  <c r="C45" i="18"/>
  <c r="C44" i="18"/>
  <c r="C43" i="18"/>
  <c r="C42" i="18"/>
  <c r="C40" i="18"/>
  <c r="C39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4" i="19"/>
  <c r="C63" i="19"/>
  <c r="C62" i="19"/>
  <c r="C61" i="19"/>
  <c r="C60" i="19"/>
  <c r="C58" i="19"/>
  <c r="C57" i="19"/>
  <c r="C56" i="19"/>
  <c r="C55" i="19"/>
  <c r="C54" i="19"/>
  <c r="C53" i="19"/>
  <c r="C52" i="19"/>
  <c r="C50" i="19"/>
  <c r="C49" i="19"/>
  <c r="C48" i="19"/>
  <c r="C47" i="19"/>
  <c r="C46" i="19"/>
  <c r="C45" i="19"/>
  <c r="C44" i="19"/>
  <c r="C43" i="19"/>
  <c r="C42" i="19"/>
  <c r="C40" i="19"/>
  <c r="C39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4" i="22"/>
  <c r="C63" i="22"/>
  <c r="C62" i="22"/>
  <c r="C61" i="22"/>
  <c r="C60" i="22"/>
  <c r="C58" i="22"/>
  <c r="C57" i="22"/>
  <c r="C56" i="22"/>
  <c r="C55" i="22"/>
  <c r="C54" i="22"/>
  <c r="C53" i="22"/>
  <c r="C52" i="22"/>
  <c r="C50" i="22"/>
  <c r="C49" i="22"/>
  <c r="C48" i="22"/>
  <c r="C47" i="22"/>
  <c r="C46" i="22"/>
  <c r="C45" i="22"/>
  <c r="C44" i="22"/>
  <c r="C43" i="22"/>
  <c r="C42" i="22"/>
  <c r="C40" i="22"/>
  <c r="C39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88" i="23"/>
  <c r="C87" i="23"/>
  <c r="C80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D61" i="5" l="1"/>
  <c r="D64" i="7"/>
  <c r="D61" i="7"/>
  <c r="D64" i="8"/>
  <c r="D63" i="8"/>
  <c r="D61" i="8"/>
  <c r="D64" i="12"/>
  <c r="D63" i="12"/>
  <c r="D61" i="12"/>
  <c r="D64" i="13"/>
  <c r="D63" i="13"/>
  <c r="D61" i="13"/>
  <c r="D63" i="18"/>
  <c r="D61" i="18"/>
  <c r="D64" i="22"/>
  <c r="D63" i="22"/>
  <c r="D62" i="22"/>
  <c r="D61" i="22"/>
  <c r="D60" i="22"/>
  <c r="D88" i="23"/>
  <c r="D87" i="23"/>
  <c r="D80" i="23"/>
  <c r="D18" i="23"/>
  <c r="D61" i="17" l="1"/>
  <c r="D64" i="17" l="1"/>
  <c r="D64" i="6"/>
  <c r="D64" i="9"/>
  <c r="D64" i="10"/>
  <c r="D64" i="14"/>
  <c r="D64" i="15"/>
  <c r="D64" i="16"/>
  <c r="D64" i="19"/>
  <c r="D63" i="7" l="1"/>
  <c r="D60" i="9" l="1"/>
  <c r="D60" i="17"/>
  <c r="D61" i="3"/>
  <c r="D63" i="5"/>
  <c r="D63" i="6"/>
  <c r="D61" i="6"/>
  <c r="D63" i="9"/>
  <c r="D61" i="9"/>
  <c r="D63" i="10"/>
  <c r="D61" i="10"/>
  <c r="D61" i="11"/>
  <c r="D61" i="14"/>
  <c r="D63" i="15"/>
  <c r="D61" i="15"/>
  <c r="D63" i="16"/>
  <c r="D61" i="16"/>
  <c r="D63" i="17"/>
  <c r="D63" i="19"/>
  <c r="D61" i="19"/>
  <c r="C6" i="19" l="1"/>
  <c r="C6" i="18"/>
  <c r="C6" i="17"/>
  <c r="C6" i="16"/>
  <c r="C6" i="15"/>
  <c r="C6" i="14"/>
  <c r="C6" i="13"/>
  <c r="C6" i="12"/>
  <c r="C6" i="11"/>
  <c r="C6" i="10"/>
  <c r="C6" i="9"/>
  <c r="C6" i="8"/>
  <c r="C6" i="7"/>
  <c r="C6" i="6"/>
  <c r="C6" i="5"/>
  <c r="C6" i="3"/>
  <c r="C6" i="22"/>
  <c r="D22" i="23" l="1"/>
  <c r="D62" i="3"/>
  <c r="D55" i="3"/>
  <c r="D53" i="3"/>
  <c r="D50" i="3"/>
  <c r="D46" i="3"/>
  <c r="D42" i="3"/>
  <c r="D40" i="3"/>
  <c r="D39" i="3"/>
  <c r="D35" i="3"/>
  <c r="D34" i="3"/>
  <c r="D32" i="3"/>
  <c r="D29" i="3"/>
  <c r="D28" i="3"/>
  <c r="D25" i="3"/>
  <c r="D23" i="3"/>
  <c r="D19" i="3"/>
  <c r="D17" i="3"/>
  <c r="D16" i="3"/>
  <c r="D15" i="3"/>
  <c r="D12" i="3"/>
  <c r="D8" i="3"/>
  <c r="D7" i="3"/>
  <c r="D62" i="5"/>
  <c r="D60" i="5"/>
  <c r="D55" i="5"/>
  <c r="D53" i="5"/>
  <c r="D52" i="5"/>
  <c r="D50" i="5"/>
  <c r="D48" i="5"/>
  <c r="D47" i="5"/>
  <c r="D46" i="5"/>
  <c r="D45" i="5"/>
  <c r="D44" i="5"/>
  <c r="D43" i="5"/>
  <c r="D42" i="5"/>
  <c r="D40" i="5"/>
  <c r="D35" i="5"/>
  <c r="D34" i="5"/>
  <c r="D33" i="5"/>
  <c r="D32" i="5"/>
  <c r="D30" i="5"/>
  <c r="D29" i="5"/>
  <c r="D28" i="5"/>
  <c r="D26" i="5"/>
  <c r="D25" i="5"/>
  <c r="D22" i="5"/>
  <c r="D20" i="5"/>
  <c r="D18" i="5"/>
  <c r="D17" i="5"/>
  <c r="D16" i="5"/>
  <c r="D14" i="5"/>
  <c r="D13" i="5"/>
  <c r="D12" i="5"/>
  <c r="D10" i="5"/>
  <c r="D9" i="5"/>
  <c r="D8" i="5"/>
  <c r="C59" i="6"/>
  <c r="D58" i="6"/>
  <c r="D54" i="6"/>
  <c r="D50" i="6"/>
  <c r="D46" i="6"/>
  <c r="D42" i="6"/>
  <c r="D40" i="6"/>
  <c r="D35" i="6"/>
  <c r="D34" i="6"/>
  <c r="D32" i="6"/>
  <c r="D31" i="6"/>
  <c r="D28" i="6"/>
  <c r="D23" i="6"/>
  <c r="D20" i="6"/>
  <c r="D19" i="6"/>
  <c r="D16" i="6"/>
  <c r="D15" i="6"/>
  <c r="D12" i="6"/>
  <c r="C37" i="6"/>
  <c r="D7" i="6"/>
  <c r="D60" i="7"/>
  <c r="D57" i="7"/>
  <c r="D56" i="7"/>
  <c r="D55" i="7"/>
  <c r="D53" i="7"/>
  <c r="D52" i="7"/>
  <c r="D50" i="7"/>
  <c r="D47" i="7"/>
  <c r="D46" i="7"/>
  <c r="D42" i="7"/>
  <c r="D39" i="7"/>
  <c r="D36" i="7"/>
  <c r="D35" i="7"/>
  <c r="D33" i="7"/>
  <c r="D32" i="7"/>
  <c r="D29" i="7"/>
  <c r="D28" i="7"/>
  <c r="D22" i="7"/>
  <c r="D21" i="7"/>
  <c r="D20" i="7"/>
  <c r="D18" i="7"/>
  <c r="D17" i="7"/>
  <c r="D16" i="7"/>
  <c r="D15" i="7"/>
  <c r="D12" i="7"/>
  <c r="D11" i="7"/>
  <c r="D10" i="7"/>
  <c r="D9" i="7"/>
  <c r="D8" i="7"/>
  <c r="D7" i="7"/>
  <c r="D62" i="8"/>
  <c r="D57" i="8"/>
  <c r="D53" i="8"/>
  <c r="D50" i="8"/>
  <c r="D48" i="8"/>
  <c r="D46" i="8"/>
  <c r="D42" i="8"/>
  <c r="D40" i="8"/>
  <c r="D39" i="8"/>
  <c r="D35" i="8"/>
  <c r="D34" i="8"/>
  <c r="D32" i="8"/>
  <c r="D31" i="8"/>
  <c r="D29" i="8"/>
  <c r="D28" i="8"/>
  <c r="D27" i="8"/>
  <c r="D23" i="8"/>
  <c r="D21" i="8"/>
  <c r="D20" i="8"/>
  <c r="D19" i="8"/>
  <c r="D16" i="8"/>
  <c r="D15" i="8"/>
  <c r="D13" i="8"/>
  <c r="D12" i="8"/>
  <c r="D57" i="9"/>
  <c r="D56" i="9"/>
  <c r="D54" i="9"/>
  <c r="D53" i="9"/>
  <c r="D48" i="9"/>
  <c r="D47" i="9"/>
  <c r="D45" i="9"/>
  <c r="D43" i="9"/>
  <c r="D39" i="9"/>
  <c r="D36" i="9"/>
  <c r="D34" i="9"/>
  <c r="D33" i="9"/>
  <c r="D29" i="9"/>
  <c r="D26" i="9"/>
  <c r="D25" i="9"/>
  <c r="D22" i="9"/>
  <c r="D21" i="9"/>
  <c r="D18" i="9"/>
  <c r="D17" i="9"/>
  <c r="D13" i="9"/>
  <c r="D10" i="9"/>
  <c r="D9" i="9"/>
  <c r="D7" i="9"/>
  <c r="D58" i="10"/>
  <c r="D56" i="10"/>
  <c r="D54" i="10"/>
  <c r="D52" i="10"/>
  <c r="D50" i="10"/>
  <c r="D49" i="10"/>
  <c r="D45" i="10"/>
  <c r="D43" i="10"/>
  <c r="D42" i="10"/>
  <c r="D36" i="10"/>
  <c r="D35" i="10"/>
  <c r="D34" i="10"/>
  <c r="D33" i="10"/>
  <c r="D29" i="10"/>
  <c r="D28" i="10"/>
  <c r="D27" i="10"/>
  <c r="D25" i="10"/>
  <c r="D23" i="10"/>
  <c r="D21" i="10"/>
  <c r="D20" i="10"/>
  <c r="D19" i="10"/>
  <c r="D17" i="10"/>
  <c r="D16" i="10"/>
  <c r="D15" i="10"/>
  <c r="D13" i="10"/>
  <c r="D12" i="10"/>
  <c r="D8" i="10"/>
  <c r="D64" i="11"/>
  <c r="D62" i="11"/>
  <c r="D60" i="11"/>
  <c r="D57" i="11"/>
  <c r="D56" i="11"/>
  <c r="D53" i="11"/>
  <c r="D52" i="11"/>
  <c r="D50" i="11"/>
  <c r="D48" i="11"/>
  <c r="D47" i="11"/>
  <c r="D46" i="11"/>
  <c r="D44" i="11"/>
  <c r="D43" i="11"/>
  <c r="D42" i="11"/>
  <c r="D36" i="11"/>
  <c r="D33" i="11"/>
  <c r="D32" i="11"/>
  <c r="D30" i="11"/>
  <c r="D29" i="11"/>
  <c r="D26" i="11"/>
  <c r="D22" i="11"/>
  <c r="D21" i="11"/>
  <c r="D20" i="11"/>
  <c r="D17" i="11"/>
  <c r="D16" i="11"/>
  <c r="D14" i="11"/>
  <c r="D13" i="11"/>
  <c r="D12" i="11"/>
  <c r="D9" i="11"/>
  <c r="D8" i="11"/>
  <c r="D62" i="12"/>
  <c r="D60" i="12"/>
  <c r="D58" i="12"/>
  <c r="D55" i="12"/>
  <c r="D50" i="12"/>
  <c r="D48" i="12"/>
  <c r="D46" i="12"/>
  <c r="D45" i="12"/>
  <c r="D42" i="12"/>
  <c r="D35" i="12"/>
  <c r="D34" i="12"/>
  <c r="D32" i="12"/>
  <c r="D31" i="12"/>
  <c r="D29" i="12"/>
  <c r="D28" i="12"/>
  <c r="D27" i="12"/>
  <c r="D21" i="12"/>
  <c r="D20" i="12"/>
  <c r="D17" i="12"/>
  <c r="D16" i="12"/>
  <c r="D15" i="12"/>
  <c r="D12" i="12"/>
  <c r="D11" i="12"/>
  <c r="D9" i="12"/>
  <c r="D8" i="12"/>
  <c r="D58" i="13"/>
  <c r="D55" i="13"/>
  <c r="D54" i="13"/>
  <c r="D53" i="13"/>
  <c r="D50" i="13"/>
  <c r="D49" i="13"/>
  <c r="D48" i="13"/>
  <c r="D47" i="13"/>
  <c r="D45" i="13"/>
  <c r="D44" i="13"/>
  <c r="D43" i="13"/>
  <c r="D40" i="13"/>
  <c r="D36" i="13"/>
  <c r="D35" i="13"/>
  <c r="D33" i="13"/>
  <c r="D32" i="13"/>
  <c r="D30" i="13"/>
  <c r="D29" i="13"/>
  <c r="D28" i="13"/>
  <c r="D27" i="13"/>
  <c r="D26" i="13"/>
  <c r="D22" i="13"/>
  <c r="D21" i="13"/>
  <c r="D20" i="13"/>
  <c r="D18" i="13"/>
  <c r="D17" i="13"/>
  <c r="D16" i="13"/>
  <c r="D14" i="13"/>
  <c r="D13" i="13"/>
  <c r="D12" i="13"/>
  <c r="D10" i="13"/>
  <c r="D9" i="13"/>
  <c r="D8" i="13"/>
  <c r="D7" i="13"/>
  <c r="D63" i="14"/>
  <c r="D58" i="14"/>
  <c r="D55" i="14"/>
  <c r="D50" i="14"/>
  <c r="D49" i="14"/>
  <c r="D46" i="14"/>
  <c r="D45" i="14"/>
  <c r="D43" i="14"/>
  <c r="D40" i="14"/>
  <c r="D35" i="14"/>
  <c r="D34" i="14"/>
  <c r="D31" i="14"/>
  <c r="D28" i="14"/>
  <c r="D27" i="14"/>
  <c r="D23" i="14"/>
  <c r="D22" i="14"/>
  <c r="D21" i="14"/>
  <c r="D20" i="14"/>
  <c r="D19" i="14"/>
  <c r="D17" i="14"/>
  <c r="D16" i="14"/>
  <c r="D13" i="14"/>
  <c r="D12" i="14"/>
  <c r="D10" i="14"/>
  <c r="D8" i="14"/>
  <c r="D60" i="15"/>
  <c r="D57" i="15"/>
  <c r="D56" i="15"/>
  <c r="D55" i="15"/>
  <c r="D52" i="15"/>
  <c r="D48" i="15"/>
  <c r="D47" i="15"/>
  <c r="D43" i="15"/>
  <c r="D42" i="15"/>
  <c r="D36" i="15"/>
  <c r="D33" i="15"/>
  <c r="D32" i="15"/>
  <c r="D30" i="15"/>
  <c r="D29" i="15"/>
  <c r="D28" i="15"/>
  <c r="D27" i="15"/>
  <c r="D25" i="15"/>
  <c r="D21" i="15"/>
  <c r="D20" i="15"/>
  <c r="D19" i="15"/>
  <c r="D18" i="15"/>
  <c r="D17" i="15"/>
  <c r="D16" i="15"/>
  <c r="D14" i="15"/>
  <c r="D13" i="15"/>
  <c r="D12" i="15"/>
  <c r="D9" i="15"/>
  <c r="D8" i="15"/>
  <c r="D62" i="16"/>
  <c r="D60" i="16"/>
  <c r="D58" i="16"/>
  <c r="D57" i="16"/>
  <c r="D56" i="16"/>
  <c r="D54" i="16"/>
  <c r="D53" i="16"/>
  <c r="D50" i="16"/>
  <c r="D49" i="16"/>
  <c r="D48" i="16"/>
  <c r="D47" i="16"/>
  <c r="D46" i="16"/>
  <c r="D45" i="16"/>
  <c r="D44" i="16"/>
  <c r="D40" i="16"/>
  <c r="D34" i="16"/>
  <c r="D33" i="16"/>
  <c r="D31" i="16"/>
  <c r="D30" i="16"/>
  <c r="D29" i="16"/>
  <c r="D28" i="16"/>
  <c r="D26" i="16"/>
  <c r="D25" i="16"/>
  <c r="D23" i="16"/>
  <c r="D22" i="16"/>
  <c r="D21" i="16"/>
  <c r="D20" i="16"/>
  <c r="D19" i="16"/>
  <c r="D18" i="16"/>
  <c r="D17" i="16"/>
  <c r="D15" i="16"/>
  <c r="D14" i="16"/>
  <c r="D13" i="16"/>
  <c r="D12" i="16"/>
  <c r="D9" i="16"/>
  <c r="D7" i="16"/>
  <c r="D55" i="17"/>
  <c r="D54" i="17"/>
  <c r="D53" i="17"/>
  <c r="D52" i="17"/>
  <c r="D50" i="17"/>
  <c r="D48" i="17"/>
  <c r="D47" i="17"/>
  <c r="D46" i="17"/>
  <c r="D45" i="17"/>
  <c r="D44" i="17"/>
  <c r="D43" i="17"/>
  <c r="D42" i="17"/>
  <c r="D40" i="17"/>
  <c r="D39" i="17"/>
  <c r="D35" i="17"/>
  <c r="D34" i="17"/>
  <c r="D33" i="17"/>
  <c r="D32" i="17"/>
  <c r="D31" i="17"/>
  <c r="D30" i="17"/>
  <c r="D29" i="17"/>
  <c r="D28" i="17"/>
  <c r="D27" i="17"/>
  <c r="D26" i="17"/>
  <c r="D25" i="17"/>
  <c r="D22" i="17"/>
  <c r="D21" i="17"/>
  <c r="D18" i="17"/>
  <c r="D17" i="17"/>
  <c r="D11" i="17"/>
  <c r="D10" i="17"/>
  <c r="D9" i="17"/>
  <c r="D60" i="18"/>
  <c r="D58" i="18"/>
  <c r="D57" i="18"/>
  <c r="D56" i="18"/>
  <c r="D55" i="18"/>
  <c r="D54" i="18"/>
  <c r="D50" i="18"/>
  <c r="D49" i="18"/>
  <c r="D48" i="18"/>
  <c r="D46" i="18"/>
  <c r="D45" i="18"/>
  <c r="D44" i="18"/>
  <c r="D39" i="18"/>
  <c r="D36" i="18"/>
  <c r="D35" i="18"/>
  <c r="D32" i="18"/>
  <c r="D31" i="18"/>
  <c r="D28" i="18"/>
  <c r="D27" i="18"/>
  <c r="D23" i="18"/>
  <c r="D22" i="18"/>
  <c r="D20" i="18"/>
  <c r="D19" i="18"/>
  <c r="D16" i="18"/>
  <c r="D15" i="18"/>
  <c r="D14" i="18"/>
  <c r="D12" i="18"/>
  <c r="C37" i="18"/>
  <c r="D8" i="18"/>
  <c r="D7" i="18"/>
  <c r="D57" i="22"/>
  <c r="D56" i="22"/>
  <c r="D55" i="22"/>
  <c r="D53" i="22"/>
  <c r="D52" i="22"/>
  <c r="D50" i="22"/>
  <c r="D47" i="22"/>
  <c r="D46" i="22"/>
  <c r="D43" i="22"/>
  <c r="D39" i="22"/>
  <c r="D36" i="22"/>
  <c r="D35" i="22"/>
  <c r="D33" i="22"/>
  <c r="D32" i="22"/>
  <c r="D31" i="22"/>
  <c r="D30" i="22"/>
  <c r="D29" i="22"/>
  <c r="D28" i="22"/>
  <c r="D26" i="22"/>
  <c r="D25" i="22"/>
  <c r="D23" i="22"/>
  <c r="D22" i="22"/>
  <c r="D21" i="22"/>
  <c r="D20" i="22"/>
  <c r="D19" i="22"/>
  <c r="D17" i="22"/>
  <c r="D16" i="22"/>
  <c r="D15" i="22"/>
  <c r="D14" i="22"/>
  <c r="D13" i="22"/>
  <c r="D11" i="22"/>
  <c r="D9" i="22"/>
  <c r="D8" i="22"/>
  <c r="D58" i="22"/>
  <c r="D54" i="22"/>
  <c r="D49" i="22"/>
  <c r="D48" i="22"/>
  <c r="D45" i="22"/>
  <c r="D44" i="22"/>
  <c r="D40" i="22"/>
  <c r="D34" i="22"/>
  <c r="D27" i="22"/>
  <c r="D18" i="22"/>
  <c r="D12" i="22"/>
  <c r="D10" i="22"/>
  <c r="D62" i="17"/>
  <c r="D58" i="17"/>
  <c r="D57" i="17"/>
  <c r="D56" i="17"/>
  <c r="D49" i="17"/>
  <c r="D36" i="17"/>
  <c r="D23" i="17"/>
  <c r="D20" i="17"/>
  <c r="D19" i="17"/>
  <c r="D16" i="17"/>
  <c r="D15" i="17"/>
  <c r="D14" i="17"/>
  <c r="D12" i="17"/>
  <c r="D8" i="17"/>
  <c r="D55" i="16"/>
  <c r="D52" i="16"/>
  <c r="D43" i="16"/>
  <c r="D36" i="16"/>
  <c r="D35" i="16"/>
  <c r="D32" i="16"/>
  <c r="D27" i="16"/>
  <c r="D16" i="16"/>
  <c r="D10" i="16"/>
  <c r="D58" i="15"/>
  <c r="D54" i="15"/>
  <c r="D53" i="15"/>
  <c r="D50" i="15"/>
  <c r="D49" i="15"/>
  <c r="D46" i="15"/>
  <c r="D45" i="15"/>
  <c r="D44" i="15"/>
  <c r="D40" i="15"/>
  <c r="D39" i="15"/>
  <c r="D35" i="15"/>
  <c r="D34" i="15"/>
  <c r="D31" i="15"/>
  <c r="D26" i="15"/>
  <c r="D23" i="15"/>
  <c r="D22" i="15"/>
  <c r="D15" i="15"/>
  <c r="D10" i="15"/>
  <c r="D62" i="14"/>
  <c r="D57" i="14"/>
  <c r="D56" i="14"/>
  <c r="D54" i="14"/>
  <c r="D53" i="14"/>
  <c r="D48" i="14"/>
  <c r="D47" i="14"/>
  <c r="D44" i="14"/>
  <c r="D39" i="14"/>
  <c r="D36" i="14"/>
  <c r="D33" i="14"/>
  <c r="D32" i="14"/>
  <c r="D30" i="14"/>
  <c r="D29" i="14"/>
  <c r="D26" i="14"/>
  <c r="D25" i="14"/>
  <c r="D18" i="14"/>
  <c r="D15" i="14"/>
  <c r="D14" i="14"/>
  <c r="D9" i="14"/>
  <c r="D62" i="13"/>
  <c r="D57" i="13"/>
  <c r="D56" i="13"/>
  <c r="D46" i="13"/>
  <c r="D39" i="13"/>
  <c r="D34" i="13"/>
  <c r="D31" i="13"/>
  <c r="D25" i="13"/>
  <c r="D23" i="13"/>
  <c r="D19" i="13"/>
  <c r="D15" i="13"/>
  <c r="D11" i="13"/>
  <c r="D57" i="12"/>
  <c r="D56" i="12"/>
  <c r="D54" i="12"/>
  <c r="D53" i="12"/>
  <c r="D52" i="12"/>
  <c r="D49" i="12"/>
  <c r="D44" i="12"/>
  <c r="D43" i="12"/>
  <c r="D40" i="12"/>
  <c r="D36" i="12"/>
  <c r="D33" i="12"/>
  <c r="D30" i="12"/>
  <c r="D26" i="12"/>
  <c r="D25" i="12"/>
  <c r="D23" i="12"/>
  <c r="D22" i="12"/>
  <c r="D19" i="12"/>
  <c r="D18" i="12"/>
  <c r="D14" i="12"/>
  <c r="D13" i="12"/>
  <c r="D10" i="12"/>
  <c r="D7" i="12"/>
  <c r="D63" i="11"/>
  <c r="D58" i="11"/>
  <c r="D55" i="11"/>
  <c r="D54" i="11"/>
  <c r="D49" i="11"/>
  <c r="D45" i="11"/>
  <c r="D40" i="11"/>
  <c r="D35" i="11"/>
  <c r="D34" i="11"/>
  <c r="D31" i="11"/>
  <c r="D28" i="11"/>
  <c r="D27" i="11"/>
  <c r="D25" i="11"/>
  <c r="D23" i="11"/>
  <c r="D19" i="11"/>
  <c r="D18" i="11"/>
  <c r="D15" i="11"/>
  <c r="D11" i="11"/>
  <c r="D10" i="11"/>
  <c r="D7" i="11"/>
  <c r="D62" i="10"/>
  <c r="D57" i="10"/>
  <c r="D55" i="10"/>
  <c r="D53" i="10"/>
  <c r="D48" i="10"/>
  <c r="D46" i="10"/>
  <c r="D44" i="10"/>
  <c r="D39" i="10"/>
  <c r="D32" i="10"/>
  <c r="D31" i="10"/>
  <c r="D30" i="10"/>
  <c r="D26" i="10"/>
  <c r="D22" i="10"/>
  <c r="D18" i="10"/>
  <c r="D14" i="10"/>
  <c r="D10" i="10"/>
  <c r="D9" i="10"/>
  <c r="D62" i="9"/>
  <c r="D58" i="9"/>
  <c r="D55" i="9"/>
  <c r="D50" i="9"/>
  <c r="D49" i="9"/>
  <c r="D46" i="9"/>
  <c r="D44" i="9"/>
  <c r="D40" i="9"/>
  <c r="D35" i="9"/>
  <c r="D32" i="9"/>
  <c r="D31" i="9"/>
  <c r="D30" i="9"/>
  <c r="D28" i="9"/>
  <c r="D27" i="9"/>
  <c r="D23" i="9"/>
  <c r="D20" i="9"/>
  <c r="D19" i="9"/>
  <c r="D16" i="9"/>
  <c r="D15" i="9"/>
  <c r="D14" i="9"/>
  <c r="D12" i="9"/>
  <c r="D8" i="9"/>
  <c r="D60" i="8"/>
  <c r="D58" i="8"/>
  <c r="D56" i="8"/>
  <c r="D55" i="8"/>
  <c r="D54" i="8"/>
  <c r="D52" i="8"/>
  <c r="C51" i="8"/>
  <c r="D49" i="8"/>
  <c r="D47" i="8"/>
  <c r="D45" i="8"/>
  <c r="D44" i="8"/>
  <c r="D43" i="8"/>
  <c r="D36" i="8"/>
  <c r="D33" i="8"/>
  <c r="D30" i="8"/>
  <c r="D26" i="8"/>
  <c r="D25" i="8"/>
  <c r="D22" i="8"/>
  <c r="D18" i="8"/>
  <c r="D17" i="8"/>
  <c r="D14" i="8"/>
  <c r="D10" i="8"/>
  <c r="D9" i="8"/>
  <c r="D8" i="8"/>
  <c r="D62" i="7"/>
  <c r="D58" i="7"/>
  <c r="D54" i="7"/>
  <c r="D49" i="7"/>
  <c r="D48" i="7"/>
  <c r="D45" i="7"/>
  <c r="D44" i="7"/>
  <c r="D43" i="7"/>
  <c r="D40" i="7"/>
  <c r="D34" i="7"/>
  <c r="D31" i="7"/>
  <c r="D30" i="7"/>
  <c r="D27" i="7"/>
  <c r="D26" i="7"/>
  <c r="D25" i="7"/>
  <c r="D23" i="7"/>
  <c r="D19" i="7"/>
  <c r="D14" i="7"/>
  <c r="D13" i="7"/>
  <c r="D62" i="6"/>
  <c r="D57" i="6"/>
  <c r="D56" i="6"/>
  <c r="D53" i="6"/>
  <c r="D49" i="6"/>
  <c r="D48" i="6"/>
  <c r="D47" i="6"/>
  <c r="D45" i="6"/>
  <c r="D44" i="6"/>
  <c r="D43" i="6"/>
  <c r="D39" i="6"/>
  <c r="D36" i="6"/>
  <c r="D33" i="6"/>
  <c r="D30" i="6"/>
  <c r="D29" i="6"/>
  <c r="D27" i="6"/>
  <c r="D26" i="6"/>
  <c r="D25" i="6"/>
  <c r="D22" i="6"/>
  <c r="D21" i="6"/>
  <c r="D18" i="6"/>
  <c r="D17" i="6"/>
  <c r="D14" i="6"/>
  <c r="D13" i="6"/>
  <c r="D10" i="6"/>
  <c r="D9" i="6"/>
  <c r="D58" i="5"/>
  <c r="D57" i="5"/>
  <c r="D56" i="5"/>
  <c r="D54" i="5"/>
  <c r="D49" i="5"/>
  <c r="D39" i="5"/>
  <c r="D36" i="5"/>
  <c r="D31" i="5"/>
  <c r="D27" i="5"/>
  <c r="D23" i="5"/>
  <c r="D21" i="5"/>
  <c r="D19" i="5"/>
  <c r="D15" i="5"/>
  <c r="D11" i="5"/>
  <c r="D7" i="5"/>
  <c r="D58" i="3"/>
  <c r="D57" i="3"/>
  <c r="D56" i="3"/>
  <c r="D49" i="3"/>
  <c r="D48" i="3"/>
  <c r="D47" i="3"/>
  <c r="D45" i="3"/>
  <c r="D44" i="3"/>
  <c r="D43" i="3"/>
  <c r="D36" i="3"/>
  <c r="D33" i="3"/>
  <c r="D31" i="3"/>
  <c r="D30" i="3"/>
  <c r="D27" i="3"/>
  <c r="D26" i="3"/>
  <c r="D22" i="3"/>
  <c r="D20" i="3"/>
  <c r="D18" i="3"/>
  <c r="D14" i="3"/>
  <c r="D10" i="3"/>
  <c r="D62" i="18"/>
  <c r="D52" i="18"/>
  <c r="D47" i="18"/>
  <c r="D43" i="18"/>
  <c r="D42" i="18"/>
  <c r="D40" i="18"/>
  <c r="D34" i="18"/>
  <c r="D33" i="18"/>
  <c r="D30" i="18"/>
  <c r="D29" i="18"/>
  <c r="D26" i="18"/>
  <c r="D25" i="18"/>
  <c r="D21" i="18"/>
  <c r="D18" i="18"/>
  <c r="D17" i="18"/>
  <c r="D13" i="18"/>
  <c r="D10" i="18"/>
  <c r="D9" i="18"/>
  <c r="D36" i="19"/>
  <c r="D29" i="19"/>
  <c r="C51" i="3" l="1"/>
  <c r="D24" i="11"/>
  <c r="D6" i="11" s="1"/>
  <c r="C51" i="22"/>
  <c r="D24" i="15"/>
  <c r="D54" i="3"/>
  <c r="D24" i="13"/>
  <c r="D37" i="13" s="1"/>
  <c r="C59" i="10"/>
  <c r="C37" i="8"/>
  <c r="D24" i="9"/>
  <c r="D6" i="9" s="1"/>
  <c r="D7" i="8"/>
  <c r="D11" i="18"/>
  <c r="C51" i="11"/>
  <c r="C59" i="11"/>
  <c r="C41" i="22"/>
  <c r="D41" i="8"/>
  <c r="D41" i="6"/>
  <c r="C51" i="6"/>
  <c r="D55" i="6"/>
  <c r="C51" i="10"/>
  <c r="D60" i="10"/>
  <c r="D59" i="10" s="1"/>
  <c r="C59" i="22"/>
  <c r="D24" i="12"/>
  <c r="D6" i="12" s="1"/>
  <c r="D24" i="14"/>
  <c r="C37" i="3"/>
  <c r="C59" i="3"/>
  <c r="C51" i="18"/>
  <c r="C59" i="18"/>
  <c r="C37" i="17"/>
  <c r="C59" i="17"/>
  <c r="D9" i="3"/>
  <c r="D13" i="3"/>
  <c r="C41" i="5"/>
  <c r="D24" i="5"/>
  <c r="D6" i="5" s="1"/>
  <c r="D8" i="6"/>
  <c r="C41" i="7"/>
  <c r="D24" i="7"/>
  <c r="D37" i="7" s="1"/>
  <c r="C37" i="9"/>
  <c r="C51" i="15"/>
  <c r="D51" i="15"/>
  <c r="D51" i="16"/>
  <c r="C51" i="16"/>
  <c r="D59" i="16"/>
  <c r="D24" i="16"/>
  <c r="D51" i="17"/>
  <c r="D24" i="17"/>
  <c r="C41" i="18"/>
  <c r="C38" i="18" s="1"/>
  <c r="D53" i="18"/>
  <c r="D51" i="18" s="1"/>
  <c r="D59" i="22"/>
  <c r="D24" i="22"/>
  <c r="D37" i="22" s="1"/>
  <c r="D51" i="22"/>
  <c r="D7" i="22"/>
  <c r="C37" i="22"/>
  <c r="D42" i="22"/>
  <c r="D41" i="22" s="1"/>
  <c r="D41" i="18"/>
  <c r="D41" i="3"/>
  <c r="D24" i="18"/>
  <c r="D6" i="18" s="1"/>
  <c r="D59" i="18"/>
  <c r="C41" i="3"/>
  <c r="D41" i="7"/>
  <c r="C41" i="8"/>
  <c r="C38" i="8" s="1"/>
  <c r="D52" i="3"/>
  <c r="D51" i="3" s="1"/>
  <c r="D60" i="3"/>
  <c r="D59" i="3" s="1"/>
  <c r="C59" i="5"/>
  <c r="C51" i="7"/>
  <c r="C59" i="7"/>
  <c r="D11" i="9"/>
  <c r="C41" i="9"/>
  <c r="D7" i="10"/>
  <c r="D47" i="10"/>
  <c r="D41" i="10" s="1"/>
  <c r="C41" i="10"/>
  <c r="C37" i="5"/>
  <c r="D41" i="5"/>
  <c r="C41" i="6"/>
  <c r="C37" i="7"/>
  <c r="D51" i="8"/>
  <c r="D38" i="8" s="1"/>
  <c r="C51" i="9"/>
  <c r="D52" i="9"/>
  <c r="D51" i="9" s="1"/>
  <c r="D21" i="3"/>
  <c r="C51" i="5"/>
  <c r="D52" i="6"/>
  <c r="D60" i="6"/>
  <c r="D59" i="6" s="1"/>
  <c r="D11" i="3"/>
  <c r="D11" i="6"/>
  <c r="D11" i="8"/>
  <c r="C59" i="8"/>
  <c r="D42" i="9"/>
  <c r="D41" i="9" s="1"/>
  <c r="C59" i="9"/>
  <c r="D59" i="9"/>
  <c r="D39" i="11"/>
  <c r="D47" i="12"/>
  <c r="D41" i="12" s="1"/>
  <c r="C41" i="12"/>
  <c r="D7" i="14"/>
  <c r="C41" i="14"/>
  <c r="D42" i="14"/>
  <c r="D41" i="14" s="1"/>
  <c r="C37" i="15"/>
  <c r="D11" i="15"/>
  <c r="D37" i="5"/>
  <c r="D24" i="3"/>
  <c r="D51" i="5"/>
  <c r="D59" i="5"/>
  <c r="D24" i="6"/>
  <c r="D51" i="7"/>
  <c r="D59" i="7"/>
  <c r="D24" i="8"/>
  <c r="D59" i="8"/>
  <c r="D11" i="10"/>
  <c r="C37" i="10"/>
  <c r="D24" i="10"/>
  <c r="D40" i="10"/>
  <c r="D37" i="11"/>
  <c r="D41" i="11"/>
  <c r="D39" i="12"/>
  <c r="D51" i="10"/>
  <c r="D51" i="11"/>
  <c r="D59" i="11"/>
  <c r="D51" i="12"/>
  <c r="D59" i="12"/>
  <c r="C59" i="13"/>
  <c r="D60" i="13"/>
  <c r="D59" i="13" s="1"/>
  <c r="C37" i="11"/>
  <c r="C41" i="11"/>
  <c r="C37" i="12"/>
  <c r="C51" i="12"/>
  <c r="C59" i="12"/>
  <c r="D62" i="15"/>
  <c r="D59" i="15" s="1"/>
  <c r="C59" i="15"/>
  <c r="D7" i="17"/>
  <c r="C41" i="13"/>
  <c r="D42" i="13"/>
  <c r="D41" i="13" s="1"/>
  <c r="C59" i="14"/>
  <c r="D60" i="14"/>
  <c r="D59" i="14" s="1"/>
  <c r="D39" i="16"/>
  <c r="C51" i="17"/>
  <c r="C51" i="13"/>
  <c r="D52" i="13"/>
  <c r="D51" i="13" s="1"/>
  <c r="C51" i="14"/>
  <c r="D52" i="14"/>
  <c r="D51" i="14" s="1"/>
  <c r="C37" i="16"/>
  <c r="D11" i="16"/>
  <c r="C41" i="16"/>
  <c r="D42" i="16"/>
  <c r="D41" i="16" s="1"/>
  <c r="C59" i="16"/>
  <c r="D59" i="17"/>
  <c r="C37" i="13"/>
  <c r="C37" i="14"/>
  <c r="D11" i="14"/>
  <c r="D7" i="15"/>
  <c r="D8" i="16"/>
  <c r="C41" i="15"/>
  <c r="C41" i="17"/>
  <c r="D13" i="17"/>
  <c r="D41" i="15"/>
  <c r="D41" i="17"/>
  <c r="D38" i="14" l="1"/>
  <c r="D37" i="12"/>
  <c r="D6" i="17"/>
  <c r="D37" i="17"/>
  <c r="D6" i="3"/>
  <c r="D38" i="17"/>
  <c r="C38" i="11"/>
  <c r="D6" i="15"/>
  <c r="C38" i="13"/>
  <c r="D6" i="6"/>
  <c r="D6" i="16"/>
  <c r="D37" i="6"/>
  <c r="D6" i="22"/>
  <c r="D38" i="9"/>
  <c r="D37" i="9"/>
  <c r="C38" i="3"/>
  <c r="D6" i="8"/>
  <c r="D6" i="13"/>
  <c r="C38" i="17"/>
  <c r="D37" i="14"/>
  <c r="D6" i="14"/>
  <c r="D6" i="10"/>
  <c r="D6" i="7"/>
  <c r="D38" i="13"/>
  <c r="C38" i="12"/>
  <c r="D38" i="22"/>
  <c r="C38" i="16"/>
  <c r="C38" i="22"/>
  <c r="C38" i="7"/>
  <c r="D38" i="15"/>
  <c r="D37" i="16"/>
  <c r="D51" i="6"/>
  <c r="D38" i="6" s="1"/>
  <c r="C38" i="10"/>
  <c r="D38" i="7"/>
  <c r="D37" i="15"/>
  <c r="C38" i="5"/>
  <c r="C38" i="6"/>
  <c r="D37" i="3"/>
  <c r="D38" i="5"/>
  <c r="C38" i="9"/>
  <c r="D37" i="10"/>
  <c r="D38" i="10"/>
  <c r="C38" i="15"/>
  <c r="D37" i="18"/>
  <c r="D38" i="18"/>
  <c r="D38" i="11"/>
  <c r="D38" i="3"/>
  <c r="D38" i="16"/>
  <c r="D38" i="12"/>
  <c r="C38" i="14"/>
  <c r="D37" i="8"/>
  <c r="C36" i="20" l="1"/>
  <c r="C56" i="23" s="1"/>
  <c r="F36" i="19"/>
  <c r="F36" i="18"/>
  <c r="F36" i="17"/>
  <c r="F36" i="16"/>
  <c r="F36" i="15"/>
  <c r="F36" i="14"/>
  <c r="F36" i="13"/>
  <c r="F36" i="12"/>
  <c r="F36" i="11"/>
  <c r="F36" i="10"/>
  <c r="F36" i="9"/>
  <c r="F36" i="8"/>
  <c r="F36" i="7"/>
  <c r="F36" i="6"/>
  <c r="F36" i="5"/>
  <c r="F36" i="3"/>
  <c r="F36" i="22"/>
  <c r="E36" i="18"/>
  <c r="E36" i="17"/>
  <c r="E36" i="16"/>
  <c r="E36" i="15"/>
  <c r="E36" i="14"/>
  <c r="E36" i="13"/>
  <c r="E36" i="12"/>
  <c r="E36" i="11"/>
  <c r="E36" i="10"/>
  <c r="E36" i="9"/>
  <c r="E36" i="8"/>
  <c r="E36" i="7"/>
  <c r="E36" i="6"/>
  <c r="E36" i="5"/>
  <c r="E36" i="3"/>
  <c r="D36" i="20" l="1"/>
  <c r="D56" i="23" s="1"/>
  <c r="E56" i="23" s="1"/>
  <c r="E36" i="19"/>
  <c r="E36" i="22"/>
  <c r="D9" i="19"/>
  <c r="D10" i="19"/>
  <c r="D11" i="19"/>
  <c r="D12" i="19"/>
  <c r="F56" i="23" l="1"/>
  <c r="F36" i="20"/>
  <c r="E36" i="20"/>
  <c r="F25" i="13"/>
  <c r="F14" i="12"/>
  <c r="E10" i="17"/>
  <c r="E10" i="13"/>
  <c r="E14" i="9"/>
  <c r="E12" i="19"/>
  <c r="E57" i="8"/>
  <c r="D23" i="23"/>
  <c r="F23" i="23" s="1"/>
  <c r="F35" i="10"/>
  <c r="F80" i="23"/>
  <c r="E52" i="22"/>
  <c r="E40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5" i="19"/>
  <c r="E35" i="19" s="1"/>
  <c r="E57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1" i="19"/>
  <c r="C41" i="19"/>
  <c r="F40" i="18"/>
  <c r="E43" i="18"/>
  <c r="F48" i="18"/>
  <c r="E50" i="18"/>
  <c r="F53" i="18"/>
  <c r="E58" i="18"/>
  <c r="F40" i="17"/>
  <c r="E42" i="17"/>
  <c r="E43" i="17"/>
  <c r="E47" i="17"/>
  <c r="F52" i="17"/>
  <c r="E56" i="17"/>
  <c r="F57" i="17"/>
  <c r="F58" i="17"/>
  <c r="E40" i="16"/>
  <c r="E43" i="16"/>
  <c r="E45" i="16"/>
  <c r="E48" i="16"/>
  <c r="F50" i="16"/>
  <c r="E52" i="16"/>
  <c r="E55" i="16"/>
  <c r="F40" i="15"/>
  <c r="E44" i="15"/>
  <c r="E46" i="15"/>
  <c r="F48" i="15"/>
  <c r="E50" i="15"/>
  <c r="E52" i="15"/>
  <c r="F53" i="15"/>
  <c r="E56" i="15"/>
  <c r="E58" i="15"/>
  <c r="F42" i="14"/>
  <c r="E45" i="14"/>
  <c r="E49" i="14"/>
  <c r="E52" i="14"/>
  <c r="E53" i="14"/>
  <c r="E56" i="14"/>
  <c r="E57" i="14"/>
  <c r="E42" i="13"/>
  <c r="F43" i="13"/>
  <c r="F47" i="13"/>
  <c r="F48" i="13"/>
  <c r="E49" i="13"/>
  <c r="E50" i="13"/>
  <c r="E52" i="13"/>
  <c r="F53" i="13"/>
  <c r="E55" i="13"/>
  <c r="F58" i="13"/>
  <c r="E42" i="12"/>
  <c r="F43" i="12"/>
  <c r="E44" i="12"/>
  <c r="E45" i="12"/>
  <c r="F47" i="12"/>
  <c r="F52" i="12"/>
  <c r="F55" i="12"/>
  <c r="E56" i="12"/>
  <c r="E57" i="12"/>
  <c r="F42" i="11"/>
  <c r="E44" i="11"/>
  <c r="E46" i="11"/>
  <c r="F47" i="11"/>
  <c r="E50" i="11"/>
  <c r="E52" i="11"/>
  <c r="E54" i="11"/>
  <c r="F57" i="11"/>
  <c r="F40" i="10"/>
  <c r="F43" i="10"/>
  <c r="F44" i="10"/>
  <c r="F45" i="10"/>
  <c r="E47" i="10"/>
  <c r="E50" i="10"/>
  <c r="E52" i="10"/>
  <c r="F53" i="10"/>
  <c r="F55" i="10"/>
  <c r="E58" i="10"/>
  <c r="E40" i="9"/>
  <c r="E42" i="9"/>
  <c r="E46" i="9"/>
  <c r="F47" i="9"/>
  <c r="E53" i="9"/>
  <c r="E54" i="9"/>
  <c r="F55" i="9"/>
  <c r="E57" i="9"/>
  <c r="F42" i="8"/>
  <c r="E43" i="8"/>
  <c r="E45" i="8"/>
  <c r="E47" i="8"/>
  <c r="F48" i="8"/>
  <c r="E49" i="8"/>
  <c r="F50" i="8"/>
  <c r="E52" i="8"/>
  <c r="E53" i="8"/>
  <c r="E58" i="8"/>
  <c r="F40" i="7"/>
  <c r="E44" i="7"/>
  <c r="F47" i="7"/>
  <c r="E52" i="7"/>
  <c r="E53" i="7"/>
  <c r="E55" i="7"/>
  <c r="F57" i="7"/>
  <c r="F58" i="7"/>
  <c r="F40" i="6"/>
  <c r="E42" i="6"/>
  <c r="F43" i="6"/>
  <c r="F44" i="6"/>
  <c r="F49" i="6"/>
  <c r="E53" i="6"/>
  <c r="E55" i="6"/>
  <c r="F57" i="6"/>
  <c r="E40" i="5"/>
  <c r="E42" i="5"/>
  <c r="E43" i="5"/>
  <c r="F44" i="5"/>
  <c r="F47" i="5"/>
  <c r="E48" i="5"/>
  <c r="E50" i="5"/>
  <c r="E54" i="5"/>
  <c r="F55" i="5"/>
  <c r="F57" i="5"/>
  <c r="F58" i="5"/>
  <c r="E40" i="3"/>
  <c r="E43" i="3"/>
  <c r="E45" i="3"/>
  <c r="F47" i="3"/>
  <c r="E48" i="3"/>
  <c r="E54" i="3"/>
  <c r="E56" i="3"/>
  <c r="D40" i="19"/>
  <c r="D42" i="19"/>
  <c r="D43" i="19"/>
  <c r="F43" i="19" s="1"/>
  <c r="D44" i="19"/>
  <c r="E44" i="19" s="1"/>
  <c r="D45" i="19"/>
  <c r="D46" i="19"/>
  <c r="D47" i="19"/>
  <c r="F47" i="19" s="1"/>
  <c r="D48" i="19"/>
  <c r="D49" i="19"/>
  <c r="D50" i="19"/>
  <c r="D52" i="19"/>
  <c r="D53" i="19"/>
  <c r="D54" i="19"/>
  <c r="D55" i="19"/>
  <c r="F55" i="19" s="1"/>
  <c r="D56" i="19"/>
  <c r="E56" i="19" s="1"/>
  <c r="D57" i="19"/>
  <c r="D58" i="19"/>
  <c r="E58" i="19" s="1"/>
  <c r="F39" i="17"/>
  <c r="E39" i="16"/>
  <c r="E39" i="15"/>
  <c r="F39" i="13"/>
  <c r="E39" i="12"/>
  <c r="E39" i="9"/>
  <c r="E39" i="8"/>
  <c r="E39" i="7"/>
  <c r="F39" i="3"/>
  <c r="D39" i="19"/>
  <c r="E39" i="19" s="1"/>
  <c r="F40" i="22"/>
  <c r="D31" i="19"/>
  <c r="D32" i="19"/>
  <c r="E32" i="19" s="1"/>
  <c r="D33" i="19"/>
  <c r="D34" i="19"/>
  <c r="D60" i="19"/>
  <c r="E60" i="19" s="1"/>
  <c r="F61" i="19"/>
  <c r="D62" i="19"/>
  <c r="E62" i="19" s="1"/>
  <c r="F63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5" i="17"/>
  <c r="F35" i="16"/>
  <c r="E35" i="15"/>
  <c r="F35" i="12"/>
  <c r="F35" i="11"/>
  <c r="F35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7" i="22"/>
  <c r="F46" i="9"/>
  <c r="F18" i="3"/>
  <c r="F28" i="3"/>
  <c r="F31" i="3"/>
  <c r="F33" i="3"/>
  <c r="E34" i="3"/>
  <c r="F34" i="3"/>
  <c r="F45" i="3"/>
  <c r="F46" i="3"/>
  <c r="F54" i="3"/>
  <c r="F56" i="3"/>
  <c r="E60" i="3"/>
  <c r="F60" i="3"/>
  <c r="F62" i="3"/>
  <c r="F63" i="3"/>
  <c r="F28" i="5"/>
  <c r="F33" i="5"/>
  <c r="F34" i="5"/>
  <c r="F45" i="5"/>
  <c r="F46" i="5"/>
  <c r="F49" i="5"/>
  <c r="F54" i="5"/>
  <c r="F56" i="5"/>
  <c r="F61" i="5"/>
  <c r="E62" i="5"/>
  <c r="F62" i="5"/>
  <c r="F64" i="5"/>
  <c r="F28" i="6"/>
  <c r="F33" i="6"/>
  <c r="F34" i="6"/>
  <c r="F45" i="6"/>
  <c r="F46" i="6"/>
  <c r="F54" i="6"/>
  <c r="F56" i="6"/>
  <c r="F60" i="6"/>
  <c r="F62" i="6"/>
  <c r="F28" i="7"/>
  <c r="F31" i="7"/>
  <c r="F33" i="7"/>
  <c r="F34" i="7"/>
  <c r="F45" i="7"/>
  <c r="F46" i="7"/>
  <c r="F54" i="7"/>
  <c r="F56" i="7"/>
  <c r="F60" i="7"/>
  <c r="F62" i="7"/>
  <c r="F28" i="8"/>
  <c r="F33" i="8"/>
  <c r="F34" i="8"/>
  <c r="F43" i="8"/>
  <c r="F46" i="8"/>
  <c r="F54" i="8"/>
  <c r="F56" i="8"/>
  <c r="F61" i="8"/>
  <c r="F62" i="8"/>
  <c r="E64" i="8"/>
  <c r="F28" i="9"/>
  <c r="F33" i="9"/>
  <c r="F34" i="9"/>
  <c r="F54" i="9"/>
  <c r="F56" i="9"/>
  <c r="E62" i="9"/>
  <c r="F62" i="9"/>
  <c r="F28" i="10"/>
  <c r="F30" i="10"/>
  <c r="F33" i="10"/>
  <c r="F34" i="10"/>
  <c r="F46" i="10"/>
  <c r="F50" i="10"/>
  <c r="F54" i="10"/>
  <c r="F56" i="10"/>
  <c r="F60" i="10"/>
  <c r="E61" i="10"/>
  <c r="F62" i="10"/>
  <c r="F28" i="11"/>
  <c r="F33" i="11"/>
  <c r="E34" i="11"/>
  <c r="F34" i="11"/>
  <c r="F45" i="11"/>
  <c r="F46" i="11"/>
  <c r="F54" i="11"/>
  <c r="F56" i="11"/>
  <c r="F60" i="11"/>
  <c r="F62" i="11"/>
  <c r="F64" i="11"/>
  <c r="F28" i="12"/>
  <c r="F33" i="12"/>
  <c r="F34" i="12"/>
  <c r="F42" i="12"/>
  <c r="F45" i="12"/>
  <c r="F46" i="12"/>
  <c r="F54" i="12"/>
  <c r="F56" i="12"/>
  <c r="E58" i="12"/>
  <c r="F60" i="12"/>
  <c r="F61" i="12"/>
  <c r="F62" i="12"/>
  <c r="E16" i="13"/>
  <c r="F16" i="13"/>
  <c r="F28" i="13"/>
  <c r="F30" i="13"/>
  <c r="F33" i="13"/>
  <c r="F34" i="13"/>
  <c r="F46" i="13"/>
  <c r="F54" i="13"/>
  <c r="F56" i="13"/>
  <c r="F60" i="13"/>
  <c r="E61" i="13"/>
  <c r="F62" i="13"/>
  <c r="F28" i="14"/>
  <c r="F33" i="14"/>
  <c r="F34" i="14"/>
  <c r="F45" i="14"/>
  <c r="F46" i="14"/>
  <c r="E48" i="14"/>
  <c r="F54" i="14"/>
  <c r="F56" i="14"/>
  <c r="F60" i="14"/>
  <c r="E61" i="14"/>
  <c r="F62" i="14"/>
  <c r="F28" i="15"/>
  <c r="F30" i="15"/>
  <c r="F31" i="15"/>
  <c r="F33" i="15"/>
  <c r="F34" i="15"/>
  <c r="F45" i="15"/>
  <c r="F46" i="15"/>
  <c r="F54" i="15"/>
  <c r="F56" i="15"/>
  <c r="F60" i="15"/>
  <c r="F62" i="15"/>
  <c r="F63" i="15"/>
  <c r="F28" i="16"/>
  <c r="F33" i="16"/>
  <c r="F34" i="16"/>
  <c r="F44" i="16"/>
  <c r="F46" i="16"/>
  <c r="F54" i="16"/>
  <c r="F56" i="16"/>
  <c r="F60" i="16"/>
  <c r="F62" i="16"/>
  <c r="F28" i="17"/>
  <c r="F33" i="17"/>
  <c r="F34" i="17"/>
  <c r="F45" i="17"/>
  <c r="F46" i="17"/>
  <c r="F54" i="17"/>
  <c r="F56" i="17"/>
  <c r="F60" i="17"/>
  <c r="E61" i="17"/>
  <c r="E62" i="17"/>
  <c r="F62" i="17"/>
  <c r="F28" i="18"/>
  <c r="E32" i="18"/>
  <c r="F33" i="18"/>
  <c r="F34" i="18"/>
  <c r="F46" i="18"/>
  <c r="F50" i="18"/>
  <c r="F54" i="18"/>
  <c r="F56" i="18"/>
  <c r="F60" i="18"/>
  <c r="F62" i="18"/>
  <c r="F63" i="18"/>
  <c r="F28" i="19"/>
  <c r="F31" i="19"/>
  <c r="F33" i="19"/>
  <c r="F34" i="19"/>
  <c r="F46" i="19"/>
  <c r="F54" i="19"/>
  <c r="F56" i="19"/>
  <c r="C59" i="19"/>
  <c r="F60" i="19"/>
  <c r="F62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4" i="20"/>
  <c r="F34" i="20" s="1"/>
  <c r="C35" i="20"/>
  <c r="C55" i="23" s="1"/>
  <c r="C39" i="20"/>
  <c r="C60" i="23" s="1"/>
  <c r="C40" i="20"/>
  <c r="C61" i="23" s="1"/>
  <c r="C42" i="20"/>
  <c r="C63" i="23" s="1"/>
  <c r="C43" i="20"/>
  <c r="C64" i="23" s="1"/>
  <c r="C44" i="20"/>
  <c r="C65" i="23" s="1"/>
  <c r="C45" i="20"/>
  <c r="C66" i="23" s="1"/>
  <c r="C46" i="20"/>
  <c r="C47" i="20"/>
  <c r="C48" i="20"/>
  <c r="C69" i="23" s="1"/>
  <c r="C49" i="20"/>
  <c r="C70" i="23" s="1"/>
  <c r="C50" i="20"/>
  <c r="C71" i="23" s="1"/>
  <c r="C52" i="20"/>
  <c r="C53" i="20"/>
  <c r="C74" i="23" s="1"/>
  <c r="C54" i="20"/>
  <c r="C75" i="23" s="1"/>
  <c r="F75" i="23" s="1"/>
  <c r="C55" i="20"/>
  <c r="C76" i="23" s="1"/>
  <c r="C56" i="20"/>
  <c r="C77" i="23" s="1"/>
  <c r="C57" i="20"/>
  <c r="C78" i="23" s="1"/>
  <c r="C58" i="20"/>
  <c r="C79" i="23" s="1"/>
  <c r="C60" i="20"/>
  <c r="C82" i="23" s="1"/>
  <c r="C61" i="20"/>
  <c r="C83" i="23" s="1"/>
  <c r="C62" i="20"/>
  <c r="C84" i="23" s="1"/>
  <c r="C63" i="20"/>
  <c r="C85" i="23" s="1"/>
  <c r="C64" i="20"/>
  <c r="C89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4" i="22"/>
  <c r="E35" i="22"/>
  <c r="F35" i="22"/>
  <c r="E44" i="22"/>
  <c r="F44" i="22"/>
  <c r="F46" i="22"/>
  <c r="E47" i="22"/>
  <c r="E54" i="22"/>
  <c r="F54" i="22"/>
  <c r="F56" i="22"/>
  <c r="E58" i="22"/>
  <c r="F60" i="22"/>
  <c r="E61" i="22"/>
  <c r="F62" i="22"/>
  <c r="F63" i="22"/>
  <c r="E64" i="22"/>
  <c r="F64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E18" i="23"/>
  <c r="D20" i="23"/>
  <c r="E20" i="23" s="1"/>
  <c r="D21" i="23"/>
  <c r="E21" i="23" s="1"/>
  <c r="F21" i="23"/>
  <c r="D25" i="23"/>
  <c r="C86" i="23"/>
  <c r="E87" i="23"/>
  <c r="E88" i="23"/>
  <c r="C25" i="20"/>
  <c r="C45" i="23" s="1"/>
  <c r="F48" i="9"/>
  <c r="F45" i="9"/>
  <c r="F16" i="15"/>
  <c r="F18" i="12"/>
  <c r="F52" i="22"/>
  <c r="F12" i="18"/>
  <c r="E26" i="9"/>
  <c r="F14" i="15"/>
  <c r="E14" i="15"/>
  <c r="F15" i="15"/>
  <c r="E18" i="15"/>
  <c r="F61" i="22"/>
  <c r="F39" i="22"/>
  <c r="F45" i="22"/>
  <c r="E39" i="22"/>
  <c r="E62" i="22"/>
  <c r="E60" i="22"/>
  <c r="E48" i="22"/>
  <c r="E43" i="22"/>
  <c r="E31" i="22"/>
  <c r="E30" i="22"/>
  <c r="E29" i="22"/>
  <c r="E46" i="12"/>
  <c r="E45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7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3" i="22"/>
  <c r="F47" i="22"/>
  <c r="E56" i="22"/>
  <c r="F48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3" i="10"/>
  <c r="F57" i="14"/>
  <c r="F42" i="16"/>
  <c r="F40" i="11"/>
  <c r="E48" i="10"/>
  <c r="F48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0" i="22"/>
  <c r="F12" i="19"/>
  <c r="F25" i="19" l="1"/>
  <c r="D24" i="19"/>
  <c r="D6" i="19" s="1"/>
  <c r="F58" i="10"/>
  <c r="E44" i="3"/>
  <c r="E56" i="8"/>
  <c r="E19" i="14"/>
  <c r="F12" i="8"/>
  <c r="E48" i="18"/>
  <c r="F9" i="23"/>
  <c r="E7" i="14"/>
  <c r="F27" i="7"/>
  <c r="E7" i="17"/>
  <c r="E42" i="7"/>
  <c r="E7" i="15"/>
  <c r="E7" i="10"/>
  <c r="E7" i="16"/>
  <c r="E7" i="6"/>
  <c r="E7" i="19"/>
  <c r="F57" i="18"/>
  <c r="F48" i="19"/>
  <c r="F25" i="8"/>
  <c r="F29" i="18"/>
  <c r="E26" i="18"/>
  <c r="E52" i="17"/>
  <c r="C38" i="19"/>
  <c r="E11" i="11"/>
  <c r="E55" i="12"/>
  <c r="F39" i="8"/>
  <c r="E53" i="18"/>
  <c r="E40" i="15"/>
  <c r="F42" i="6"/>
  <c r="F8" i="14"/>
  <c r="E8" i="14"/>
  <c r="E15" i="17"/>
  <c r="E21" i="16"/>
  <c r="E46" i="8"/>
  <c r="E46" i="16"/>
  <c r="F13" i="8"/>
  <c r="F88" i="23"/>
  <c r="F35" i="15"/>
  <c r="F29" i="11"/>
  <c r="F17" i="16"/>
  <c r="F29" i="7"/>
  <c r="F25" i="11"/>
  <c r="F26" i="14"/>
  <c r="E64" i="11"/>
  <c r="E29" i="14"/>
  <c r="F53" i="7"/>
  <c r="F57" i="8"/>
  <c r="F11" i="8"/>
  <c r="E57" i="16"/>
  <c r="D6" i="23"/>
  <c r="E6" i="23" s="1"/>
  <c r="E19" i="11"/>
  <c r="F29" i="14"/>
  <c r="E11" i="12"/>
  <c r="F13" i="16"/>
  <c r="E47" i="11"/>
  <c r="E14" i="14"/>
  <c r="E35" i="11"/>
  <c r="F7" i="15"/>
  <c r="E56" i="9"/>
  <c r="E43" i="9"/>
  <c r="F57" i="12"/>
  <c r="F53" i="11"/>
  <c r="E33" i="5"/>
  <c r="E8" i="11"/>
  <c r="F27" i="13"/>
  <c r="E33" i="9"/>
  <c r="E40" i="17"/>
  <c r="F35" i="6"/>
  <c r="F63" i="10"/>
  <c r="F55" i="18"/>
  <c r="F22" i="3"/>
  <c r="F40" i="12"/>
  <c r="F52" i="9"/>
  <c r="F22" i="10"/>
  <c r="E60" i="17"/>
  <c r="E35" i="6"/>
  <c r="E47" i="3"/>
  <c r="F64" i="10"/>
  <c r="F25" i="23"/>
  <c r="F20" i="23"/>
  <c r="E52" i="9"/>
  <c r="E40" i="6"/>
  <c r="F42" i="7"/>
  <c r="F55" i="8"/>
  <c r="F55" i="7"/>
  <c r="E44" i="5"/>
  <c r="E23" i="6"/>
  <c r="F43" i="9"/>
  <c r="E49" i="12"/>
  <c r="E43" i="10"/>
  <c r="E53" i="11"/>
  <c r="E43" i="19"/>
  <c r="F25" i="14"/>
  <c r="E27" i="13"/>
  <c r="E15" i="11"/>
  <c r="F7" i="6"/>
  <c r="E25" i="11"/>
  <c r="E50" i="7"/>
  <c r="E50" i="8"/>
  <c r="F50" i="7"/>
  <c r="F12" i="11"/>
  <c r="F19" i="14"/>
  <c r="E42" i="8"/>
  <c r="E39" i="3"/>
  <c r="E54" i="6"/>
  <c r="E21" i="14"/>
  <c r="E29" i="16"/>
  <c r="F9" i="14"/>
  <c r="E39" i="13"/>
  <c r="E53" i="16"/>
  <c r="E49" i="16"/>
  <c r="E47" i="9"/>
  <c r="E52" i="3"/>
  <c r="F26" i="5"/>
  <c r="F29" i="16"/>
  <c r="F23" i="17"/>
  <c r="E33" i="8"/>
  <c r="E55" i="8"/>
  <c r="F49" i="13"/>
  <c r="E54" i="12"/>
  <c r="F11" i="10"/>
  <c r="E46" i="5"/>
  <c r="F63" i="8"/>
  <c r="E9" i="10"/>
  <c r="E44" i="10"/>
  <c r="E50" i="6"/>
  <c r="F39" i="7"/>
  <c r="F49" i="3"/>
  <c r="F47" i="17"/>
  <c r="E57" i="18"/>
  <c r="E47" i="13"/>
  <c r="E45" i="15"/>
  <c r="E33" i="14"/>
  <c r="E13" i="5"/>
  <c r="F20" i="8"/>
  <c r="E31" i="15"/>
  <c r="E56" i="7"/>
  <c r="F19" i="15"/>
  <c r="F48" i="14"/>
  <c r="E63" i="8"/>
  <c r="E51" i="22"/>
  <c r="E11" i="10"/>
  <c r="E42" i="15"/>
  <c r="E12" i="10"/>
  <c r="E25" i="16"/>
  <c r="E53" i="13"/>
  <c r="E64" i="5"/>
  <c r="F9" i="10"/>
  <c r="E30" i="15"/>
  <c r="E32" i="5"/>
  <c r="E40" i="11"/>
  <c r="F52" i="13"/>
  <c r="E42" i="11"/>
  <c r="E43" i="12"/>
  <c r="F58" i="9"/>
  <c r="F15" i="14"/>
  <c r="E17" i="18"/>
  <c r="E31" i="8"/>
  <c r="E34" i="15"/>
  <c r="E54" i="15"/>
  <c r="E63" i="18"/>
  <c r="E64" i="10"/>
  <c r="F35" i="17"/>
  <c r="E62" i="7"/>
  <c r="E49" i="5"/>
  <c r="F9" i="11"/>
  <c r="F53" i="6"/>
  <c r="F7" i="13"/>
  <c r="E23" i="7"/>
  <c r="F26" i="16"/>
  <c r="E45" i="17"/>
  <c r="E13" i="3"/>
  <c r="E32" i="3"/>
  <c r="E35" i="16"/>
  <c r="E22" i="6"/>
  <c r="F30" i="14"/>
  <c r="E10" i="5"/>
  <c r="E32" i="12"/>
  <c r="F57" i="13"/>
  <c r="F50" i="14"/>
  <c r="E42" i="3"/>
  <c r="F44" i="13"/>
  <c r="F40" i="3"/>
  <c r="F42" i="5"/>
  <c r="F44" i="12"/>
  <c r="F49" i="7"/>
  <c r="E14" i="5"/>
  <c r="E27" i="5"/>
  <c r="E29" i="11"/>
  <c r="F8" i="7"/>
  <c r="F23" i="7"/>
  <c r="F12" i="10"/>
  <c r="F18" i="5"/>
  <c r="E15" i="14"/>
  <c r="F17" i="7"/>
  <c r="E18" i="7"/>
  <c r="E26" i="6"/>
  <c r="F19" i="16"/>
  <c r="E44" i="13"/>
  <c r="E54" i="19"/>
  <c r="E21" i="8"/>
  <c r="F17" i="3"/>
  <c r="F39" i="11"/>
  <c r="F47" i="15"/>
  <c r="E8" i="7"/>
  <c r="F50" i="15"/>
  <c r="E35" i="10"/>
  <c r="E46" i="14"/>
  <c r="F8" i="18"/>
  <c r="E18" i="8"/>
  <c r="E30" i="19"/>
  <c r="F10" i="14"/>
  <c r="F50" i="3"/>
  <c r="F44" i="7"/>
  <c r="E46" i="18"/>
  <c r="E52" i="12"/>
  <c r="E17" i="5"/>
  <c r="E8" i="5"/>
  <c r="F21" i="5"/>
  <c r="F17" i="11"/>
  <c r="F8" i="5"/>
  <c r="F13" i="19"/>
  <c r="E17" i="8"/>
  <c r="F23" i="18"/>
  <c r="F26" i="12"/>
  <c r="E19" i="10"/>
  <c r="E48" i="13"/>
  <c r="E60" i="10"/>
  <c r="F22" i="6"/>
  <c r="F20" i="10"/>
  <c r="F21" i="11"/>
  <c r="E39" i="11"/>
  <c r="E63" i="3"/>
  <c r="E26" i="16"/>
  <c r="E24" i="13"/>
  <c r="F32" i="12"/>
  <c r="E61" i="18"/>
  <c r="F64" i="14"/>
  <c r="E35" i="3"/>
  <c r="F35" i="9"/>
  <c r="E35" i="9"/>
  <c r="E43" i="14"/>
  <c r="E54" i="16"/>
  <c r="F40" i="16"/>
  <c r="E52" i="18"/>
  <c r="F52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4" i="15"/>
  <c r="F42" i="17"/>
  <c r="F43" i="18"/>
  <c r="E61" i="19"/>
  <c r="E15" i="8"/>
  <c r="F20" i="16"/>
  <c r="E26" i="19"/>
  <c r="F26" i="19"/>
  <c r="F21" i="7"/>
  <c r="F16" i="7"/>
  <c r="E16" i="7"/>
  <c r="E58" i="13"/>
  <c r="F45" i="13"/>
  <c r="E45" i="13"/>
  <c r="E40" i="13"/>
  <c r="F40" i="13"/>
  <c r="F52" i="15"/>
  <c r="F43" i="15"/>
  <c r="E49" i="17"/>
  <c r="E7" i="18"/>
  <c r="F7" i="18"/>
  <c r="E28" i="18"/>
  <c r="F27" i="8"/>
  <c r="E27" i="8"/>
  <c r="E14" i="8"/>
  <c r="E50" i="3"/>
  <c r="E52" i="5"/>
  <c r="F49" i="8"/>
  <c r="F49" i="16"/>
  <c r="F48" i="12"/>
  <c r="E53" i="15"/>
  <c r="E42" i="18"/>
  <c r="E32" i="17"/>
  <c r="F16" i="18"/>
  <c r="F27" i="6"/>
  <c r="F32" i="15"/>
  <c r="E28" i="6"/>
  <c r="E47" i="5"/>
  <c r="E50" i="14"/>
  <c r="E56" i="5"/>
  <c r="E48" i="12"/>
  <c r="E58" i="17"/>
  <c r="F42" i="18"/>
  <c r="F57" i="15"/>
  <c r="E55" i="9"/>
  <c r="E14" i="10"/>
  <c r="F20" i="19"/>
  <c r="F32" i="7"/>
  <c r="F21" i="17"/>
  <c r="E31" i="7"/>
  <c r="E19" i="16"/>
  <c r="E54" i="17"/>
  <c r="E48" i="15"/>
  <c r="E55" i="18"/>
  <c r="E60" i="12"/>
  <c r="F27" i="3"/>
  <c r="F47" i="18"/>
  <c r="F63" i="12"/>
  <c r="F60" i="9"/>
  <c r="E60" i="9"/>
  <c r="E33" i="19"/>
  <c r="F22" i="12"/>
  <c r="E22" i="16"/>
  <c r="F22" i="16"/>
  <c r="E10" i="8"/>
  <c r="E30" i="17"/>
  <c r="F30" i="17"/>
  <c r="E30" i="8"/>
  <c r="E29" i="5"/>
  <c r="E29" i="15"/>
  <c r="F50" i="13"/>
  <c r="E46" i="13"/>
  <c r="E58" i="16"/>
  <c r="E56" i="18"/>
  <c r="F27" i="15"/>
  <c r="E8" i="15"/>
  <c r="F8" i="15"/>
  <c r="F27" i="16"/>
  <c r="E27" i="16"/>
  <c r="F55" i="13"/>
  <c r="E19" i="5"/>
  <c r="E31" i="5"/>
  <c r="F32" i="13"/>
  <c r="E23" i="8"/>
  <c r="F43" i="14"/>
  <c r="E28" i="5"/>
  <c r="F39" i="5"/>
  <c r="E39" i="5"/>
  <c r="E46" i="19"/>
  <c r="F43" i="11"/>
  <c r="E43" i="11"/>
  <c r="F53" i="12"/>
  <c r="E53" i="12"/>
  <c r="F55" i="14"/>
  <c r="E55" i="14"/>
  <c r="E19" i="18"/>
  <c r="F22" i="8"/>
  <c r="F26" i="15"/>
  <c r="E26" i="15"/>
  <c r="E32" i="16"/>
  <c r="F32" i="16"/>
  <c r="F42" i="10"/>
  <c r="F22" i="11"/>
  <c r="F16" i="19"/>
  <c r="F18" i="8"/>
  <c r="E39" i="18"/>
  <c r="F49" i="17"/>
  <c r="E20" i="16"/>
  <c r="F64" i="17"/>
  <c r="E64" i="17"/>
  <c r="F58" i="16"/>
  <c r="F61" i="3"/>
  <c r="E61" i="3"/>
  <c r="E19" i="7"/>
  <c r="F19" i="7"/>
  <c r="E13" i="10"/>
  <c r="E25" i="17"/>
  <c r="F20" i="17"/>
  <c r="C37" i="19"/>
  <c r="E32" i="11"/>
  <c r="E27" i="14"/>
  <c r="E57" i="7"/>
  <c r="F55" i="11"/>
  <c r="E55" i="11"/>
  <c r="F50" i="11"/>
  <c r="E33" i="6"/>
  <c r="E7" i="5"/>
  <c r="F17" i="14"/>
  <c r="F44" i="8"/>
  <c r="E45" i="9"/>
  <c r="F49" i="10"/>
  <c r="E12" i="7"/>
  <c r="E7" i="12"/>
  <c r="F39" i="10"/>
  <c r="E39" i="10"/>
  <c r="F9" i="3"/>
  <c r="E24" i="22"/>
  <c r="F13" i="3"/>
  <c r="E48" i="8"/>
  <c r="E58" i="9"/>
  <c r="E53" i="19"/>
  <c r="E54" i="10"/>
  <c r="E63" i="19"/>
  <c r="E18" i="10"/>
  <c r="E31" i="3"/>
  <c r="E35" i="8"/>
  <c r="F35" i="13"/>
  <c r="E40" i="14"/>
  <c r="F43" i="16"/>
  <c r="E57" i="17"/>
  <c r="F49" i="18"/>
  <c r="E7" i="8"/>
  <c r="F7" i="8"/>
  <c r="E27" i="18"/>
  <c r="E31" i="16"/>
  <c r="F30" i="5"/>
  <c r="F30" i="6"/>
  <c r="E30" i="10"/>
  <c r="E11" i="5"/>
  <c r="F11" i="5"/>
  <c r="F12" i="5"/>
  <c r="E9" i="12"/>
  <c r="F45" i="19"/>
  <c r="F42" i="15"/>
  <c r="E49" i="10"/>
  <c r="E48" i="19"/>
  <c r="E45" i="19"/>
  <c r="E20" i="14"/>
  <c r="F15" i="11"/>
  <c r="E20" i="15"/>
  <c r="F32" i="6"/>
  <c r="E8" i="16"/>
  <c r="E33" i="16"/>
  <c r="E13" i="16"/>
  <c r="F25" i="16"/>
  <c r="E25" i="15"/>
  <c r="E44" i="8"/>
  <c r="E55" i="15"/>
  <c r="E13" i="14"/>
  <c r="E49" i="3"/>
  <c r="F40" i="9"/>
  <c r="E53" i="17"/>
  <c r="F40" i="14"/>
  <c r="E62" i="11"/>
  <c r="F58" i="8"/>
  <c r="F53" i="8"/>
  <c r="E34" i="8"/>
  <c r="F15" i="19"/>
  <c r="E15" i="7"/>
  <c r="E7" i="7"/>
  <c r="F7" i="7"/>
  <c r="E8" i="10"/>
  <c r="F8" i="10"/>
  <c r="F53" i="19"/>
  <c r="E48" i="6"/>
  <c r="F48" i="6"/>
  <c r="E40" i="7"/>
  <c r="E54" i="8"/>
  <c r="E46" i="10"/>
  <c r="E62" i="13"/>
  <c r="F7" i="11"/>
  <c r="E21" i="10"/>
  <c r="F40" i="19"/>
  <c r="E40" i="19"/>
  <c r="E49" i="9"/>
  <c r="E7" i="9"/>
  <c r="F7" i="9"/>
  <c r="F23" i="11"/>
  <c r="F21" i="10"/>
  <c r="E26" i="10"/>
  <c r="E39" i="17"/>
  <c r="E61" i="12"/>
  <c r="E16" i="3"/>
  <c r="F16" i="3"/>
  <c r="E56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5" i="13"/>
  <c r="E43" i="6"/>
  <c r="E56" i="6"/>
  <c r="F18" i="10"/>
  <c r="E60" i="14"/>
  <c r="F61" i="10"/>
  <c r="E64" i="9"/>
  <c r="F64" i="9"/>
  <c r="F61" i="9"/>
  <c r="E61" i="9"/>
  <c r="F49" i="9"/>
  <c r="F50" i="5"/>
  <c r="F21" i="3"/>
  <c r="F15" i="3"/>
  <c r="E15" i="3"/>
  <c r="F35" i="14"/>
  <c r="E35" i="14"/>
  <c r="F35" i="18"/>
  <c r="E35" i="18"/>
  <c r="F21" i="8"/>
  <c r="E23" i="19"/>
  <c r="E31" i="11"/>
  <c r="E57" i="11"/>
  <c r="E48" i="11"/>
  <c r="F48" i="11"/>
  <c r="F58" i="12"/>
  <c r="F53" i="14"/>
  <c r="E50" i="16"/>
  <c r="F43" i="17"/>
  <c r="F44" i="18"/>
  <c r="E44" i="18"/>
  <c r="F21" i="18"/>
  <c r="F25" i="6"/>
  <c r="E25" i="6"/>
  <c r="F16" i="8"/>
  <c r="E16" i="8"/>
  <c r="F23" i="15"/>
  <c r="E16" i="16"/>
  <c r="F16" i="16"/>
  <c r="F8" i="17"/>
  <c r="E8" i="17"/>
  <c r="F51" i="22"/>
  <c r="E10" i="3"/>
  <c r="F8" i="23"/>
  <c r="F87" i="23"/>
  <c r="F7" i="23"/>
  <c r="D86" i="23"/>
  <c r="E86" i="23" s="1"/>
  <c r="E80" i="23"/>
  <c r="E23" i="23"/>
  <c r="F22" i="23"/>
  <c r="F18" i="23"/>
  <c r="F14" i="23"/>
  <c r="C19" i="23"/>
  <c r="F24" i="22"/>
  <c r="F52" i="3"/>
  <c r="F43" i="3"/>
  <c r="E23" i="3"/>
  <c r="E17" i="3"/>
  <c r="F35" i="3"/>
  <c r="E21" i="3"/>
  <c r="F48" i="3"/>
  <c r="D53" i="20"/>
  <c r="E53" i="20" s="1"/>
  <c r="E57" i="5"/>
  <c r="F52" i="5"/>
  <c r="F43" i="5"/>
  <c r="E26" i="5"/>
  <c r="E15" i="5"/>
  <c r="D10" i="20"/>
  <c r="E55" i="5"/>
  <c r="F7" i="5"/>
  <c r="E61" i="5"/>
  <c r="F23" i="5"/>
  <c r="F55" i="6"/>
  <c r="E57" i="6"/>
  <c r="F50" i="6"/>
  <c r="E46" i="6"/>
  <c r="E39" i="6"/>
  <c r="F39" i="6"/>
  <c r="F52" i="7"/>
  <c r="F13" i="7"/>
  <c r="F18" i="7"/>
  <c r="E49" i="7"/>
  <c r="E45" i="7"/>
  <c r="F31" i="20"/>
  <c r="F32" i="8"/>
  <c r="E8" i="8"/>
  <c r="F19" i="8"/>
  <c r="F52" i="8"/>
  <c r="F35" i="8"/>
  <c r="E13" i="8"/>
  <c r="F23" i="8"/>
  <c r="F63" i="9"/>
  <c r="E63" i="9"/>
  <c r="F13" i="10"/>
  <c r="E63" i="10"/>
  <c r="E56" i="10"/>
  <c r="F10" i="10"/>
  <c r="E42" i="10"/>
  <c r="F47" i="10"/>
  <c r="E18" i="11"/>
  <c r="E7" i="11"/>
  <c r="F14" i="11"/>
  <c r="F18" i="11"/>
  <c r="E33" i="11"/>
  <c r="F49" i="12"/>
  <c r="F7" i="12"/>
  <c r="E28" i="12"/>
  <c r="E35" i="12"/>
  <c r="E63" i="12"/>
  <c r="E40" i="12"/>
  <c r="E47" i="12"/>
  <c r="D11" i="20"/>
  <c r="E57" i="13"/>
  <c r="E43" i="13"/>
  <c r="E54" i="14"/>
  <c r="E64" i="14"/>
  <c r="F61" i="14"/>
  <c r="F63" i="14"/>
  <c r="F12" i="14"/>
  <c r="D12" i="20"/>
  <c r="E9" i="14"/>
  <c r="F21" i="14"/>
  <c r="E12" i="14"/>
  <c r="E49" i="15"/>
  <c r="E21" i="15"/>
  <c r="E47" i="15"/>
  <c r="E23" i="15"/>
  <c r="D52" i="20"/>
  <c r="D73" i="23" s="1"/>
  <c r="D58" i="20"/>
  <c r="D79" i="23" s="1"/>
  <c r="F79" i="23" s="1"/>
  <c r="E57" i="15"/>
  <c r="F49" i="15"/>
  <c r="E33" i="15"/>
  <c r="E43" i="15"/>
  <c r="F53" i="16"/>
  <c r="E42" i="16"/>
  <c r="F55" i="16"/>
  <c r="F57" i="16"/>
  <c r="E14" i="16"/>
  <c r="E44" i="16"/>
  <c r="D46" i="20"/>
  <c r="E46" i="20" s="1"/>
  <c r="F8" i="16"/>
  <c r="D50" i="20"/>
  <c r="E50" i="20" s="1"/>
  <c r="F25" i="17"/>
  <c r="F14" i="17"/>
  <c r="F7" i="17"/>
  <c r="E33" i="17"/>
  <c r="F53" i="17"/>
  <c r="E34" i="17"/>
  <c r="D35" i="20"/>
  <c r="F35" i="20" s="1"/>
  <c r="E55" i="17"/>
  <c r="D45" i="20"/>
  <c r="D66" i="23" s="1"/>
  <c r="F66" i="23" s="1"/>
  <c r="D56" i="20"/>
  <c r="D77" i="23" s="1"/>
  <c r="F77" i="23" s="1"/>
  <c r="F18" i="18"/>
  <c r="E40" i="18"/>
  <c r="E60" i="18"/>
  <c r="E20" i="18"/>
  <c r="E31" i="18"/>
  <c r="F64" i="18"/>
  <c r="F58" i="18"/>
  <c r="D54" i="20"/>
  <c r="D75" i="23" s="1"/>
  <c r="E75" i="23" s="1"/>
  <c r="D61" i="20"/>
  <c r="F22" i="18"/>
  <c r="E64" i="18"/>
  <c r="F61" i="18"/>
  <c r="F39" i="18"/>
  <c r="F63" i="16"/>
  <c r="E63" i="16"/>
  <c r="E60" i="13"/>
  <c r="E34" i="13"/>
  <c r="E62" i="10"/>
  <c r="E59" i="10"/>
  <c r="E34" i="10"/>
  <c r="E63" i="5"/>
  <c r="F63" i="5"/>
  <c r="E7" i="3"/>
  <c r="E26" i="3"/>
  <c r="F26" i="3"/>
  <c r="E25" i="12"/>
  <c r="F35" i="5"/>
  <c r="E35" i="5"/>
  <c r="E20" i="11"/>
  <c r="F20" i="11"/>
  <c r="F16" i="11"/>
  <c r="E16" i="11"/>
  <c r="E32" i="14"/>
  <c r="F32" i="14"/>
  <c r="E18" i="14"/>
  <c r="F18" i="14"/>
  <c r="F39" i="16"/>
  <c r="F55" i="3"/>
  <c r="E55" i="3"/>
  <c r="F48" i="7"/>
  <c r="F45" i="8"/>
  <c r="E50" i="9"/>
  <c r="F50" i="9"/>
  <c r="E55" i="10"/>
  <c r="F49" i="11"/>
  <c r="E49" i="11"/>
  <c r="F45" i="16"/>
  <c r="F50" i="17"/>
  <c r="E50" i="17"/>
  <c r="F9" i="7"/>
  <c r="E30" i="11"/>
  <c r="F30" i="11"/>
  <c r="F30" i="7"/>
  <c r="E29" i="10"/>
  <c r="F29" i="10"/>
  <c r="F9" i="16"/>
  <c r="F11" i="14"/>
  <c r="E30" i="7"/>
  <c r="F29" i="5"/>
  <c r="F57" i="3"/>
  <c r="E10" i="12"/>
  <c r="F39" i="9"/>
  <c r="D39" i="20"/>
  <c r="F39" i="20" s="1"/>
  <c r="F39" i="12"/>
  <c r="F52" i="11"/>
  <c r="E54" i="18"/>
  <c r="D43" i="20"/>
  <c r="D64" i="23" s="1"/>
  <c r="E64" i="23" s="1"/>
  <c r="E58" i="5"/>
  <c r="F44" i="3"/>
  <c r="F42" i="9"/>
  <c r="E49" i="6"/>
  <c r="F40" i="8"/>
  <c r="F58" i="14"/>
  <c r="E58" i="14"/>
  <c r="D40" i="20"/>
  <c r="F40" i="20" s="1"/>
  <c r="F7" i="14"/>
  <c r="F32" i="17"/>
  <c r="E26" i="14"/>
  <c r="E28" i="17"/>
  <c r="E21" i="17"/>
  <c r="F29" i="12"/>
  <c r="F7" i="3"/>
  <c r="E10" i="16"/>
  <c r="E46" i="17"/>
  <c r="F22" i="7"/>
  <c r="F14" i="7"/>
  <c r="E14" i="7"/>
  <c r="E62" i="12"/>
  <c r="E61" i="11"/>
  <c r="F61" i="11"/>
  <c r="E8" i="9"/>
  <c r="F27" i="12"/>
  <c r="F20" i="12"/>
  <c r="F26" i="17"/>
  <c r="F25" i="3"/>
  <c r="F16" i="14"/>
  <c r="E16" i="14"/>
  <c r="E25" i="5"/>
  <c r="F8" i="13"/>
  <c r="F39" i="14"/>
  <c r="E39" i="14"/>
  <c r="E58" i="6"/>
  <c r="F58" i="6"/>
  <c r="F47" i="8"/>
  <c r="E48" i="9"/>
  <c r="F44" i="9"/>
  <c r="E44" i="9"/>
  <c r="F42" i="13"/>
  <c r="F47" i="14"/>
  <c r="E47" i="14"/>
  <c r="E44" i="14"/>
  <c r="F44" i="14"/>
  <c r="E47" i="16"/>
  <c r="F47" i="16"/>
  <c r="F48" i="17"/>
  <c r="E48" i="17"/>
  <c r="F44" i="17"/>
  <c r="E44" i="17"/>
  <c r="F45" i="18"/>
  <c r="E45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7" i="10"/>
  <c r="F10" i="3"/>
  <c r="F12" i="3"/>
  <c r="E11" i="7"/>
  <c r="D26" i="20"/>
  <c r="D46" i="23" s="1"/>
  <c r="E46" i="23" s="1"/>
  <c r="E9" i="16"/>
  <c r="E57" i="3"/>
  <c r="F52" i="14"/>
  <c r="F58" i="15"/>
  <c r="F49" i="14"/>
  <c r="F55" i="17"/>
  <c r="D48" i="20"/>
  <c r="F48" i="20" s="1"/>
  <c r="E40" i="8"/>
  <c r="E49" i="18"/>
  <c r="D28" i="20"/>
  <c r="E28" i="20" s="1"/>
  <c r="E7" i="13"/>
  <c r="D23" i="20"/>
  <c r="E23" i="20" s="1"/>
  <c r="F16" i="5"/>
  <c r="E33" i="13"/>
  <c r="E27" i="12"/>
  <c r="F23" i="16"/>
  <c r="E34" i="14"/>
  <c r="E28" i="13"/>
  <c r="E48" i="7"/>
  <c r="E47" i="18"/>
  <c r="E57" i="10"/>
  <c r="F55" i="15"/>
  <c r="E64" i="13"/>
  <c r="E60" i="15"/>
  <c r="F64" i="7"/>
  <c r="E64" i="7"/>
  <c r="E28" i="7"/>
  <c r="E27" i="10"/>
  <c r="F27" i="10"/>
  <c r="F15" i="10"/>
  <c r="D15" i="20"/>
  <c r="F61" i="17"/>
  <c r="F61" i="16"/>
  <c r="E61" i="16"/>
  <c r="E63" i="15"/>
  <c r="E34" i="5"/>
  <c r="E64" i="3"/>
  <c r="F64" i="3"/>
  <c r="E28" i="16"/>
  <c r="F12" i="16"/>
  <c r="E12" i="16"/>
  <c r="F63" i="13"/>
  <c r="E63" i="13"/>
  <c r="E61" i="8"/>
  <c r="E33" i="18"/>
  <c r="F44" i="11"/>
  <c r="F48" i="16"/>
  <c r="F22" i="5"/>
  <c r="F64" i="19"/>
  <c r="C54" i="23"/>
  <c r="F54" i="23" s="1"/>
  <c r="D55" i="20"/>
  <c r="F55" i="20" s="1"/>
  <c r="E55" i="19"/>
  <c r="F54" i="20"/>
  <c r="E57" i="19"/>
  <c r="F56" i="20"/>
  <c r="D42" i="20"/>
  <c r="F42" i="20" s="1"/>
  <c r="F42" i="19"/>
  <c r="F29" i="19"/>
  <c r="D14" i="20"/>
  <c r="D49" i="20"/>
  <c r="D70" i="23" s="1"/>
  <c r="F39" i="19"/>
  <c r="F7" i="19"/>
  <c r="F14" i="19"/>
  <c r="E42" i="19"/>
  <c r="D44" i="20"/>
  <c r="F44" i="20" s="1"/>
  <c r="F57" i="19"/>
  <c r="D33" i="20"/>
  <c r="D53" i="23" s="1"/>
  <c r="F27" i="19"/>
  <c r="F62" i="20"/>
  <c r="E64" i="19"/>
  <c r="D57" i="20"/>
  <c r="D78" i="23" s="1"/>
  <c r="F78" i="23" s="1"/>
  <c r="F49" i="19"/>
  <c r="E49" i="19"/>
  <c r="E47" i="19"/>
  <c r="F44" i="19"/>
  <c r="E34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3" i="23"/>
  <c r="C51" i="20"/>
  <c r="F28" i="20"/>
  <c r="C48" i="23"/>
  <c r="F63" i="17"/>
  <c r="E63" i="17"/>
  <c r="E62" i="16"/>
  <c r="F64" i="12"/>
  <c r="E60" i="7"/>
  <c r="E60" i="5"/>
  <c r="E31" i="10"/>
  <c r="F17" i="10"/>
  <c r="D19" i="20"/>
  <c r="F19" i="20" s="1"/>
  <c r="E19" i="17"/>
  <c r="F29" i="3"/>
  <c r="E29" i="3"/>
  <c r="E50" i="22"/>
  <c r="D25" i="20"/>
  <c r="D45" i="23" s="1"/>
  <c r="F45" i="23" s="1"/>
  <c r="C68" i="23"/>
  <c r="E26" i="13"/>
  <c r="E31" i="12"/>
  <c r="E62" i="6"/>
  <c r="F13" i="12"/>
  <c r="E22" i="19"/>
  <c r="F22" i="19"/>
  <c r="E11" i="16"/>
  <c r="F9" i="5"/>
  <c r="E30" i="9"/>
  <c r="E30" i="3"/>
  <c r="F30" i="3"/>
  <c r="F29" i="17"/>
  <c r="E29" i="17"/>
  <c r="E29" i="8"/>
  <c r="E29" i="6"/>
  <c r="F53" i="22"/>
  <c r="F49" i="22"/>
  <c r="E49" i="22"/>
  <c r="E10" i="7"/>
  <c r="F11" i="16"/>
  <c r="E11" i="3"/>
  <c r="F32" i="5"/>
  <c r="E27" i="7"/>
  <c r="F11" i="12"/>
  <c r="F26" i="13"/>
  <c r="D60" i="20"/>
  <c r="F63" i="11"/>
  <c r="E63" i="11"/>
  <c r="E62" i="8"/>
  <c r="F63" i="7"/>
  <c r="E63" i="7"/>
  <c r="E61" i="7"/>
  <c r="F61" i="7"/>
  <c r="E61" i="6"/>
  <c r="F61" i="6"/>
  <c r="E55" i="22"/>
  <c r="F55" i="22"/>
  <c r="E46" i="22"/>
  <c r="E29" i="12"/>
  <c r="F52" i="19"/>
  <c r="E52" i="19"/>
  <c r="D47" i="20"/>
  <c r="D68" i="23" s="1"/>
  <c r="F58" i="3"/>
  <c r="E58" i="3"/>
  <c r="E53" i="3"/>
  <c r="F53" i="3"/>
  <c r="E46" i="3"/>
  <c r="F42" i="3"/>
  <c r="E53" i="5"/>
  <c r="F53" i="5"/>
  <c r="F48" i="5"/>
  <c r="E45" i="5"/>
  <c r="F40" i="5"/>
  <c r="E52" i="6"/>
  <c r="F52" i="6"/>
  <c r="E47" i="6"/>
  <c r="F47" i="6"/>
  <c r="E44" i="6"/>
  <c r="E58" i="7"/>
  <c r="E54" i="7"/>
  <c r="E46" i="7"/>
  <c r="F43" i="7"/>
  <c r="E43" i="7"/>
  <c r="F57" i="9"/>
  <c r="F53" i="9"/>
  <c r="E45" i="10"/>
  <c r="E40" i="10"/>
  <c r="E45" i="11"/>
  <c r="E50" i="12"/>
  <c r="F50" i="12"/>
  <c r="E56" i="13"/>
  <c r="F52" i="16"/>
  <c r="E17" i="19"/>
  <c r="F17" i="19"/>
  <c r="E32" i="22"/>
  <c r="F28" i="22"/>
  <c r="E28" i="22"/>
  <c r="F64" i="16"/>
  <c r="E64" i="16"/>
  <c r="E60" i="16"/>
  <c r="E25" i="10"/>
  <c r="E8" i="12"/>
  <c r="F8" i="12"/>
  <c r="E18" i="19"/>
  <c r="E29" i="9"/>
  <c r="F32" i="10"/>
  <c r="E32" i="10"/>
  <c r="C41" i="20"/>
  <c r="E17" i="10"/>
  <c r="D64" i="20"/>
  <c r="E63" i="22"/>
  <c r="E34" i="16"/>
  <c r="D34" i="20"/>
  <c r="E34" i="20" s="1"/>
  <c r="E54" i="13"/>
  <c r="E9" i="5"/>
  <c r="D13" i="20"/>
  <c r="E13" i="20" s="1"/>
  <c r="D27" i="20"/>
  <c r="D17" i="20"/>
  <c r="F17" i="20" s="1"/>
  <c r="D22" i="20"/>
  <c r="F19" i="17"/>
  <c r="E53" i="22"/>
  <c r="D7" i="20"/>
  <c r="D18" i="20"/>
  <c r="D38" i="23" s="1"/>
  <c r="E38" i="23" s="1"/>
  <c r="E63" i="14"/>
  <c r="D62" i="20"/>
  <c r="D84" i="23" s="1"/>
  <c r="E62" i="14"/>
  <c r="E34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59" i="20"/>
  <c r="F46" i="20"/>
  <c r="C67" i="23"/>
  <c r="F67" i="23" s="1"/>
  <c r="E64" i="15"/>
  <c r="F64" i="15"/>
  <c r="E60" i="11"/>
  <c r="E60" i="8"/>
  <c r="F60" i="8"/>
  <c r="F59" i="8"/>
  <c r="E34" i="6"/>
  <c r="E35" i="7"/>
  <c r="E45" i="22"/>
  <c r="E42" i="22"/>
  <c r="F42" i="22"/>
  <c r="F23" i="12"/>
  <c r="E23" i="10"/>
  <c r="E16" i="10"/>
  <c r="F16" i="10"/>
  <c r="F39" i="15"/>
  <c r="F58" i="19"/>
  <c r="F50" i="19"/>
  <c r="E50" i="19"/>
  <c r="F52" i="10"/>
  <c r="F58" i="11"/>
  <c r="E58" i="11"/>
  <c r="E56" i="11"/>
  <c r="E42" i="14"/>
  <c r="D16" i="20"/>
  <c r="E19" i="22"/>
  <c r="E34" i="18"/>
  <c r="F61" i="13"/>
  <c r="E34" i="9"/>
  <c r="F64" i="8"/>
  <c r="F64" i="6"/>
  <c r="E60" i="6"/>
  <c r="E62" i="3"/>
  <c r="E20" i="3"/>
  <c r="F20" i="3"/>
  <c r="E14" i="3"/>
  <c r="F18" i="17"/>
  <c r="F58" i="22"/>
  <c r="D59" i="19"/>
  <c r="F59" i="19" s="1"/>
  <c r="E31" i="19"/>
  <c r="E63" i="6"/>
  <c r="F63" i="6"/>
  <c r="F23" i="14"/>
  <c r="D63" i="20"/>
  <c r="D85" i="23" s="1"/>
  <c r="E51" i="15"/>
  <c r="D41" i="19"/>
  <c r="E41" i="7"/>
  <c r="E51" i="9"/>
  <c r="D51" i="19"/>
  <c r="E13" i="23"/>
  <c r="D12" i="23"/>
  <c r="F12" i="23" s="1"/>
  <c r="D9" i="23"/>
  <c r="C91" i="23"/>
  <c r="D15" i="23"/>
  <c r="E17" i="23"/>
  <c r="E25" i="23"/>
  <c r="F16" i="23"/>
  <c r="E25" i="22"/>
  <c r="E20" i="22"/>
  <c r="E62" i="15"/>
  <c r="E61" i="15"/>
  <c r="F64" i="13"/>
  <c r="E64" i="12"/>
  <c r="E34" i="12"/>
  <c r="E34" i="22"/>
  <c r="E26" i="22"/>
  <c r="E21" i="22"/>
  <c r="E17" i="22"/>
  <c r="E62" i="18"/>
  <c r="F61" i="15"/>
  <c r="E64" i="6"/>
  <c r="F60" i="5"/>
  <c r="E16" i="19"/>
  <c r="D29" i="20"/>
  <c r="E25" i="19"/>
  <c r="E8" i="19"/>
  <c r="E10" i="11"/>
  <c r="E25" i="13"/>
  <c r="E51" i="13"/>
  <c r="F35" i="19"/>
  <c r="E24" i="19" l="1"/>
  <c r="E7" i="20"/>
  <c r="F60" i="20"/>
  <c r="D82" i="23"/>
  <c r="F82" i="23" s="1"/>
  <c r="D83" i="23"/>
  <c r="E83" i="23" s="1"/>
  <c r="F33" i="20"/>
  <c r="F6" i="23"/>
  <c r="E9" i="23"/>
  <c r="E6" i="9"/>
  <c r="E59" i="9"/>
  <c r="E59" i="16"/>
  <c r="E10" i="20"/>
  <c r="F50" i="20"/>
  <c r="F59" i="9"/>
  <c r="E59" i="15"/>
  <c r="F10" i="20"/>
  <c r="F59" i="16"/>
  <c r="F59" i="18"/>
  <c r="F59" i="15"/>
  <c r="F86" i="23"/>
  <c r="F11" i="20"/>
  <c r="F53" i="20"/>
  <c r="E12" i="23"/>
  <c r="D74" i="23"/>
  <c r="F74" i="23" s="1"/>
  <c r="E77" i="23"/>
  <c r="E12" i="20"/>
  <c r="F14" i="20"/>
  <c r="D50" i="23"/>
  <c r="E50" i="23" s="1"/>
  <c r="F26" i="20"/>
  <c r="F52" i="20"/>
  <c r="F61" i="20"/>
  <c r="E66" i="23"/>
  <c r="E11" i="20"/>
  <c r="D67" i="23"/>
  <c r="E67" i="23" s="1"/>
  <c r="E35" i="20"/>
  <c r="E56" i="20"/>
  <c r="D55" i="23"/>
  <c r="E55" i="23" s="1"/>
  <c r="F12" i="20"/>
  <c r="E15" i="20"/>
  <c r="E73" i="23"/>
  <c r="E61" i="20"/>
  <c r="E52" i="20"/>
  <c r="F15" i="20"/>
  <c r="E45" i="20"/>
  <c r="D71" i="23"/>
  <c r="E71" i="23" s="1"/>
  <c r="E58" i="20"/>
  <c r="F58" i="20"/>
  <c r="D43" i="23"/>
  <c r="F43" i="23" s="1"/>
  <c r="E54" i="20"/>
  <c r="F18" i="20"/>
  <c r="F45" i="20"/>
  <c r="E19" i="20"/>
  <c r="E43" i="20"/>
  <c r="E48" i="20"/>
  <c r="F38" i="23"/>
  <c r="F64" i="23"/>
  <c r="F9" i="20"/>
  <c r="E59" i="18"/>
  <c r="D48" i="23"/>
  <c r="F48" i="23" s="1"/>
  <c r="F30" i="20"/>
  <c r="F46" i="23"/>
  <c r="E57" i="20"/>
  <c r="E24" i="5"/>
  <c r="F24" i="5"/>
  <c r="E24" i="9"/>
  <c r="E18" i="20"/>
  <c r="F23" i="20"/>
  <c r="F59" i="10"/>
  <c r="D63" i="23"/>
  <c r="E63" i="23" s="1"/>
  <c r="D76" i="23"/>
  <c r="E42" i="20"/>
  <c r="D60" i="23"/>
  <c r="E60" i="23" s="1"/>
  <c r="D69" i="23"/>
  <c r="E69" i="23" s="1"/>
  <c r="E26" i="20"/>
  <c r="E24" i="16"/>
  <c r="F24" i="16"/>
  <c r="F59" i="13"/>
  <c r="E59" i="13"/>
  <c r="D61" i="23"/>
  <c r="E40" i="20"/>
  <c r="E37" i="5"/>
  <c r="F43" i="20"/>
  <c r="F53" i="23"/>
  <c r="E39" i="20"/>
  <c r="F24" i="9"/>
  <c r="F25" i="20"/>
  <c r="D54" i="23"/>
  <c r="E54" i="23" s="1"/>
  <c r="E14" i="20"/>
  <c r="E55" i="20"/>
  <c r="E33" i="20"/>
  <c r="F57" i="20"/>
  <c r="D51" i="20"/>
  <c r="F51" i="20" s="1"/>
  <c r="E45" i="23"/>
  <c r="F20" i="20"/>
  <c r="E53" i="23"/>
  <c r="C44" i="23"/>
  <c r="E44" i="20"/>
  <c r="D65" i="23"/>
  <c r="D40" i="23"/>
  <c r="E40" i="23" s="1"/>
  <c r="E78" i="23"/>
  <c r="F49" i="20"/>
  <c r="E49" i="20"/>
  <c r="F83" i="23"/>
  <c r="F73" i="23"/>
  <c r="E68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1" i="10"/>
  <c r="F51" i="10"/>
  <c r="E24" i="3"/>
  <c r="F24" i="3"/>
  <c r="E24" i="8"/>
  <c r="F24" i="8"/>
  <c r="F6" i="8"/>
  <c r="C81" i="23"/>
  <c r="D51" i="23"/>
  <c r="E51" i="23" s="1"/>
  <c r="E31" i="20"/>
  <c r="D89" i="23"/>
  <c r="F64" i="20"/>
  <c r="E64" i="20"/>
  <c r="F41" i="22"/>
  <c r="E41" i="22"/>
  <c r="E24" i="7"/>
  <c r="F24" i="7"/>
  <c r="F41" i="15"/>
  <c r="E41" i="15"/>
  <c r="F24" i="18"/>
  <c r="E24" i="18"/>
  <c r="F24" i="11"/>
  <c r="E24" i="11"/>
  <c r="F59" i="12"/>
  <c r="E59" i="12"/>
  <c r="E51" i="6"/>
  <c r="F51" i="6"/>
  <c r="E51" i="3"/>
  <c r="F51" i="3"/>
  <c r="F59" i="6"/>
  <c r="E59" i="6"/>
  <c r="C72" i="23"/>
  <c r="D37" i="23"/>
  <c r="D38" i="19"/>
  <c r="E41" i="19"/>
  <c r="F41" i="19"/>
  <c r="F51" i="15"/>
  <c r="F63" i="20"/>
  <c r="E63" i="20"/>
  <c r="E41" i="9"/>
  <c r="F41" i="9"/>
  <c r="E59" i="19"/>
  <c r="E51" i="11"/>
  <c r="F51" i="11"/>
  <c r="E59" i="8"/>
  <c r="F51" i="5"/>
  <c r="E51" i="5"/>
  <c r="F68" i="23"/>
  <c r="E60" i="20"/>
  <c r="E47" i="20"/>
  <c r="F59" i="17"/>
  <c r="E59" i="17"/>
  <c r="D41" i="20"/>
  <c r="C37" i="20"/>
  <c r="F41" i="7"/>
  <c r="F41" i="11"/>
  <c r="F59" i="11"/>
  <c r="E59" i="22"/>
  <c r="F59" i="22"/>
  <c r="D47" i="23"/>
  <c r="E27" i="20"/>
  <c r="F41" i="3"/>
  <c r="E41" i="3"/>
  <c r="F27" i="20"/>
  <c r="E51" i="19"/>
  <c r="F51" i="19"/>
  <c r="F51" i="7"/>
  <c r="E51" i="7"/>
  <c r="F41" i="14"/>
  <c r="E41" i="14"/>
  <c r="E62" i="20"/>
  <c r="E41" i="11"/>
  <c r="D59" i="20"/>
  <c r="F59" i="20" s="1"/>
  <c r="E79" i="23"/>
  <c r="E17" i="20"/>
  <c r="F16" i="20"/>
  <c r="F51" i="9"/>
  <c r="F24" i="12"/>
  <c r="E24" i="12"/>
  <c r="E51" i="12"/>
  <c r="F51" i="12"/>
  <c r="F59" i="3"/>
  <c r="E59" i="3"/>
  <c r="E59" i="11"/>
  <c r="E37" i="16"/>
  <c r="F37" i="16"/>
  <c r="F59" i="14"/>
  <c r="E59" i="14"/>
  <c r="E59" i="5"/>
  <c r="F59" i="5"/>
  <c r="F7" i="20"/>
  <c r="F70" i="23"/>
  <c r="E70" i="23"/>
  <c r="E22" i="20"/>
  <c r="D42" i="23"/>
  <c r="F22" i="20"/>
  <c r="C38" i="20"/>
  <c r="F24" i="10"/>
  <c r="E24" i="10"/>
  <c r="C62" i="23"/>
  <c r="E59" i="7"/>
  <c r="F59" i="7"/>
  <c r="F47" i="20"/>
  <c r="F6" i="9"/>
  <c r="D91" i="23"/>
  <c r="F91" i="23" s="1"/>
  <c r="D19" i="23"/>
  <c r="E15" i="23"/>
  <c r="F15" i="23"/>
  <c r="E52" i="23"/>
  <c r="F52" i="23"/>
  <c r="E41" i="18"/>
  <c r="F41" i="18"/>
  <c r="F41" i="13"/>
  <c r="E41" i="13"/>
  <c r="F41" i="12"/>
  <c r="E41" i="12"/>
  <c r="E51" i="16"/>
  <c r="F51" i="16"/>
  <c r="F41" i="10"/>
  <c r="E41" i="10"/>
  <c r="F24" i="17"/>
  <c r="E24" i="17"/>
  <c r="F51" i="8"/>
  <c r="E51" i="8"/>
  <c r="E24" i="15"/>
  <c r="F24" i="15"/>
  <c r="F41" i="8"/>
  <c r="E41" i="8"/>
  <c r="F51" i="13"/>
  <c r="F24" i="13"/>
  <c r="F41" i="6"/>
  <c r="E41" i="6"/>
  <c r="F24" i="19"/>
  <c r="D37" i="19"/>
  <c r="D24" i="20"/>
  <c r="D6" i="20" s="1"/>
  <c r="D49" i="23"/>
  <c r="F29" i="20"/>
  <c r="E29" i="20"/>
  <c r="F24" i="6"/>
  <c r="E24" i="6"/>
  <c r="E51" i="18"/>
  <c r="F51" i="18"/>
  <c r="F24" i="14"/>
  <c r="E24" i="14"/>
  <c r="F41" i="16"/>
  <c r="E41" i="16"/>
  <c r="F51" i="17"/>
  <c r="E51" i="17"/>
  <c r="F41" i="5"/>
  <c r="E41" i="5"/>
  <c r="F51" i="14"/>
  <c r="E51" i="14"/>
  <c r="E41" i="17"/>
  <c r="F41" i="17"/>
  <c r="E74" i="23" l="1"/>
  <c r="F37" i="5"/>
  <c r="F6" i="5"/>
  <c r="E6" i="5"/>
  <c r="E91" i="23"/>
  <c r="F50" i="23"/>
  <c r="E43" i="23"/>
  <c r="F55" i="23"/>
  <c r="E37" i="8"/>
  <c r="F63" i="23"/>
  <c r="F71" i="23"/>
  <c r="E48" i="23"/>
  <c r="C59" i="23"/>
  <c r="F60" i="23"/>
  <c r="E76" i="23"/>
  <c r="F76" i="23"/>
  <c r="D62" i="23"/>
  <c r="F62" i="23" s="1"/>
  <c r="D72" i="23"/>
  <c r="E72" i="23" s="1"/>
  <c r="E6" i="16"/>
  <c r="F6" i="16"/>
  <c r="E61" i="23"/>
  <c r="F61" i="23"/>
  <c r="F37" i="8"/>
  <c r="F69" i="23"/>
  <c r="E37" i="9"/>
  <c r="F37" i="9"/>
  <c r="E51" i="20"/>
  <c r="D38" i="20"/>
  <c r="E38" i="20" s="1"/>
  <c r="E39" i="23"/>
  <c r="F40" i="23"/>
  <c r="F65" i="23"/>
  <c r="E65" i="23"/>
  <c r="E59" i="20"/>
  <c r="E41" i="20"/>
  <c r="F41" i="20"/>
  <c r="E41" i="23"/>
  <c r="F41" i="23"/>
  <c r="E37" i="3"/>
  <c r="F37" i="3"/>
  <c r="F37" i="10"/>
  <c r="E37" i="10"/>
  <c r="E38" i="7"/>
  <c r="F38" i="7"/>
  <c r="F38" i="9"/>
  <c r="E38" i="9"/>
  <c r="F85" i="23"/>
  <c r="E85" i="23"/>
  <c r="E37" i="23"/>
  <c r="F37" i="23"/>
  <c r="E37" i="11"/>
  <c r="F37" i="11"/>
  <c r="D81" i="23"/>
  <c r="F81" i="23" s="1"/>
  <c r="F84" i="23"/>
  <c r="E84" i="23"/>
  <c r="F37" i="18"/>
  <c r="E37" i="18"/>
  <c r="F38" i="15"/>
  <c r="E38" i="15"/>
  <c r="E6" i="7"/>
  <c r="F6" i="7"/>
  <c r="F89" i="23"/>
  <c r="E89" i="23"/>
  <c r="E82" i="23"/>
  <c r="F37" i="12"/>
  <c r="E37" i="12"/>
  <c r="E47" i="23"/>
  <c r="F47" i="23"/>
  <c r="F38" i="11"/>
  <c r="E38" i="11"/>
  <c r="E37" i="7"/>
  <c r="F37" i="7"/>
  <c r="E6" i="8"/>
  <c r="F42" i="23"/>
  <c r="E42" i="23"/>
  <c r="F6" i="18"/>
  <c r="E6" i="18"/>
  <c r="F38" i="3"/>
  <c r="E38" i="3"/>
  <c r="F38" i="19"/>
  <c r="E38" i="19"/>
  <c r="E6" i="11"/>
  <c r="F6" i="11"/>
  <c r="F38" i="22"/>
  <c r="E38" i="22"/>
  <c r="E6" i="3"/>
  <c r="F6" i="3"/>
  <c r="F19" i="23"/>
  <c r="E19" i="23"/>
  <c r="E38" i="14"/>
  <c r="F38" i="14"/>
  <c r="E37" i="14"/>
  <c r="F37" i="14"/>
  <c r="F49" i="23"/>
  <c r="E49" i="23"/>
  <c r="F6" i="13"/>
  <c r="E6" i="13"/>
  <c r="E6" i="6"/>
  <c r="F6" i="6"/>
  <c r="E37" i="6"/>
  <c r="F37" i="6"/>
  <c r="D44" i="23"/>
  <c r="E24" i="20"/>
  <c r="F24" i="20"/>
  <c r="F6" i="17"/>
  <c r="E6" i="17"/>
  <c r="F38" i="12"/>
  <c r="E38" i="12"/>
  <c r="E38" i="13"/>
  <c r="F38" i="13"/>
  <c r="E38" i="18"/>
  <c r="F38" i="18"/>
  <c r="F38" i="17"/>
  <c r="E38" i="17"/>
  <c r="F38" i="5"/>
  <c r="E38" i="5"/>
  <c r="F38" i="16"/>
  <c r="E38" i="16"/>
  <c r="F6" i="19"/>
  <c r="E6" i="19"/>
  <c r="F38" i="6"/>
  <c r="E38" i="6"/>
  <c r="F6" i="15"/>
  <c r="E6" i="15"/>
  <c r="F6" i="14"/>
  <c r="E6" i="14"/>
  <c r="F37" i="19"/>
  <c r="D37" i="20"/>
  <c r="E37" i="19"/>
  <c r="E37" i="13"/>
  <c r="F37" i="13"/>
  <c r="E38" i="8"/>
  <c r="F38" i="8"/>
  <c r="F37" i="15"/>
  <c r="E37" i="15"/>
  <c r="F37" i="17"/>
  <c r="E37" i="17"/>
  <c r="E38" i="10"/>
  <c r="F38" i="10"/>
  <c r="D59" i="23" l="1"/>
  <c r="F59" i="23" s="1"/>
  <c r="E62" i="23"/>
  <c r="F72" i="23"/>
  <c r="F38" i="20"/>
  <c r="E81" i="23"/>
  <c r="S83" i="23" s="1"/>
  <c r="F37" i="20"/>
  <c r="E37" i="20"/>
  <c r="F6" i="20"/>
  <c r="E6" i="20"/>
  <c r="E44" i="23"/>
  <c r="F44" i="23"/>
  <c r="E59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7" i="22"/>
  <c r="E34" i="23" l="1"/>
  <c r="D30" i="23"/>
  <c r="F30" i="23" s="1"/>
  <c r="D28" i="23"/>
  <c r="E28" i="23" s="1"/>
  <c r="E7" i="22"/>
  <c r="E16" i="22"/>
  <c r="D33" i="23"/>
  <c r="E33" i="23" s="1"/>
  <c r="F34" i="23"/>
  <c r="C57" i="23"/>
  <c r="D27" i="23"/>
  <c r="F27" i="23" s="1"/>
  <c r="C26" i="23"/>
  <c r="C92" i="23" s="1"/>
  <c r="E36" i="23"/>
  <c r="F36" i="23"/>
  <c r="D29" i="23"/>
  <c r="E29" i="23" s="1"/>
  <c r="D32" i="23"/>
  <c r="E32" i="23" s="1"/>
  <c r="E14" i="22"/>
  <c r="D31" i="23"/>
  <c r="F31" i="23" s="1"/>
  <c r="D35" i="23"/>
  <c r="E35" i="23" s="1"/>
  <c r="E27" i="23" l="1"/>
  <c r="F28" i="23"/>
  <c r="E30" i="23"/>
  <c r="D57" i="23"/>
  <c r="F57" i="23" s="1"/>
  <c r="E37" i="22"/>
  <c r="C24" i="23"/>
  <c r="C58" i="23" s="1"/>
  <c r="F33" i="23"/>
  <c r="F29" i="23"/>
  <c r="D26" i="23"/>
  <c r="D92" i="23" s="1"/>
  <c r="E6" i="22"/>
  <c r="E31" i="23"/>
  <c r="F35" i="23"/>
  <c r="F6" i="22"/>
  <c r="F32" i="23"/>
  <c r="E57" i="23" l="1"/>
  <c r="C90" i="23"/>
  <c r="D24" i="23"/>
  <c r="F26" i="23"/>
  <c r="E26" i="23"/>
  <c r="D58" i="23" l="1"/>
  <c r="D90" i="23" s="1"/>
  <c r="E90" i="23" s="1"/>
  <c r="F24" i="23"/>
  <c r="E24" i="23"/>
  <c r="F92" i="23"/>
  <c r="E92" i="23"/>
  <c r="F58" i="23" l="1"/>
  <c r="E58" i="23"/>
  <c r="F90" i="23" l="1"/>
</calcChain>
</file>

<file path=xl/sharedStrings.xml><?xml version="1.0" encoding="utf-8"?>
<sst xmlns="http://schemas.openxmlformats.org/spreadsheetml/2006/main" count="2446" uniqueCount="200">
  <si>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</si>
  <si>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</si>
  <si>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</si>
  <si>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</si>
  <si>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</si>
  <si>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</si>
  <si>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</si>
  <si>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</si>
  <si>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</si>
  <si>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</si>
  <si>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</si>
  <si>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</si>
  <si>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</si>
  <si>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</si>
  <si>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</si>
  <si>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</si>
  <si>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</si>
  <si>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</si>
  <si>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</si>
  <si>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</si>
  <si>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</si>
  <si>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</si>
  <si>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</si>
  <si>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</si>
  <si>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</si>
  <si>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</si>
  <si>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</si>
  <si>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</si>
  <si>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</si>
  <si>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</si>
  <si>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</si>
  <si>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</si>
  <si>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</si>
  <si>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</si>
  <si>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</si>
  <si>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</si>
  <si>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</si>
  <si>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</si>
  <si>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</si>
  <si>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</si>
  <si>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</si>
  <si>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</si>
  <si>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</si>
  <si>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</si>
  <si>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</si>
  <si>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</si>
  <si>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</si>
  <si>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</si>
  <si>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</si>
  <si>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</si>
  <si>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</si>
  <si>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</si>
  <si>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</si>
  <si>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</si>
  <si>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</si>
  <si>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</si>
  <si>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</si>
  <si>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</si>
  <si>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</si>
  <si>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</si>
  <si>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</si>
  <si>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</si>
  <si>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</si>
  <si>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</si>
  <si>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</si>
  <si>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</si>
  <si>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</si>
  <si>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</si>
  <si>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</si>
  <si>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</si>
  <si>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</si>
  <si>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</si>
  <si>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</si>
  <si>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</si>
  <si>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</si>
  <si>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</si>
  <si>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</si>
  <si>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</si>
  <si>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</si>
  <si>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</si>
  <si>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</si>
  <si>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</si>
  <si>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</si>
  <si>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</si>
  <si>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</si>
  <si>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</si>
  <si>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</si>
  <si>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</si>
  <si>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</si>
  <si>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</si>
  <si>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</si>
  <si>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</si>
  <si>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</si>
  <si>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</si>
  <si>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</si>
  <si>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</si>
  <si>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</si>
  <si>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</si>
  <si>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</si>
  <si>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</si>
  <si>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</si>
  <si>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</si>
  <si>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</si>
  <si>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</si>
  <si>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</si>
  <si>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</si>
  <si>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</si>
  <si>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</si>
  <si>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</si>
  <si>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</si>
  <si>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</si>
  <si>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</si>
  <si>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</si>
  <si>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</si>
  <si>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</si>
  <si>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</si>
  <si>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</si>
  <si>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</si>
  <si>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</si>
  <si>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</si>
  <si>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</si>
  <si>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</si>
  <si>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</si>
  <si>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</si>
  <si>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</si>
  <si>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</si>
  <si>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</si>
  <si>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</si>
  <si>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</si>
  <si>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</si>
  <si>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</si>
  <si>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</si>
  <si>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</si>
  <si>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</si>
  <si>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</si>
  <si>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</si>
  <si>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</si>
  <si>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</si>
  <si>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</si>
  <si>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</si>
  <si>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</si>
  <si>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</si>
  <si>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</si>
  <si>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</si>
  <si>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</si>
  <si>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</si>
  <si>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</si>
  <si>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</si>
  <si>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</si>
  <si>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</si>
  <si>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</si>
  <si>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</si>
  <si>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</si>
  <si>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</si>
  <si>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</si>
  <si>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</si>
  <si>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</si>
  <si>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</si>
  <si>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</si>
  <si>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</si>
  <si>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</si>
  <si>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</si>
  <si>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</si>
  <si>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</si>
  <si>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</si>
  <si>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</si>
  <si>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</si>
  <si>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</si>
  <si>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</si>
  <si>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</si>
  <si>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</si>
  <si>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</si>
  <si>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</si>
  <si>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</si>
  <si>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</si>
  <si>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</si>
  <si>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</si>
  <si>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</si>
  <si>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</si>
  <si>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</si>
  <si>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</si>
  <si>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</si>
  <si>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</si>
  <si>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</si>
  <si>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</si>
  <si>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</si>
  <si>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</si>
  <si>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</si>
  <si>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</si>
  <si>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</si>
  <si>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</si>
  <si>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</si>
  <si>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</si>
  <si>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</si>
  <si>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</si>
  <si>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</si>
  <si>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2016 rok</t>
  </si>
  <si>
    <t>Koszty świadczeń opieki zdrowotnej  (B2.1 + … + B2.19)</t>
  </si>
  <si>
    <t>Koszty świadczeń opieki zdrowotnej  (B2.1+...+B2.19)</t>
  </si>
  <si>
    <t>ZMIANA PLANU FINANSOWEGO NARODOWEGO FUNDUSZU ZDROWIA NA 2016 ROK Z DNIA 28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</si>
</sst>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/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Zmiana%20planu%20__.12.2016%20r._&#347;wiadczenia%20wysokospecjalistyczne/&#346;wiadczenia%20wysokospecjalistyczne%20-%20korekta%20__.1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</sheetNames>
    <sheetDataSet>
      <sheetData sheetId="0">
        <row r="7">
          <cell r="A7" t="str">
            <v>1.1</v>
          </cell>
          <cell r="B7" t="str">
            <v>od ZUS</v>
          </cell>
          <cell r="C7">
            <v>65844312</v>
          </cell>
          <cell r="D7">
            <v>65844312</v>
          </cell>
        </row>
        <row r="8">
          <cell r="A8" t="str">
            <v>1.2</v>
          </cell>
          <cell r="B8" t="str">
            <v>od KRUS</v>
          </cell>
          <cell r="C8">
            <v>3428979</v>
          </cell>
          <cell r="D8">
            <v>3428979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185000</v>
          </cell>
          <cell r="D12">
            <v>185000</v>
          </cell>
        </row>
        <row r="13">
          <cell r="A13" t="str">
            <v>3.1</v>
          </cell>
          <cell r="B13" t="str">
            <v>od ZUS</v>
          </cell>
          <cell r="C13">
            <v>200000</v>
          </cell>
          <cell r="D13">
            <v>200000</v>
          </cell>
        </row>
        <row r="14">
          <cell r="A14" t="str">
            <v>3.2</v>
          </cell>
          <cell r="B14" t="str">
            <v>od KRUS</v>
          </cell>
          <cell r="C14">
            <v>-15000</v>
          </cell>
          <cell r="D14">
            <v>-15000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134823</v>
          </cell>
          <cell r="D15">
            <v>134823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131689</v>
          </cell>
          <cell r="D16">
            <v>131689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3134</v>
          </cell>
          <cell r="D17">
            <v>3134</v>
          </cell>
        </row>
        <row r="18">
          <cell r="A18">
            <v>5</v>
          </cell>
          <cell r="B18" t="str">
            <v>Odpis na taryfikację świdczeń, o którym mowa w art. 31t ust. 5-8 ustawy</v>
          </cell>
          <cell r="C18">
            <v>48492</v>
          </cell>
          <cell r="D18">
            <v>48492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72197668</v>
          </cell>
          <cell r="D19">
            <v>72197668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157873</v>
          </cell>
          <cell r="D20">
            <v>157873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0</v>
          </cell>
          <cell r="D21">
            <v>0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894258</v>
          </cell>
          <cell r="D22">
            <v>894258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1870561</v>
          </cell>
          <cell r="D23">
            <v>1870561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73702419</v>
          </cell>
          <cell r="D24">
            <v>73702419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692733</v>
          </cell>
          <cell r="D25">
            <v>692733</v>
          </cell>
        </row>
        <row r="26">
          <cell r="A26" t="str">
            <v>B2</v>
          </cell>
          <cell r="B26" t="str">
            <v>Koszty świadczeń opieki zdrowotnej  (B2.1 + … + B2.19)</v>
          </cell>
          <cell r="C26">
            <v>71014125</v>
          </cell>
          <cell r="D26">
            <v>71014125</v>
          </cell>
        </row>
        <row r="27">
          <cell r="A27" t="str">
            <v>B2.1</v>
          </cell>
          <cell r="B27" t="str">
            <v>podstawowa opieka zdrowotna</v>
          </cell>
          <cell r="C27">
            <v>9465686</v>
          </cell>
          <cell r="D27">
            <v>9465686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5749505</v>
          </cell>
          <cell r="D28">
            <v>5749505</v>
          </cell>
        </row>
        <row r="29">
          <cell r="A29" t="str">
            <v>B2.3</v>
          </cell>
          <cell r="B29" t="str">
            <v>leczenie szpitalne, w tym:</v>
          </cell>
          <cell r="C29">
            <v>34379582</v>
          </cell>
          <cell r="D29">
            <v>34379582</v>
          </cell>
        </row>
        <row r="30">
          <cell r="A30" t="str">
            <v>B2.3.1</v>
          </cell>
          <cell r="B30" t="str">
            <v>programy terapeutyczne (lekowe), w tym:</v>
          </cell>
          <cell r="C30">
            <v>3270118</v>
          </cell>
          <cell r="D30">
            <v>3270118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2979758</v>
          </cell>
          <cell r="D31">
            <v>2979758</v>
          </cell>
        </row>
        <row r="32">
          <cell r="A32" t="str">
            <v>B2.3.2</v>
          </cell>
          <cell r="B32" t="str">
            <v>chemioterapia, w tym:</v>
          </cell>
          <cell r="C32">
            <v>1425552</v>
          </cell>
          <cell r="D32">
            <v>1425552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659948</v>
          </cell>
          <cell r="D33">
            <v>659948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2494456</v>
          </cell>
          <cell r="D34">
            <v>2494456</v>
          </cell>
        </row>
        <row r="35">
          <cell r="A35" t="str">
            <v>B2.5</v>
          </cell>
          <cell r="B35" t="str">
            <v>rehabilitacja lecznicza</v>
          </cell>
          <cell r="C35">
            <v>2222847</v>
          </cell>
          <cell r="D35">
            <v>2222847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1291868</v>
          </cell>
          <cell r="D36">
            <v>1291868</v>
          </cell>
        </row>
        <row r="37">
          <cell r="A37" t="str">
            <v>B2.7</v>
          </cell>
          <cell r="B37" t="str">
            <v>opieka paliatywna i hospicyjna</v>
          </cell>
          <cell r="C37">
            <v>455583</v>
          </cell>
          <cell r="D37">
            <v>455583</v>
          </cell>
        </row>
        <row r="38">
          <cell r="A38" t="str">
            <v>B2.8</v>
          </cell>
          <cell r="B38" t="str">
            <v>leczenie stomatologiczne</v>
          </cell>
          <cell r="C38">
            <v>1820715</v>
          </cell>
          <cell r="D38">
            <v>1820715</v>
          </cell>
        </row>
        <row r="39">
          <cell r="A39" t="str">
            <v>B2.9</v>
          </cell>
          <cell r="B39" t="str">
            <v>lecznictwo uzdrowiskowe</v>
          </cell>
          <cell r="C39">
            <v>648357</v>
          </cell>
          <cell r="D39">
            <v>648357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46699</v>
          </cell>
          <cell r="D40">
            <v>46699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183294</v>
          </cell>
          <cell r="D41">
            <v>183294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1935478</v>
          </cell>
          <cell r="D42">
            <v>1935478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929044</v>
          </cell>
          <cell r="D43">
            <v>929044</v>
          </cell>
        </row>
        <row r="44">
          <cell r="A44" t="str">
            <v>B2.14</v>
          </cell>
          <cell r="B44" t="str">
            <v>refundacja, z tego:</v>
          </cell>
          <cell r="C44">
            <v>8181865</v>
          </cell>
          <cell r="D44">
            <v>8181865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8150761</v>
          </cell>
          <cell r="D45">
            <v>8150761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19388</v>
          </cell>
          <cell r="D46">
            <v>19388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11716</v>
          </cell>
          <cell r="D47">
            <v>11716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535079</v>
          </cell>
          <cell r="D48">
            <v>535079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0</v>
          </cell>
          <cell r="D49">
            <v>0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288207</v>
          </cell>
          <cell r="D52">
            <v>288207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385860</v>
          </cell>
          <cell r="D53">
            <v>385860</v>
          </cell>
        </row>
        <row r="54">
          <cell r="A54" t="str">
            <v>B3</v>
          </cell>
          <cell r="B54" t="str">
            <v>Koszty programów polityki zdrowotnej realizowanych na zlecenie</v>
          </cell>
          <cell r="C54">
            <v>0</v>
          </cell>
          <cell r="D54">
            <v>0</v>
          </cell>
        </row>
        <row r="55">
          <cell r="A55" t="str">
            <v>B4</v>
          </cell>
          <cell r="B55" t="str">
            <v>Koszty realizacji zadań zespołów ratownictwa medycznego</v>
          </cell>
          <cell r="C55">
            <v>1870561</v>
          </cell>
          <cell r="D55">
            <v>1870561</v>
          </cell>
        </row>
        <row r="56">
          <cell r="A56" t="str">
            <v>B5</v>
          </cell>
          <cell r="B56" t="str">
            <v>Koszty finansowania leku, środka spożywczego specjalnego przeznaczenia żywieniowego oraz wyrobu medycznego w części finansowanej z budżetu państwa zgodnie z art. 43a ust. 3 ustawy</v>
          </cell>
          <cell r="C56">
            <v>125000</v>
          </cell>
          <cell r="D56">
            <v>125000</v>
          </cell>
        </row>
        <row r="57">
          <cell r="A57" t="str">
            <v>Bn</v>
          </cell>
          <cell r="B57" t="str">
            <v>Całkowity budżet na refundację
(B2.3.1.1+B2.3.2.1+B2.14+B2.16.1)</v>
          </cell>
          <cell r="C57">
            <v>11821571</v>
          </cell>
          <cell r="D57">
            <v>11821571</v>
          </cell>
        </row>
        <row r="58">
          <cell r="A58" t="str">
            <v>C</v>
          </cell>
          <cell r="B58" t="str">
            <v>WYNIK NA DZIAŁALNOŚCI (A - B)</v>
          </cell>
          <cell r="C58">
            <v>-1504751</v>
          </cell>
          <cell r="D58">
            <v>-1504751</v>
          </cell>
        </row>
        <row r="59">
          <cell r="A59" t="str">
            <v>D</v>
          </cell>
          <cell r="B59" t="str">
            <v>Koszty administracyjne (D1 + … + D8)</v>
          </cell>
          <cell r="C59">
            <v>737422</v>
          </cell>
          <cell r="D59">
            <v>737422</v>
          </cell>
        </row>
        <row r="60">
          <cell r="A60" t="str">
            <v>D1</v>
          </cell>
          <cell r="B60" t="str">
            <v>zużycie materiałów i energii</v>
          </cell>
          <cell r="C60">
            <v>26091</v>
          </cell>
          <cell r="D60">
            <v>26091</v>
          </cell>
        </row>
        <row r="61">
          <cell r="A61" t="str">
            <v>D2</v>
          </cell>
          <cell r="B61" t="str">
            <v>usługi obce</v>
          </cell>
          <cell r="C61">
            <v>173186</v>
          </cell>
          <cell r="D61">
            <v>173186</v>
          </cell>
        </row>
        <row r="62">
          <cell r="A62" t="str">
            <v>D3</v>
          </cell>
          <cell r="B62" t="str">
            <v>podatki i opłaty, z tego:</v>
          </cell>
          <cell r="C62">
            <v>4587</v>
          </cell>
          <cell r="D62">
            <v>4587</v>
          </cell>
        </row>
        <row r="63">
          <cell r="A63" t="str">
            <v>D3.1</v>
          </cell>
          <cell r="B63" t="str">
            <v>podatki stanowiące dochody własne jednostek samorządu terytorialnego, w tym:</v>
          </cell>
          <cell r="C63">
            <v>619</v>
          </cell>
          <cell r="D63">
            <v>619</v>
          </cell>
        </row>
        <row r="64">
          <cell r="A64" t="str">
            <v>D3.1.1</v>
          </cell>
          <cell r="B64" t="str">
            <v>podatek od nieruchomości</v>
          </cell>
          <cell r="C64">
            <v>616</v>
          </cell>
          <cell r="D64">
            <v>616</v>
          </cell>
        </row>
        <row r="65">
          <cell r="A65" t="str">
            <v>D3.2</v>
          </cell>
          <cell r="B65" t="str">
            <v>opłaty stanowiące dochody własne jednostek samorządu terytorialnego</v>
          </cell>
          <cell r="C65">
            <v>653</v>
          </cell>
          <cell r="D65">
            <v>653</v>
          </cell>
        </row>
        <row r="66">
          <cell r="A66" t="str">
            <v>D3.3</v>
          </cell>
          <cell r="B66" t="str">
            <v>VAT</v>
          </cell>
          <cell r="C66">
            <v>20</v>
          </cell>
          <cell r="D66">
            <v>20</v>
          </cell>
        </row>
        <row r="67">
          <cell r="A67" t="str">
            <v>D3.4</v>
          </cell>
          <cell r="B67" t="str">
            <v>podatek akcyzowy</v>
          </cell>
          <cell r="C67">
            <v>0</v>
          </cell>
          <cell r="D67">
            <v>0</v>
          </cell>
        </row>
        <row r="68">
          <cell r="A68" t="str">
            <v>D3.5</v>
          </cell>
          <cell r="B68" t="str">
            <v>wpłaty na PFRON</v>
          </cell>
          <cell r="C68">
            <v>2930</v>
          </cell>
          <cell r="D68">
            <v>2930</v>
          </cell>
        </row>
        <row r="69">
          <cell r="A69" t="str">
            <v>D3.6</v>
          </cell>
          <cell r="B69" t="str">
            <v>inne</v>
          </cell>
          <cell r="C69">
            <v>365</v>
          </cell>
          <cell r="D69">
            <v>365</v>
          </cell>
        </row>
        <row r="70">
          <cell r="A70" t="str">
            <v>D4</v>
          </cell>
          <cell r="B70" t="str">
            <v>wynagrodzenia, w tym:</v>
          </cell>
          <cell r="C70">
            <v>336936</v>
          </cell>
          <cell r="D70">
            <v>336936</v>
          </cell>
        </row>
        <row r="71">
          <cell r="A71" t="str">
            <v>D4.1</v>
          </cell>
          <cell r="B71" t="str">
            <v>wynagrodzenia bezosobowe</v>
          </cell>
          <cell r="C71">
            <v>1606</v>
          </cell>
          <cell r="D71">
            <v>1606</v>
          </cell>
        </row>
        <row r="72">
          <cell r="A72" t="str">
            <v>D5</v>
          </cell>
          <cell r="B72" t="str">
            <v>ubezpieczenie społeczne i inne świadczenia, z tego:</v>
          </cell>
          <cell r="C72">
            <v>76118</v>
          </cell>
          <cell r="D72">
            <v>76118</v>
          </cell>
        </row>
        <row r="73">
          <cell r="A73" t="str">
            <v>D5.1</v>
          </cell>
          <cell r="B73" t="str">
            <v>składki na Fundusz Ubezpieczeń Społecznych</v>
          </cell>
          <cell r="C73">
            <v>57710</v>
          </cell>
          <cell r="D73">
            <v>57710</v>
          </cell>
        </row>
        <row r="74">
          <cell r="A74" t="str">
            <v>D5.2</v>
          </cell>
          <cell r="B74" t="str">
            <v>składki na Fundusz Pracy</v>
          </cell>
          <cell r="C74">
            <v>8074</v>
          </cell>
          <cell r="D74">
            <v>8074</v>
          </cell>
        </row>
        <row r="75">
          <cell r="A75" t="str">
            <v>D5.3</v>
          </cell>
          <cell r="B75" t="str">
            <v>składki na Fundusz Gwarantowanych Świadczeń Pracowniczych</v>
          </cell>
          <cell r="C75">
            <v>0</v>
          </cell>
          <cell r="D75">
            <v>0</v>
          </cell>
        </row>
        <row r="76">
          <cell r="A76" t="str">
            <v>D5.4</v>
          </cell>
          <cell r="B76" t="str">
            <v>pozostałe świadczenia</v>
          </cell>
          <cell r="C76">
            <v>10334</v>
          </cell>
          <cell r="D76">
            <v>10334</v>
          </cell>
        </row>
        <row r="77">
          <cell r="A77" t="str">
            <v>D6</v>
          </cell>
          <cell r="B77" t="str">
            <v>koszty funkcjonowania Rady Funduszu</v>
          </cell>
          <cell r="C77">
            <v>50</v>
          </cell>
          <cell r="D77">
            <v>50</v>
          </cell>
        </row>
        <row r="78">
          <cell r="A78" t="str">
            <v>D7</v>
          </cell>
          <cell r="B78" t="str">
            <v>amortyzacja środków trwałych oraz wartości niematerialnych i prawnych</v>
          </cell>
          <cell r="C78">
            <v>113861</v>
          </cell>
          <cell r="D78">
            <v>113861</v>
          </cell>
        </row>
        <row r="79">
          <cell r="A79" t="str">
            <v>D8</v>
          </cell>
          <cell r="B79" t="str">
            <v>pozostałe koszty administracyjne</v>
          </cell>
          <cell r="C79">
            <v>6593</v>
          </cell>
          <cell r="D79">
            <v>6593</v>
          </cell>
        </row>
        <row r="80">
          <cell r="A80" t="str">
            <v>E</v>
          </cell>
          <cell r="B80" t="str">
            <v>Pozostałe przychody</v>
          </cell>
          <cell r="C80">
            <v>214046</v>
          </cell>
          <cell r="D80">
            <v>214046</v>
          </cell>
        </row>
        <row r="81">
          <cell r="A81" t="str">
            <v>F</v>
          </cell>
          <cell r="B81" t="str">
            <v>Pozostałe koszty (F1+ … +F4)</v>
          </cell>
          <cell r="C81">
            <v>293358</v>
          </cell>
          <cell r="D81">
            <v>293358</v>
          </cell>
        </row>
        <row r="82">
          <cell r="A82" t="str">
            <v>F1</v>
          </cell>
          <cell r="B82" t="str">
            <v>wydanie i utrzymanie kart ubezpieczenia (w tym części stałych i zamiennych książeczek usług medycznych) oraz recept</v>
          </cell>
          <cell r="C82">
            <v>952</v>
          </cell>
          <cell r="D82">
            <v>952</v>
          </cell>
        </row>
        <row r="83">
          <cell r="A83" t="str">
            <v>F2</v>
          </cell>
          <cell r="B83" t="str">
            <v>rezerwa na zobowiązania wynikające z postępowań sądowych</v>
          </cell>
          <cell r="C83">
            <v>205568</v>
          </cell>
          <cell r="D83">
            <v>205568</v>
          </cell>
        </row>
        <row r="84">
          <cell r="A84" t="str">
            <v>F3</v>
          </cell>
          <cell r="B84" t="str">
            <v>inne rezerwy</v>
          </cell>
          <cell r="C84">
            <v>64045</v>
          </cell>
          <cell r="D84">
            <v>64045</v>
          </cell>
        </row>
        <row r="85">
          <cell r="A85" t="str">
            <v>F4</v>
          </cell>
          <cell r="B85" t="str">
            <v>inne koszty</v>
          </cell>
          <cell r="C85">
            <v>22793</v>
          </cell>
          <cell r="D85">
            <v>22793</v>
          </cell>
        </row>
        <row r="86">
          <cell r="A86" t="str">
            <v>G</v>
          </cell>
          <cell r="B86" t="str">
            <v>Przychody finansowe (G1 + G2)</v>
          </cell>
          <cell r="C86">
            <v>56090</v>
          </cell>
          <cell r="D86">
            <v>56090</v>
          </cell>
        </row>
        <row r="87">
          <cell r="A87" t="str">
            <v>G1</v>
          </cell>
          <cell r="B87" t="str">
            <v xml:space="preserve">odsetki uzyskane z lokat </v>
          </cell>
          <cell r="C87">
            <v>56090</v>
          </cell>
          <cell r="D87">
            <v>56090</v>
          </cell>
        </row>
        <row r="88">
          <cell r="A88" t="str">
            <v>G2</v>
          </cell>
          <cell r="B88" t="str">
            <v>inne przychody finansowe</v>
          </cell>
          <cell r="C88">
            <v>0</v>
          </cell>
          <cell r="D88">
            <v>0</v>
          </cell>
        </row>
        <row r="89">
          <cell r="A89" t="str">
            <v>H</v>
          </cell>
          <cell r="B89" t="str">
            <v>Koszty finansowe</v>
          </cell>
          <cell r="C89">
            <v>90266</v>
          </cell>
          <cell r="D89">
            <v>90266</v>
          </cell>
        </row>
        <row r="90">
          <cell r="A90" t="str">
            <v>I</v>
          </cell>
          <cell r="B90" t="str">
            <v>WYNIK FINANSOWY OGÓŁEM NETTO
(C - D + E - F + G - H)</v>
          </cell>
          <cell r="C90">
            <v>-2355661</v>
          </cell>
          <cell r="D90">
            <v>-2355661</v>
          </cell>
        </row>
        <row r="91">
          <cell r="A91" t="str">
            <v>J</v>
          </cell>
          <cell r="B91" t="str">
            <v xml:space="preserve"> PRZYCHODY - ogółem</v>
          </cell>
          <cell r="C91">
            <v>72602627</v>
          </cell>
          <cell r="D91">
            <v>72602627</v>
          </cell>
        </row>
        <row r="92">
          <cell r="A92" t="str">
            <v>K</v>
          </cell>
          <cell r="B92" t="str">
            <v xml:space="preserve"> KOSZTY - ogółem</v>
          </cell>
          <cell r="C92">
            <v>74958288</v>
          </cell>
          <cell r="D92">
            <v>74958288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535079</v>
          </cell>
          <cell r="D28">
            <v>535079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385860</v>
          </cell>
          <cell r="D33">
            <v>385860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0</v>
          </cell>
          <cell r="D35">
            <v>0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0</v>
          </cell>
          <cell r="D36">
            <v>0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0</v>
          </cell>
          <cell r="D37">
            <v>0</v>
          </cell>
        </row>
        <row r="38">
          <cell r="A38" t="str">
            <v>D.</v>
          </cell>
          <cell r="B38" t="str">
            <v>Koszty administracyjne ( D1+...+D8 )</v>
          </cell>
          <cell r="C38">
            <v>220067</v>
          </cell>
          <cell r="D38">
            <v>220067</v>
          </cell>
        </row>
        <row r="39">
          <cell r="A39" t="str">
            <v>D1</v>
          </cell>
          <cell r="B39" t="str">
            <v>zużycie materiałów i energii</v>
          </cell>
          <cell r="C39">
            <v>5208</v>
          </cell>
          <cell r="D39">
            <v>5208</v>
          </cell>
        </row>
        <row r="40">
          <cell r="A40" t="str">
            <v>D2</v>
          </cell>
          <cell r="B40" t="str">
            <v>usługi obce</v>
          </cell>
          <cell r="C40">
            <v>106612</v>
          </cell>
          <cell r="D40">
            <v>106612</v>
          </cell>
        </row>
        <row r="41">
          <cell r="A41" t="str">
            <v>D3</v>
          </cell>
          <cell r="B41" t="str">
            <v>podatki i opłaty, z tego</v>
          </cell>
          <cell r="C41">
            <v>728</v>
          </cell>
          <cell r="D41">
            <v>728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100</v>
          </cell>
          <cell r="D42">
            <v>100</v>
          </cell>
        </row>
        <row r="43">
          <cell r="A43" t="str">
            <v>D3.1.1</v>
          </cell>
          <cell r="B43" t="str">
            <v>podatek od nieruchomości</v>
          </cell>
          <cell r="C43">
            <v>100</v>
          </cell>
          <cell r="D43">
            <v>100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94</v>
          </cell>
          <cell r="D44">
            <v>94</v>
          </cell>
        </row>
        <row r="45">
          <cell r="A45" t="str">
            <v>D3.3</v>
          </cell>
          <cell r="B45" t="str">
            <v>VAT</v>
          </cell>
          <cell r="C45">
            <v>17</v>
          </cell>
          <cell r="D45">
            <v>17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402</v>
          </cell>
          <cell r="D47">
            <v>402</v>
          </cell>
        </row>
        <row r="48">
          <cell r="A48" t="str">
            <v>D3.6</v>
          </cell>
          <cell r="B48" t="str">
            <v>inne</v>
          </cell>
          <cell r="C48">
            <v>115</v>
          </cell>
          <cell r="D48">
            <v>115</v>
          </cell>
        </row>
        <row r="49">
          <cell r="A49" t="str">
            <v>D4</v>
          </cell>
          <cell r="B49" t="str">
            <v>wynagrodzenia, w tym:</v>
          </cell>
          <cell r="C49">
            <v>36255</v>
          </cell>
          <cell r="D49">
            <v>36255</v>
          </cell>
        </row>
        <row r="50">
          <cell r="A50" t="str">
            <v>D4.1</v>
          </cell>
          <cell r="B50" t="str">
            <v>wynagrodzenia bezosobowe</v>
          </cell>
          <cell r="C50">
            <v>526</v>
          </cell>
          <cell r="D50">
            <v>526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9004</v>
          </cell>
          <cell r="D51">
            <v>9004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6237</v>
          </cell>
          <cell r="D52">
            <v>6237</v>
          </cell>
        </row>
        <row r="53">
          <cell r="A53" t="str">
            <v>D5.2</v>
          </cell>
          <cell r="B53" t="str">
            <v>składki na Fundusz Pracy</v>
          </cell>
          <cell r="C53">
            <v>889</v>
          </cell>
          <cell r="D53">
            <v>889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1878</v>
          </cell>
          <cell r="D55">
            <v>1878</v>
          </cell>
        </row>
        <row r="56">
          <cell r="A56" t="str">
            <v>D6</v>
          </cell>
          <cell r="B56" t="str">
            <v>koszty funkcjonowania Rady Funduszu</v>
          </cell>
          <cell r="C56">
            <v>50</v>
          </cell>
          <cell r="D56">
            <v>50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60022</v>
          </cell>
          <cell r="D57">
            <v>60022</v>
          </cell>
        </row>
        <row r="58">
          <cell r="A58" t="str">
            <v>D8</v>
          </cell>
          <cell r="B58" t="str">
            <v>pozostałe koszty administracyjne</v>
          </cell>
          <cell r="C58">
            <v>2188</v>
          </cell>
          <cell r="D58">
            <v>2188</v>
          </cell>
        </row>
        <row r="59">
          <cell r="A59" t="str">
            <v>F</v>
          </cell>
          <cell r="B59" t="str">
            <v>Pozostałe koszty (F1+...+F4)</v>
          </cell>
          <cell r="C59">
            <v>66174</v>
          </cell>
          <cell r="D59">
            <v>66174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625</v>
          </cell>
          <cell r="D60">
            <v>625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1182</v>
          </cell>
          <cell r="D61">
            <v>1182</v>
          </cell>
        </row>
        <row r="62">
          <cell r="A62" t="str">
            <v>F3</v>
          </cell>
          <cell r="B62" t="str">
            <v>inne rezerwy</v>
          </cell>
          <cell r="C62">
            <v>64045</v>
          </cell>
          <cell r="D62">
            <v>64045</v>
          </cell>
        </row>
        <row r="63">
          <cell r="A63" t="str">
            <v>F4</v>
          </cell>
          <cell r="B63" t="str">
            <v>inne koszty</v>
          </cell>
          <cell r="C63">
            <v>322</v>
          </cell>
          <cell r="D63">
            <v>322</v>
          </cell>
        </row>
        <row r="64">
          <cell r="A64" t="str">
            <v>H</v>
          </cell>
          <cell r="B64" t="str">
            <v>Koszty finansowe</v>
          </cell>
          <cell r="C64">
            <v>30182</v>
          </cell>
          <cell r="D64">
            <v>30182</v>
          </cell>
        </row>
        <row r="70">
          <cell r="C70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705500</v>
          </cell>
          <cell r="D7">
            <v>705500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429721</v>
          </cell>
          <cell r="D8">
            <v>429721</v>
          </cell>
        </row>
        <row r="9">
          <cell r="A9" t="str">
            <v>B2.3</v>
          </cell>
          <cell r="B9" t="str">
            <v>leczenie szpitalne, w tym:</v>
          </cell>
          <cell r="C9">
            <v>2585707</v>
          </cell>
          <cell r="D9">
            <v>2585707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258085</v>
          </cell>
          <cell r="D10">
            <v>258085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233654</v>
          </cell>
          <cell r="D11">
            <v>233654</v>
          </cell>
        </row>
        <row r="12">
          <cell r="A12" t="str">
            <v>B2.3.2</v>
          </cell>
          <cell r="B12" t="str">
            <v>chemioterapia, w tym:</v>
          </cell>
          <cell r="C12">
            <v>114610</v>
          </cell>
          <cell r="D12">
            <v>114610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53319</v>
          </cell>
          <cell r="D13">
            <v>53319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194083</v>
          </cell>
          <cell r="D14">
            <v>194083</v>
          </cell>
        </row>
        <row r="15">
          <cell r="A15" t="str">
            <v>B2.5</v>
          </cell>
          <cell r="B15" t="str">
            <v>rehabilitacja lecznicza</v>
          </cell>
          <cell r="C15">
            <v>172388</v>
          </cell>
          <cell r="D15">
            <v>172388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106353</v>
          </cell>
          <cell r="D16">
            <v>106353</v>
          </cell>
        </row>
        <row r="17">
          <cell r="A17" t="str">
            <v>B2.7</v>
          </cell>
          <cell r="B17" t="str">
            <v>opieka paliatywna i hospicyjna</v>
          </cell>
          <cell r="C17">
            <v>38980</v>
          </cell>
          <cell r="D17">
            <v>38980</v>
          </cell>
        </row>
        <row r="18">
          <cell r="A18" t="str">
            <v>B2.8</v>
          </cell>
          <cell r="B18" t="str">
            <v>leczenie stomatologiczne</v>
          </cell>
          <cell r="C18">
            <v>124687</v>
          </cell>
          <cell r="D18">
            <v>124687</v>
          </cell>
        </row>
        <row r="19">
          <cell r="A19" t="str">
            <v>B2.9</v>
          </cell>
          <cell r="B19" t="str">
            <v>lecznictwo uzdrowiskowe</v>
          </cell>
          <cell r="C19">
            <v>62862</v>
          </cell>
          <cell r="D19">
            <v>62862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4526</v>
          </cell>
          <cell r="D20">
            <v>4526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14480</v>
          </cell>
          <cell r="D21">
            <v>14480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139540</v>
          </cell>
          <cell r="D22">
            <v>139540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71300</v>
          </cell>
          <cell r="D23">
            <v>71300</v>
          </cell>
        </row>
        <row r="24">
          <cell r="A24" t="str">
            <v>B2.14</v>
          </cell>
          <cell r="B24" t="str">
            <v>refundacja, z tego:</v>
          </cell>
          <cell r="C24">
            <v>607020</v>
          </cell>
          <cell r="D24">
            <v>607020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605020</v>
          </cell>
          <cell r="D25">
            <v>605020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7110</v>
          </cell>
          <cell r="D32">
            <v>7110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141685</v>
          </cell>
          <cell r="D35">
            <v>141685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9576</v>
          </cell>
          <cell r="D36">
            <v>9576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893993</v>
          </cell>
          <cell r="D37">
            <v>893993</v>
          </cell>
        </row>
        <row r="38">
          <cell r="A38" t="str">
            <v>D.</v>
          </cell>
          <cell r="B38" t="str">
            <v>Koszty administracyjne ( D1+...+D8 )</v>
          </cell>
          <cell r="C38">
            <v>37585</v>
          </cell>
          <cell r="D38">
            <v>37585</v>
          </cell>
        </row>
        <row r="39">
          <cell r="A39" t="str">
            <v>D1</v>
          </cell>
          <cell r="B39" t="str">
            <v>zużycie materiałów i energii</v>
          </cell>
          <cell r="C39">
            <v>1572</v>
          </cell>
          <cell r="D39">
            <v>1572</v>
          </cell>
        </row>
        <row r="40">
          <cell r="A40" t="str">
            <v>D2</v>
          </cell>
          <cell r="B40" t="str">
            <v>usługi obce</v>
          </cell>
          <cell r="C40">
            <v>3919</v>
          </cell>
          <cell r="D40">
            <v>3919</v>
          </cell>
        </row>
        <row r="41">
          <cell r="A41" t="str">
            <v>D3</v>
          </cell>
          <cell r="B41" t="str">
            <v>podatki i opłaty, z tego</v>
          </cell>
          <cell r="C41">
            <v>346</v>
          </cell>
          <cell r="D41">
            <v>346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53</v>
          </cell>
          <cell r="D42">
            <v>53</v>
          </cell>
        </row>
        <row r="43">
          <cell r="A43" t="str">
            <v>D3.1.1</v>
          </cell>
          <cell r="B43" t="str">
            <v>podatek od nieruchomości</v>
          </cell>
          <cell r="C43">
            <v>53</v>
          </cell>
          <cell r="D43">
            <v>53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65</v>
          </cell>
          <cell r="D44">
            <v>65</v>
          </cell>
        </row>
        <row r="45">
          <cell r="A45" t="str">
            <v>D3.3</v>
          </cell>
          <cell r="B45" t="str">
            <v>VAT</v>
          </cell>
          <cell r="C45">
            <v>1</v>
          </cell>
          <cell r="D45">
            <v>1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226</v>
          </cell>
          <cell r="D47">
            <v>226</v>
          </cell>
        </row>
        <row r="48">
          <cell r="A48" t="str">
            <v>D3.6</v>
          </cell>
          <cell r="B48" t="str">
            <v>inne</v>
          </cell>
          <cell r="C48">
            <v>1</v>
          </cell>
          <cell r="D48">
            <v>1</v>
          </cell>
        </row>
        <row r="49">
          <cell r="A49" t="str">
            <v>D4</v>
          </cell>
          <cell r="B49" t="str">
            <v>wynagrodzenia, w tym:</v>
          </cell>
          <cell r="C49">
            <v>21733</v>
          </cell>
          <cell r="D49">
            <v>21733</v>
          </cell>
        </row>
        <row r="50">
          <cell r="A50" t="str">
            <v>D4.1</v>
          </cell>
          <cell r="B50" t="str">
            <v>wynagrodzenia bezosobowe</v>
          </cell>
          <cell r="C50">
            <v>100</v>
          </cell>
          <cell r="D50">
            <v>100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4848</v>
          </cell>
          <cell r="D51">
            <v>4848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3593</v>
          </cell>
          <cell r="D52">
            <v>3593</v>
          </cell>
        </row>
        <row r="53">
          <cell r="A53" t="str">
            <v>D5.2</v>
          </cell>
          <cell r="B53" t="str">
            <v>składki na Fundusz Pracy</v>
          </cell>
          <cell r="C53">
            <v>439</v>
          </cell>
          <cell r="D53">
            <v>439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816</v>
          </cell>
          <cell r="D55">
            <v>816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4925</v>
          </cell>
          <cell r="D57">
            <v>4925</v>
          </cell>
        </row>
        <row r="58">
          <cell r="A58" t="str">
            <v>D8</v>
          </cell>
          <cell r="B58" t="str">
            <v>pozostałe koszty administracyjne</v>
          </cell>
          <cell r="C58">
            <v>242</v>
          </cell>
          <cell r="D58">
            <v>242</v>
          </cell>
        </row>
        <row r="59">
          <cell r="A59" t="str">
            <v>F</v>
          </cell>
          <cell r="B59" t="str">
            <v>Pozostałe koszty (F1+...+F4)</v>
          </cell>
          <cell r="C59">
            <v>17712</v>
          </cell>
          <cell r="D59">
            <v>17712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16052</v>
          </cell>
          <cell r="D61">
            <v>16052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1660</v>
          </cell>
          <cell r="D63">
            <v>1660</v>
          </cell>
        </row>
        <row r="64">
          <cell r="A64" t="str">
            <v>H</v>
          </cell>
          <cell r="B64" t="str">
            <v>Koszty finansowe</v>
          </cell>
          <cell r="C64">
            <v>1981</v>
          </cell>
          <cell r="D64">
            <v>1981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511745</v>
          </cell>
          <cell r="D7">
            <v>511745</v>
          </cell>
        </row>
        <row r="8">
          <cell r="A8" t="str">
            <v>B2.2</v>
          </cell>
          <cell r="B8" t="str">
            <v>ambulatoryjna opieka specjalistyczna</v>
          </cell>
          <cell r="C8">
            <v>294929</v>
          </cell>
          <cell r="D8">
            <v>294929</v>
          </cell>
        </row>
        <row r="9">
          <cell r="A9" t="str">
            <v>B2.3</v>
          </cell>
          <cell r="B9" t="str">
            <v>leczenie szpitalne, w tym:</v>
          </cell>
          <cell r="C9">
            <v>1860947</v>
          </cell>
          <cell r="D9">
            <v>1860580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163118</v>
          </cell>
          <cell r="D10">
            <v>163118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146776</v>
          </cell>
          <cell r="D11">
            <v>146776</v>
          </cell>
        </row>
        <row r="12">
          <cell r="A12" t="str">
            <v>B2.3.2</v>
          </cell>
          <cell r="B12" t="str">
            <v>chemioterapia, w tym:</v>
          </cell>
          <cell r="C12">
            <v>72829</v>
          </cell>
          <cell r="D12">
            <v>72829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37467</v>
          </cell>
          <cell r="D13">
            <v>37467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129507</v>
          </cell>
          <cell r="D14">
            <v>129507</v>
          </cell>
        </row>
        <row r="15">
          <cell r="A15" t="str">
            <v>B2.5</v>
          </cell>
          <cell r="B15" t="str">
            <v>rehabilitacja lecznicza</v>
          </cell>
          <cell r="C15">
            <v>100705</v>
          </cell>
          <cell r="D15">
            <v>100705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57588</v>
          </cell>
          <cell r="D16">
            <v>57588</v>
          </cell>
        </row>
        <row r="17">
          <cell r="A17" t="str">
            <v>B2.7</v>
          </cell>
          <cell r="B17" t="str">
            <v>opieka paliatywna i hospicyjna</v>
          </cell>
          <cell r="C17">
            <v>31067</v>
          </cell>
          <cell r="D17">
            <v>31067</v>
          </cell>
        </row>
        <row r="18">
          <cell r="A18" t="str">
            <v>B2.8</v>
          </cell>
          <cell r="B18" t="str">
            <v>leczenie stomatologiczne</v>
          </cell>
          <cell r="C18">
            <v>97854</v>
          </cell>
          <cell r="D18">
            <v>97854</v>
          </cell>
        </row>
        <row r="19">
          <cell r="A19" t="str">
            <v>B2.9</v>
          </cell>
          <cell r="B19" t="str">
            <v>lecznictwo uzdrowiskowe</v>
          </cell>
          <cell r="C19">
            <v>34000</v>
          </cell>
          <cell r="D19">
            <v>34000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2763</v>
          </cell>
          <cell r="D20">
            <v>2763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10557</v>
          </cell>
          <cell r="D21">
            <v>10557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112165</v>
          </cell>
          <cell r="D22">
            <v>112165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50543</v>
          </cell>
          <cell r="D23">
            <v>50543</v>
          </cell>
        </row>
        <row r="24">
          <cell r="A24" t="str">
            <v>B2.14</v>
          </cell>
          <cell r="B24" t="str">
            <v>refundacja, z tego:</v>
          </cell>
          <cell r="C24">
            <v>469389</v>
          </cell>
          <cell r="D24">
            <v>469389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468563</v>
          </cell>
          <cell r="D25">
            <v>468563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559</v>
          </cell>
          <cell r="D26">
            <v>559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267</v>
          </cell>
          <cell r="D27">
            <v>267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4882</v>
          </cell>
          <cell r="D32">
            <v>4882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111000</v>
          </cell>
          <cell r="D35">
            <v>111000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6290</v>
          </cell>
          <cell r="D36">
            <v>6290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653632</v>
          </cell>
          <cell r="D37">
            <v>653632</v>
          </cell>
        </row>
        <row r="38">
          <cell r="A38" t="str">
            <v>D.</v>
          </cell>
          <cell r="B38" t="str">
            <v>Koszty administracyjne ( D1+...+D8 )</v>
          </cell>
          <cell r="C38">
            <v>29370</v>
          </cell>
          <cell r="D38">
            <v>29370</v>
          </cell>
        </row>
        <row r="39">
          <cell r="A39" t="str">
            <v>D1</v>
          </cell>
          <cell r="B39" t="str">
            <v>zużycie materiałów i energii</v>
          </cell>
          <cell r="C39">
            <v>1151</v>
          </cell>
          <cell r="D39">
            <v>1151</v>
          </cell>
        </row>
        <row r="40">
          <cell r="A40" t="str">
            <v>D2</v>
          </cell>
          <cell r="B40" t="str">
            <v>usługi obce</v>
          </cell>
          <cell r="C40">
            <v>3995</v>
          </cell>
          <cell r="D40">
            <v>3995</v>
          </cell>
        </row>
        <row r="41">
          <cell r="A41" t="str">
            <v>D3</v>
          </cell>
          <cell r="B41" t="str">
            <v>podatki i opłaty, z tego</v>
          </cell>
          <cell r="C41">
            <v>233</v>
          </cell>
          <cell r="D41">
            <v>233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43</v>
          </cell>
          <cell r="D42">
            <v>43</v>
          </cell>
        </row>
        <row r="43">
          <cell r="A43" t="str">
            <v>D3.1.1</v>
          </cell>
          <cell r="B43" t="str">
            <v>podatek od nieruchomości</v>
          </cell>
          <cell r="C43">
            <v>43</v>
          </cell>
          <cell r="D43">
            <v>43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20</v>
          </cell>
          <cell r="D44">
            <v>20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160</v>
          </cell>
          <cell r="D47">
            <v>160</v>
          </cell>
        </row>
        <row r="48">
          <cell r="A48" t="str">
            <v>D3.6</v>
          </cell>
          <cell r="B48" t="str">
            <v>inne</v>
          </cell>
          <cell r="C48">
            <v>10</v>
          </cell>
          <cell r="D48">
            <v>10</v>
          </cell>
        </row>
        <row r="49">
          <cell r="A49" t="str">
            <v>D4</v>
          </cell>
          <cell r="B49" t="str">
            <v>wynagrodzenia, w tym:</v>
          </cell>
          <cell r="C49">
            <v>15258</v>
          </cell>
          <cell r="D49">
            <v>15258</v>
          </cell>
        </row>
        <row r="50">
          <cell r="A50" t="str">
            <v>D4.1</v>
          </cell>
          <cell r="B50" t="str">
            <v>wynagrodzenia bezosobowe</v>
          </cell>
          <cell r="C50">
            <v>0</v>
          </cell>
          <cell r="D50">
            <v>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3403</v>
          </cell>
          <cell r="D51">
            <v>3403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2552</v>
          </cell>
          <cell r="D52">
            <v>2552</v>
          </cell>
        </row>
        <row r="53">
          <cell r="A53" t="str">
            <v>D5.2</v>
          </cell>
          <cell r="B53" t="str">
            <v>składki na Fundusz Pracy</v>
          </cell>
          <cell r="C53">
            <v>292</v>
          </cell>
          <cell r="D53">
            <v>292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559</v>
          </cell>
          <cell r="D55">
            <v>559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5005</v>
          </cell>
          <cell r="D57">
            <v>5005</v>
          </cell>
        </row>
        <row r="58">
          <cell r="A58" t="str">
            <v>D8</v>
          </cell>
          <cell r="B58" t="str">
            <v>pozostałe koszty administracyjne</v>
          </cell>
          <cell r="C58">
            <v>325</v>
          </cell>
          <cell r="D58">
            <v>325</v>
          </cell>
        </row>
        <row r="59">
          <cell r="A59" t="str">
            <v>F</v>
          </cell>
          <cell r="B59" t="str">
            <v>Pozostałe koszty (F1+...+F4)</v>
          </cell>
          <cell r="C59">
            <v>40101</v>
          </cell>
          <cell r="D59">
            <v>40101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38601</v>
          </cell>
          <cell r="D61">
            <v>38601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1500</v>
          </cell>
          <cell r="D63">
            <v>1500</v>
          </cell>
        </row>
        <row r="64">
          <cell r="A64" t="str">
            <v>H</v>
          </cell>
          <cell r="B64" t="str">
            <v>Koszty finansowe</v>
          </cell>
          <cell r="C64">
            <v>19735</v>
          </cell>
          <cell r="D64">
            <v>19735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526900</v>
          </cell>
          <cell r="D7">
            <v>526900</v>
          </cell>
        </row>
        <row r="8">
          <cell r="A8" t="str">
            <v>B2.2</v>
          </cell>
          <cell r="B8" t="str">
            <v>ambulatoryjna opieka specjalistyczna</v>
          </cell>
          <cell r="C8">
            <v>304669</v>
          </cell>
          <cell r="D8">
            <v>304669</v>
          </cell>
        </row>
        <row r="9">
          <cell r="A9" t="str">
            <v>B2.3</v>
          </cell>
          <cell r="B9" t="str">
            <v>leczenie szpitalne, w tym:</v>
          </cell>
          <cell r="C9">
            <v>1966577</v>
          </cell>
          <cell r="D9">
            <v>1966218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173263</v>
          </cell>
          <cell r="D10">
            <v>173263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157836</v>
          </cell>
          <cell r="D11">
            <v>157836</v>
          </cell>
        </row>
        <row r="12">
          <cell r="A12" t="str">
            <v>B2.3.2</v>
          </cell>
          <cell r="B12" t="str">
            <v>chemioterapia, w tym:</v>
          </cell>
          <cell r="C12">
            <v>88423</v>
          </cell>
          <cell r="D12">
            <v>88423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38541</v>
          </cell>
          <cell r="D13">
            <v>38541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146638</v>
          </cell>
          <cell r="D14">
            <v>146638</v>
          </cell>
        </row>
        <row r="15">
          <cell r="A15" t="str">
            <v>B2.5</v>
          </cell>
          <cell r="B15" t="str">
            <v>rehabilitacja lecznicza</v>
          </cell>
          <cell r="C15">
            <v>120702</v>
          </cell>
          <cell r="D15">
            <v>120702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70133</v>
          </cell>
          <cell r="D16">
            <v>70133</v>
          </cell>
        </row>
        <row r="17">
          <cell r="A17" t="str">
            <v>B2.7</v>
          </cell>
          <cell r="B17" t="str">
            <v>opieka paliatywna i hospicyjna</v>
          </cell>
          <cell r="C17">
            <v>19103</v>
          </cell>
          <cell r="D17">
            <v>19103</v>
          </cell>
        </row>
        <row r="18">
          <cell r="A18" t="str">
            <v>B2.8</v>
          </cell>
          <cell r="B18" t="str">
            <v>leczenie stomatologiczne</v>
          </cell>
          <cell r="C18">
            <v>127759</v>
          </cell>
          <cell r="D18">
            <v>127759</v>
          </cell>
        </row>
        <row r="19">
          <cell r="A19" t="str">
            <v>B2.9</v>
          </cell>
          <cell r="B19" t="str">
            <v>lecznictwo uzdrowiskowe</v>
          </cell>
          <cell r="C19">
            <v>41200</v>
          </cell>
          <cell r="D19">
            <v>41200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3300</v>
          </cell>
          <cell r="D20">
            <v>3300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9679</v>
          </cell>
          <cell r="D21">
            <v>9679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111595</v>
          </cell>
          <cell r="D22">
            <v>111595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49000</v>
          </cell>
          <cell r="D23">
            <v>49000</v>
          </cell>
        </row>
        <row r="24">
          <cell r="A24" t="str">
            <v>B2.14</v>
          </cell>
          <cell r="B24" t="str">
            <v>refundacja, z tego:</v>
          </cell>
          <cell r="C24">
            <v>447782</v>
          </cell>
          <cell r="D24">
            <v>447782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444982</v>
          </cell>
          <cell r="D25">
            <v>444982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600</v>
          </cell>
          <cell r="D27">
            <v>600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8822</v>
          </cell>
          <cell r="D32">
            <v>8822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114605</v>
          </cell>
          <cell r="D35">
            <v>114605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7505</v>
          </cell>
          <cell r="D36">
            <v>7505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644159</v>
          </cell>
          <cell r="D37">
            <v>644159</v>
          </cell>
        </row>
        <row r="38">
          <cell r="A38" t="str">
            <v>D.</v>
          </cell>
          <cell r="B38" t="str">
            <v>Koszty administracyjne ( D1+...+D8 )</v>
          </cell>
          <cell r="C38">
            <v>25424</v>
          </cell>
          <cell r="D38">
            <v>25424</v>
          </cell>
        </row>
        <row r="39">
          <cell r="A39" t="str">
            <v>D1</v>
          </cell>
          <cell r="B39" t="str">
            <v>zużycie materiałów i energii</v>
          </cell>
          <cell r="C39">
            <v>862</v>
          </cell>
          <cell r="D39">
            <v>862</v>
          </cell>
        </row>
        <row r="40">
          <cell r="A40" t="str">
            <v>D2</v>
          </cell>
          <cell r="B40" t="str">
            <v>usługi obce</v>
          </cell>
          <cell r="C40">
            <v>2773</v>
          </cell>
          <cell r="D40">
            <v>2773</v>
          </cell>
        </row>
        <row r="41">
          <cell r="A41" t="str">
            <v>D3</v>
          </cell>
          <cell r="B41" t="str">
            <v>podatki i opłaty, z tego</v>
          </cell>
          <cell r="C41">
            <v>256</v>
          </cell>
          <cell r="D41">
            <v>256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31</v>
          </cell>
          <cell r="D42">
            <v>31</v>
          </cell>
        </row>
        <row r="43">
          <cell r="A43" t="str">
            <v>D3.1.1</v>
          </cell>
          <cell r="B43" t="str">
            <v>podatek od nieruchomości</v>
          </cell>
          <cell r="C43">
            <v>31</v>
          </cell>
          <cell r="D43">
            <v>31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0</v>
          </cell>
          <cell r="D44">
            <v>0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217</v>
          </cell>
          <cell r="D47">
            <v>217</v>
          </cell>
        </row>
        <row r="48">
          <cell r="A48" t="str">
            <v>D3.6</v>
          </cell>
          <cell r="B48" t="str">
            <v>inne</v>
          </cell>
          <cell r="C48">
            <v>8</v>
          </cell>
          <cell r="D48">
            <v>8</v>
          </cell>
        </row>
        <row r="49">
          <cell r="A49" t="str">
            <v>D4</v>
          </cell>
          <cell r="B49" t="str">
            <v>wynagrodzenia, w tym:</v>
          </cell>
          <cell r="C49">
            <v>15939</v>
          </cell>
          <cell r="D49">
            <v>15939</v>
          </cell>
        </row>
        <row r="50">
          <cell r="A50" t="str">
            <v>D4.1</v>
          </cell>
          <cell r="B50" t="str">
            <v>wynagrodzenia bezosobowe</v>
          </cell>
          <cell r="C50">
            <v>144</v>
          </cell>
          <cell r="D50">
            <v>144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3554</v>
          </cell>
          <cell r="D51">
            <v>3554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2741</v>
          </cell>
          <cell r="D52">
            <v>2741</v>
          </cell>
        </row>
        <row r="53">
          <cell r="A53" t="str">
            <v>D5.2</v>
          </cell>
          <cell r="B53" t="str">
            <v>składki na Fundusz Pracy</v>
          </cell>
          <cell r="C53">
            <v>391</v>
          </cell>
          <cell r="D53">
            <v>391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422</v>
          </cell>
          <cell r="D55">
            <v>422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1670</v>
          </cell>
          <cell r="D57">
            <v>1670</v>
          </cell>
        </row>
        <row r="58">
          <cell r="A58" t="str">
            <v>D8</v>
          </cell>
          <cell r="B58" t="str">
            <v>pozostałe koszty administracyjne</v>
          </cell>
          <cell r="C58">
            <v>370</v>
          </cell>
          <cell r="D58">
            <v>370</v>
          </cell>
        </row>
        <row r="59">
          <cell r="A59" t="str">
            <v>F</v>
          </cell>
          <cell r="B59" t="str">
            <v>Pozostałe koszty (F1+...+F4)</v>
          </cell>
          <cell r="C59">
            <v>41705</v>
          </cell>
          <cell r="D59">
            <v>41705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5</v>
          </cell>
          <cell r="D60">
            <v>5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40500</v>
          </cell>
          <cell r="D61">
            <v>40500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1200</v>
          </cell>
          <cell r="D63">
            <v>1200</v>
          </cell>
        </row>
        <row r="64">
          <cell r="A64" t="str">
            <v>H</v>
          </cell>
          <cell r="B64" t="str">
            <v>Koszty finansowe</v>
          </cell>
          <cell r="C64">
            <v>5000</v>
          </cell>
          <cell r="D64">
            <v>5000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246200</v>
          </cell>
          <cell r="D7">
            <v>246200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152804</v>
          </cell>
          <cell r="D8">
            <v>152804</v>
          </cell>
        </row>
        <row r="9">
          <cell r="A9" t="str">
            <v>B2.3</v>
          </cell>
          <cell r="B9" t="str">
            <v>leczenie szpitalne, w tym:</v>
          </cell>
          <cell r="C9">
            <v>875778</v>
          </cell>
          <cell r="D9">
            <v>875853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76244</v>
          </cell>
          <cell r="D10">
            <v>76244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70071</v>
          </cell>
          <cell r="D11">
            <v>70071</v>
          </cell>
        </row>
        <row r="12">
          <cell r="A12" t="str">
            <v>B2.3.2</v>
          </cell>
          <cell r="B12" t="str">
            <v>chemioterapia, w tym:</v>
          </cell>
          <cell r="C12">
            <v>35478</v>
          </cell>
          <cell r="D12">
            <v>35478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12318</v>
          </cell>
          <cell r="D13">
            <v>12318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94181</v>
          </cell>
          <cell r="D14">
            <v>94181</v>
          </cell>
        </row>
        <row r="15">
          <cell r="A15" t="str">
            <v>B2.5</v>
          </cell>
          <cell r="B15" t="str">
            <v>rehabilitacja lecznicza</v>
          </cell>
          <cell r="C15">
            <v>53682</v>
          </cell>
          <cell r="D15">
            <v>53682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25928</v>
          </cell>
          <cell r="D16">
            <v>25928</v>
          </cell>
        </row>
        <row r="17">
          <cell r="A17" t="str">
            <v>B2.7</v>
          </cell>
          <cell r="B17" t="str">
            <v>opieka paliatywna i hospicyjna</v>
          </cell>
          <cell r="C17">
            <v>12124</v>
          </cell>
          <cell r="D17">
            <v>12124</v>
          </cell>
        </row>
        <row r="18">
          <cell r="A18" t="str">
            <v>B2.8</v>
          </cell>
          <cell r="B18" t="str">
            <v>leczenie stomatologiczne</v>
          </cell>
          <cell r="C18">
            <v>42036</v>
          </cell>
          <cell r="D18">
            <v>42036</v>
          </cell>
        </row>
        <row r="19">
          <cell r="A19" t="str">
            <v>B2.9</v>
          </cell>
          <cell r="B19" t="str">
            <v>lecznictwo uzdrowiskowe</v>
          </cell>
          <cell r="C19">
            <v>14200</v>
          </cell>
          <cell r="D19">
            <v>14200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1634</v>
          </cell>
          <cell r="D20">
            <v>1634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5639</v>
          </cell>
          <cell r="D21">
            <v>5639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52871</v>
          </cell>
          <cell r="D22">
            <v>52871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26000</v>
          </cell>
          <cell r="D23">
            <v>26000</v>
          </cell>
        </row>
        <row r="24">
          <cell r="A24" t="str">
            <v>B2.14</v>
          </cell>
          <cell r="B24" t="str">
            <v>refundacja, z tego:</v>
          </cell>
          <cell r="C24">
            <v>199901</v>
          </cell>
          <cell r="D24">
            <v>199901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199401</v>
          </cell>
          <cell r="D25">
            <v>199401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</v>
          </cell>
          <cell r="D26">
            <v>300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8231</v>
          </cell>
          <cell r="D32">
            <v>8231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66351</v>
          </cell>
          <cell r="D35">
            <v>66351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2892</v>
          </cell>
          <cell r="D36">
            <v>2892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282290</v>
          </cell>
          <cell r="D37">
            <v>282290</v>
          </cell>
        </row>
        <row r="38">
          <cell r="A38" t="str">
            <v>D.</v>
          </cell>
          <cell r="B38" t="str">
            <v>Koszty administracyjne ( D1+...+D8 )</v>
          </cell>
          <cell r="C38">
            <v>18027</v>
          </cell>
          <cell r="D38">
            <v>18027</v>
          </cell>
        </row>
        <row r="39">
          <cell r="A39" t="str">
            <v>D1</v>
          </cell>
          <cell r="B39" t="str">
            <v>zużycie materiałów i energii</v>
          </cell>
          <cell r="C39">
            <v>750</v>
          </cell>
          <cell r="D39">
            <v>750</v>
          </cell>
        </row>
        <row r="40">
          <cell r="A40" t="str">
            <v>D2</v>
          </cell>
          <cell r="B40" t="str">
            <v>usługi obce</v>
          </cell>
          <cell r="C40">
            <v>2185</v>
          </cell>
          <cell r="D40">
            <v>2185</v>
          </cell>
        </row>
        <row r="41">
          <cell r="A41" t="str">
            <v>D3</v>
          </cell>
          <cell r="B41" t="str">
            <v>podatki i opłaty, z tego</v>
          </cell>
          <cell r="C41">
            <v>83</v>
          </cell>
          <cell r="D41">
            <v>83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14</v>
          </cell>
          <cell r="D42">
            <v>14</v>
          </cell>
        </row>
        <row r="43">
          <cell r="A43" t="str">
            <v>D3.1.1</v>
          </cell>
          <cell r="B43" t="str">
            <v>podatek od nieruchomości</v>
          </cell>
          <cell r="C43">
            <v>14</v>
          </cell>
          <cell r="D43">
            <v>14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0</v>
          </cell>
          <cell r="D44">
            <v>0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46</v>
          </cell>
          <cell r="D47">
            <v>46</v>
          </cell>
        </row>
        <row r="48">
          <cell r="A48" t="str">
            <v>D3.6</v>
          </cell>
          <cell r="B48" t="str">
            <v>inne</v>
          </cell>
          <cell r="C48">
            <v>23</v>
          </cell>
          <cell r="D48">
            <v>23</v>
          </cell>
        </row>
        <row r="49">
          <cell r="A49" t="str">
            <v>D4</v>
          </cell>
          <cell r="B49" t="str">
            <v>wynagrodzenia, w tym:</v>
          </cell>
          <cell r="C49">
            <v>9027</v>
          </cell>
          <cell r="D49">
            <v>9027</v>
          </cell>
        </row>
        <row r="50">
          <cell r="A50" t="str">
            <v>D4.1</v>
          </cell>
          <cell r="B50" t="str">
            <v>wynagrodzenia bezosobowe</v>
          </cell>
          <cell r="C50">
            <v>32</v>
          </cell>
          <cell r="D50">
            <v>32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2079</v>
          </cell>
          <cell r="D51">
            <v>2079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1552</v>
          </cell>
          <cell r="D52">
            <v>1552</v>
          </cell>
        </row>
        <row r="53">
          <cell r="A53" t="str">
            <v>D5.2</v>
          </cell>
          <cell r="B53" t="str">
            <v>składki na Fundusz Pracy</v>
          </cell>
          <cell r="C53">
            <v>220</v>
          </cell>
          <cell r="D53">
            <v>220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307</v>
          </cell>
          <cell r="D55">
            <v>307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3600</v>
          </cell>
          <cell r="D57">
            <v>3600</v>
          </cell>
        </row>
        <row r="58">
          <cell r="A58" t="str">
            <v>D8</v>
          </cell>
          <cell r="B58" t="str">
            <v>pozostałe koszty administracyjne</v>
          </cell>
          <cell r="C58">
            <v>303</v>
          </cell>
          <cell r="D58">
            <v>303</v>
          </cell>
        </row>
        <row r="59">
          <cell r="A59" t="str">
            <v>F</v>
          </cell>
          <cell r="B59" t="str">
            <v>Pozostałe koszty (F1+...+F4)</v>
          </cell>
          <cell r="C59">
            <v>4280</v>
          </cell>
          <cell r="D59">
            <v>4280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3730</v>
          </cell>
          <cell r="D61">
            <v>3730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550</v>
          </cell>
          <cell r="D63">
            <v>550</v>
          </cell>
        </row>
        <row r="64">
          <cell r="A64" t="str">
            <v>H</v>
          </cell>
          <cell r="B64" t="str">
            <v>Koszty finansowe</v>
          </cell>
          <cell r="C64">
            <v>750</v>
          </cell>
          <cell r="D64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626353</v>
          </cell>
          <cell r="D7">
            <v>626353</v>
          </cell>
        </row>
        <row r="8">
          <cell r="A8" t="str">
            <v>B2.2</v>
          </cell>
          <cell r="B8" t="str">
            <v>ambulatoryjna opieka specjalistyczna</v>
          </cell>
          <cell r="C8">
            <v>352542</v>
          </cell>
          <cell r="D8">
            <v>352542</v>
          </cell>
        </row>
        <row r="9">
          <cell r="A9" t="str">
            <v>B2.3</v>
          </cell>
          <cell r="B9" t="str">
            <v>leczenie szpitalne, w tym:</v>
          </cell>
          <cell r="C9">
            <v>2437851</v>
          </cell>
          <cell r="D9">
            <v>2437841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226115</v>
          </cell>
          <cell r="D10">
            <v>226115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204587</v>
          </cell>
          <cell r="D11">
            <v>204587</v>
          </cell>
        </row>
        <row r="12">
          <cell r="A12" t="str">
            <v>B2.3.2</v>
          </cell>
          <cell r="B12" t="str">
            <v>chemioterapia, w tym:</v>
          </cell>
          <cell r="C12">
            <v>86960</v>
          </cell>
          <cell r="D12">
            <v>86960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34828</v>
          </cell>
          <cell r="D13">
            <v>34828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172778</v>
          </cell>
          <cell r="D14">
            <v>172778</v>
          </cell>
        </row>
        <row r="15">
          <cell r="A15" t="str">
            <v>B2.5</v>
          </cell>
          <cell r="B15" t="str">
            <v>rehabilitacja lecznicza</v>
          </cell>
          <cell r="C15">
            <v>130355</v>
          </cell>
          <cell r="D15">
            <v>130355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59045</v>
          </cell>
          <cell r="D16">
            <v>59045</v>
          </cell>
        </row>
        <row r="17">
          <cell r="A17" t="str">
            <v>B2.7</v>
          </cell>
          <cell r="B17" t="str">
            <v>opieka paliatywna i hospicyjna</v>
          </cell>
          <cell r="C17">
            <v>24403</v>
          </cell>
          <cell r="D17">
            <v>24403</v>
          </cell>
        </row>
        <row r="18">
          <cell r="A18" t="str">
            <v>B2.8</v>
          </cell>
          <cell r="B18" t="str">
            <v>leczenie stomatologiczne</v>
          </cell>
          <cell r="C18">
            <v>115741</v>
          </cell>
          <cell r="D18">
            <v>115741</v>
          </cell>
        </row>
        <row r="19">
          <cell r="A19" t="str">
            <v>B2.9</v>
          </cell>
          <cell r="B19" t="str">
            <v>lecznictwo uzdrowiskowe</v>
          </cell>
          <cell r="C19">
            <v>43000</v>
          </cell>
          <cell r="D19">
            <v>43000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2420</v>
          </cell>
          <cell r="D20">
            <v>2420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11304</v>
          </cell>
          <cell r="D21">
            <v>11304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135119</v>
          </cell>
          <cell r="D22">
            <v>135119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62891</v>
          </cell>
          <cell r="D23">
            <v>62891</v>
          </cell>
        </row>
        <row r="24">
          <cell r="A24" t="str">
            <v>B2.14</v>
          </cell>
          <cell r="B24" t="str">
            <v>refundacja, z tego:</v>
          </cell>
          <cell r="C24">
            <v>590923</v>
          </cell>
          <cell r="D24">
            <v>590923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589420</v>
          </cell>
          <cell r="D25">
            <v>589420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945</v>
          </cell>
          <cell r="D26">
            <v>945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558</v>
          </cell>
          <cell r="D27">
            <v>558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19147</v>
          </cell>
          <cell r="D32">
            <v>19147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122746</v>
          </cell>
          <cell r="D35">
            <v>122746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8930</v>
          </cell>
          <cell r="D36">
            <v>8930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830338</v>
          </cell>
          <cell r="D37">
            <v>830338</v>
          </cell>
        </row>
        <row r="38">
          <cell r="A38" t="str">
            <v>D.</v>
          </cell>
          <cell r="B38" t="str">
            <v>Koszty administracyjne ( D1+...+D8 )</v>
          </cell>
          <cell r="C38">
            <v>31129</v>
          </cell>
          <cell r="D38">
            <v>31129</v>
          </cell>
        </row>
        <row r="39">
          <cell r="A39" t="str">
            <v>D1</v>
          </cell>
          <cell r="B39" t="str">
            <v>zużycie materiałów i energii</v>
          </cell>
          <cell r="C39">
            <v>1216</v>
          </cell>
          <cell r="D39">
            <v>1216</v>
          </cell>
        </row>
        <row r="40">
          <cell r="A40" t="str">
            <v>D2</v>
          </cell>
          <cell r="B40" t="str">
            <v>usługi obce</v>
          </cell>
          <cell r="C40">
            <v>5223</v>
          </cell>
          <cell r="D40">
            <v>5223</v>
          </cell>
        </row>
        <row r="41">
          <cell r="A41" t="str">
            <v>D3</v>
          </cell>
          <cell r="B41" t="str">
            <v>podatki i opłaty, z tego</v>
          </cell>
          <cell r="C41">
            <v>251</v>
          </cell>
          <cell r="D41">
            <v>251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11</v>
          </cell>
          <cell r="D42">
            <v>11</v>
          </cell>
        </row>
        <row r="43">
          <cell r="A43" t="str">
            <v>D3.1.1</v>
          </cell>
          <cell r="B43" t="str">
            <v>podatek od nieruchomości</v>
          </cell>
          <cell r="C43">
            <v>11</v>
          </cell>
          <cell r="D43">
            <v>11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18</v>
          </cell>
          <cell r="D44">
            <v>18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218</v>
          </cell>
          <cell r="D47">
            <v>218</v>
          </cell>
        </row>
        <row r="48">
          <cell r="A48" t="str">
            <v>D3.6</v>
          </cell>
          <cell r="B48" t="str">
            <v>inne</v>
          </cell>
          <cell r="C48">
            <v>4</v>
          </cell>
          <cell r="D48">
            <v>4</v>
          </cell>
        </row>
        <row r="49">
          <cell r="A49" t="str">
            <v>D4</v>
          </cell>
          <cell r="B49" t="str">
            <v>wynagrodzenia, w tym:</v>
          </cell>
          <cell r="C49">
            <v>18571</v>
          </cell>
          <cell r="D49">
            <v>18571</v>
          </cell>
        </row>
        <row r="50">
          <cell r="A50" t="str">
            <v>D4.1</v>
          </cell>
          <cell r="B50" t="str">
            <v>wynagrodzenia bezosobowe</v>
          </cell>
          <cell r="C50">
            <v>90</v>
          </cell>
          <cell r="D50">
            <v>90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4140</v>
          </cell>
          <cell r="D51">
            <v>4140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3192</v>
          </cell>
          <cell r="D52">
            <v>3192</v>
          </cell>
        </row>
        <row r="53">
          <cell r="A53" t="str">
            <v>D5.2</v>
          </cell>
          <cell r="B53" t="str">
            <v>składki na Fundusz Pracy</v>
          </cell>
          <cell r="C53">
            <v>455</v>
          </cell>
          <cell r="D53">
            <v>455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493</v>
          </cell>
          <cell r="D55">
            <v>493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1442</v>
          </cell>
          <cell r="D57">
            <v>1442</v>
          </cell>
        </row>
        <row r="58">
          <cell r="A58" t="str">
            <v>D8</v>
          </cell>
          <cell r="B58" t="str">
            <v>pozostałe koszty administracyjne</v>
          </cell>
          <cell r="C58">
            <v>286</v>
          </cell>
          <cell r="D58">
            <v>286</v>
          </cell>
        </row>
        <row r="59">
          <cell r="A59" t="str">
            <v>F</v>
          </cell>
          <cell r="B59" t="str">
            <v>Pozostałe koszty (F1+...+F4)</v>
          </cell>
          <cell r="C59">
            <v>15800</v>
          </cell>
          <cell r="D59">
            <v>15800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15000</v>
          </cell>
          <cell r="D61">
            <v>15000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800</v>
          </cell>
          <cell r="D63">
            <v>800</v>
          </cell>
        </row>
        <row r="64">
          <cell r="A64" t="str">
            <v>H</v>
          </cell>
          <cell r="B64" t="str">
            <v>Koszty finansowe</v>
          </cell>
          <cell r="C64">
            <v>5000</v>
          </cell>
          <cell r="D64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832002</v>
          </cell>
          <cell r="D7">
            <v>832002</v>
          </cell>
        </row>
        <row r="8">
          <cell r="A8" t="str">
            <v>B2.2</v>
          </cell>
          <cell r="B8" t="str">
            <v>ambulatoryjna opieka specjalistyczna</v>
          </cell>
          <cell r="C8">
            <v>504947</v>
          </cell>
          <cell r="D8">
            <v>504947</v>
          </cell>
        </row>
        <row r="9">
          <cell r="A9" t="str">
            <v>B2.3</v>
          </cell>
          <cell r="B9" t="str">
            <v>leczenie szpitalne, w tym:</v>
          </cell>
          <cell r="C9">
            <v>2944817</v>
          </cell>
          <cell r="D9">
            <v>2944926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320551</v>
          </cell>
          <cell r="D10">
            <v>320551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291369</v>
          </cell>
          <cell r="D11">
            <v>291369</v>
          </cell>
        </row>
        <row r="12">
          <cell r="A12" t="str">
            <v>B2.3.2</v>
          </cell>
          <cell r="B12" t="str">
            <v>chemioterapia, w tym:</v>
          </cell>
          <cell r="C12">
            <v>117593</v>
          </cell>
          <cell r="D12">
            <v>117593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58839</v>
          </cell>
          <cell r="D13">
            <v>58839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181715</v>
          </cell>
          <cell r="D14">
            <v>181715</v>
          </cell>
        </row>
        <row r="15">
          <cell r="A15" t="str">
            <v>B2.5</v>
          </cell>
          <cell r="B15" t="str">
            <v>rehabilitacja lecznicza</v>
          </cell>
          <cell r="C15">
            <v>189400</v>
          </cell>
          <cell r="D15">
            <v>189400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134400</v>
          </cell>
          <cell r="D16">
            <v>134400</v>
          </cell>
        </row>
        <row r="17">
          <cell r="A17" t="str">
            <v>B2.7</v>
          </cell>
          <cell r="B17" t="str">
            <v>opieka paliatywna i hospicyjna</v>
          </cell>
          <cell r="C17">
            <v>40858</v>
          </cell>
          <cell r="D17">
            <v>40858</v>
          </cell>
        </row>
        <row r="18">
          <cell r="A18" t="str">
            <v>B2.8</v>
          </cell>
          <cell r="B18" t="str">
            <v>leczenie stomatologiczne</v>
          </cell>
          <cell r="C18">
            <v>191785</v>
          </cell>
          <cell r="D18">
            <v>191785</v>
          </cell>
        </row>
        <row r="19">
          <cell r="A19" t="str">
            <v>B2.9</v>
          </cell>
          <cell r="B19" t="str">
            <v>lecznictwo uzdrowiskowe</v>
          </cell>
          <cell r="C19">
            <v>51000</v>
          </cell>
          <cell r="D19">
            <v>51000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1701</v>
          </cell>
          <cell r="D20">
            <v>1701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14503</v>
          </cell>
          <cell r="D21">
            <v>14503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155662</v>
          </cell>
          <cell r="D22">
            <v>155662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76000</v>
          </cell>
          <cell r="D23">
            <v>76000</v>
          </cell>
        </row>
        <row r="24">
          <cell r="A24" t="str">
            <v>B2.14</v>
          </cell>
          <cell r="B24" t="str">
            <v>refundacja, z tego:</v>
          </cell>
          <cell r="C24">
            <v>682300</v>
          </cell>
          <cell r="D24">
            <v>682300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678300</v>
          </cell>
          <cell r="D25">
            <v>678300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15011</v>
          </cell>
          <cell r="D32">
            <v>15011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146114</v>
          </cell>
          <cell r="D35">
            <v>146114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11131</v>
          </cell>
          <cell r="D36">
            <v>11131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1032508</v>
          </cell>
          <cell r="D37">
            <v>1032508</v>
          </cell>
        </row>
        <row r="38">
          <cell r="A38" t="str">
            <v>D.</v>
          </cell>
          <cell r="B38" t="str">
            <v>Koszty administracyjne ( D1+...+D8 )</v>
          </cell>
          <cell r="C38">
            <v>43721</v>
          </cell>
          <cell r="D38">
            <v>43721</v>
          </cell>
        </row>
        <row r="39">
          <cell r="A39" t="str">
            <v>D1</v>
          </cell>
          <cell r="B39" t="str">
            <v>zużycie materiałów i energii</v>
          </cell>
          <cell r="C39">
            <v>1728</v>
          </cell>
          <cell r="D39">
            <v>1728</v>
          </cell>
        </row>
        <row r="40">
          <cell r="A40" t="str">
            <v>D2</v>
          </cell>
          <cell r="B40" t="str">
            <v>usługi obce</v>
          </cell>
          <cell r="C40">
            <v>5673</v>
          </cell>
          <cell r="D40">
            <v>5673</v>
          </cell>
        </row>
        <row r="41">
          <cell r="A41" t="str">
            <v>D3</v>
          </cell>
          <cell r="B41" t="str">
            <v>podatki i opłaty, z tego</v>
          </cell>
          <cell r="C41">
            <v>286</v>
          </cell>
          <cell r="D41">
            <v>286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24</v>
          </cell>
          <cell r="D42">
            <v>24</v>
          </cell>
        </row>
        <row r="43">
          <cell r="A43" t="str">
            <v>D3.1.1</v>
          </cell>
          <cell r="B43" t="str">
            <v>podatek od nieruchomości</v>
          </cell>
          <cell r="C43">
            <v>24</v>
          </cell>
          <cell r="D43">
            <v>24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53</v>
          </cell>
          <cell r="D44">
            <v>53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150</v>
          </cell>
          <cell r="D47">
            <v>150</v>
          </cell>
        </row>
        <row r="48">
          <cell r="A48" t="str">
            <v>D3.6</v>
          </cell>
          <cell r="B48" t="str">
            <v>inne</v>
          </cell>
          <cell r="C48">
            <v>59</v>
          </cell>
          <cell r="D48">
            <v>59</v>
          </cell>
        </row>
        <row r="49">
          <cell r="A49" t="str">
            <v>D4</v>
          </cell>
          <cell r="B49" t="str">
            <v>wynagrodzenia, w tym:</v>
          </cell>
          <cell r="C49">
            <v>23528</v>
          </cell>
          <cell r="D49">
            <v>23528</v>
          </cell>
        </row>
        <row r="50">
          <cell r="A50" t="str">
            <v>D4.1</v>
          </cell>
          <cell r="B50" t="str">
            <v>wynagrodzenia bezosobowe</v>
          </cell>
          <cell r="C50">
            <v>24</v>
          </cell>
          <cell r="D50">
            <v>24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5251</v>
          </cell>
          <cell r="D51">
            <v>5251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4044</v>
          </cell>
          <cell r="D52">
            <v>4044</v>
          </cell>
        </row>
        <row r="53">
          <cell r="A53" t="str">
            <v>D5.2</v>
          </cell>
          <cell r="B53" t="str">
            <v>składki na Fundusz Pracy</v>
          </cell>
          <cell r="C53">
            <v>576</v>
          </cell>
          <cell r="D53">
            <v>576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631</v>
          </cell>
          <cell r="D55">
            <v>631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6950</v>
          </cell>
          <cell r="D57">
            <v>6950</v>
          </cell>
        </row>
        <row r="58">
          <cell r="A58" t="str">
            <v>D8</v>
          </cell>
          <cell r="B58" t="str">
            <v>pozostałe koszty administracyjne</v>
          </cell>
          <cell r="C58">
            <v>305</v>
          </cell>
          <cell r="D58">
            <v>305</v>
          </cell>
        </row>
        <row r="59">
          <cell r="A59" t="str">
            <v>F</v>
          </cell>
          <cell r="B59" t="str">
            <v>Pozostałe koszty (F1+...+F4)</v>
          </cell>
          <cell r="C59">
            <v>19360</v>
          </cell>
          <cell r="D59">
            <v>19360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16095</v>
          </cell>
          <cell r="D61">
            <v>16095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3265</v>
          </cell>
          <cell r="D63">
            <v>3265</v>
          </cell>
        </row>
        <row r="64">
          <cell r="A64" t="str">
            <v>H</v>
          </cell>
          <cell r="B64" t="str">
            <v>Koszty finansowe</v>
          </cell>
          <cell r="C64">
            <v>300</v>
          </cell>
          <cell r="D64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1368733</v>
          </cell>
          <cell r="D7">
            <v>1368733</v>
          </cell>
        </row>
        <row r="8">
          <cell r="A8" t="str">
            <v>B2.2</v>
          </cell>
          <cell r="B8" t="str">
            <v>ambulatoryjna opieka specjalistyczna</v>
          </cell>
          <cell r="C8">
            <v>812132</v>
          </cell>
          <cell r="D8">
            <v>812132</v>
          </cell>
        </row>
        <row r="9">
          <cell r="A9" t="str">
            <v>B2.3</v>
          </cell>
          <cell r="B9" t="str">
            <v>leczenie szpitalne, w tym:</v>
          </cell>
          <cell r="C9">
            <v>5085743</v>
          </cell>
          <cell r="D9">
            <v>5085967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524308</v>
          </cell>
          <cell r="D10">
            <v>524308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481828</v>
          </cell>
          <cell r="D11">
            <v>481828</v>
          </cell>
        </row>
        <row r="12">
          <cell r="A12" t="str">
            <v>B2.3.2</v>
          </cell>
          <cell r="B12" t="str">
            <v>chemioterapia, w tym:</v>
          </cell>
          <cell r="C12">
            <v>225139</v>
          </cell>
          <cell r="D12">
            <v>225139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101276</v>
          </cell>
          <cell r="D13">
            <v>101276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362224</v>
          </cell>
          <cell r="D14">
            <v>362224</v>
          </cell>
        </row>
        <row r="15">
          <cell r="A15" t="str">
            <v>B2.5</v>
          </cell>
          <cell r="B15" t="str">
            <v>rehabilitacja lecznicza</v>
          </cell>
          <cell r="C15">
            <v>408280</v>
          </cell>
          <cell r="D15">
            <v>408280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164398</v>
          </cell>
          <cell r="D16">
            <v>164398</v>
          </cell>
        </row>
        <row r="17">
          <cell r="A17" t="str">
            <v>B2.7</v>
          </cell>
          <cell r="B17" t="str">
            <v>opieka paliatywna i hospicyjna</v>
          </cell>
          <cell r="C17">
            <v>49960</v>
          </cell>
          <cell r="D17">
            <v>49960</v>
          </cell>
        </row>
        <row r="18">
          <cell r="A18" t="str">
            <v>B2.8</v>
          </cell>
          <cell r="B18" t="str">
            <v>leczenie stomatologiczne</v>
          </cell>
          <cell r="C18">
            <v>214488</v>
          </cell>
          <cell r="D18">
            <v>214488</v>
          </cell>
        </row>
        <row r="19">
          <cell r="A19" t="str">
            <v>B2.9</v>
          </cell>
          <cell r="B19" t="str">
            <v>lecznictwo uzdrowiskowe</v>
          </cell>
          <cell r="C19">
            <v>102890</v>
          </cell>
          <cell r="D19">
            <v>102890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8116</v>
          </cell>
          <cell r="D20">
            <v>8116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22067</v>
          </cell>
          <cell r="D21">
            <v>22067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258941</v>
          </cell>
          <cell r="D22">
            <v>258941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120000</v>
          </cell>
          <cell r="D23">
            <v>120000</v>
          </cell>
        </row>
        <row r="24">
          <cell r="A24" t="str">
            <v>B2.14</v>
          </cell>
          <cell r="B24" t="str">
            <v>refundacja, z tego:</v>
          </cell>
          <cell r="C24">
            <v>1138750</v>
          </cell>
          <cell r="D24">
            <v>1138750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1132050</v>
          </cell>
          <cell r="D25">
            <v>1132050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2700</v>
          </cell>
          <cell r="D26">
            <v>2700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4000</v>
          </cell>
          <cell r="D27">
            <v>4000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23456</v>
          </cell>
          <cell r="D32">
            <v>23456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231496</v>
          </cell>
          <cell r="D35">
            <v>231496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18869</v>
          </cell>
          <cell r="D36">
            <v>18869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1721854</v>
          </cell>
          <cell r="D37">
            <v>1721854</v>
          </cell>
        </row>
        <row r="38">
          <cell r="A38" t="str">
            <v>D.</v>
          </cell>
          <cell r="B38" t="str">
            <v>Koszty administracyjne ( D1+...+D8 )</v>
          </cell>
          <cell r="C38">
            <v>68418</v>
          </cell>
          <cell r="D38">
            <v>68418</v>
          </cell>
        </row>
        <row r="39">
          <cell r="A39" t="str">
            <v>D1</v>
          </cell>
          <cell r="B39" t="str">
            <v>zużycie materiałów i energii</v>
          </cell>
          <cell r="C39">
            <v>2000</v>
          </cell>
          <cell r="D39">
            <v>2000</v>
          </cell>
        </row>
        <row r="40">
          <cell r="A40" t="str">
            <v>D2</v>
          </cell>
          <cell r="B40" t="str">
            <v>usługi obce</v>
          </cell>
          <cell r="C40">
            <v>12000</v>
          </cell>
          <cell r="D40">
            <v>12000</v>
          </cell>
        </row>
        <row r="41">
          <cell r="A41" t="str">
            <v>D3</v>
          </cell>
          <cell r="B41" t="str">
            <v>podatki i opłaty, z tego</v>
          </cell>
          <cell r="C41">
            <v>230</v>
          </cell>
          <cell r="D41">
            <v>230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20</v>
          </cell>
          <cell r="D42">
            <v>20</v>
          </cell>
        </row>
        <row r="43">
          <cell r="A43" t="str">
            <v>D3.1.1</v>
          </cell>
          <cell r="B43" t="str">
            <v>podatek od nieruchomości</v>
          </cell>
          <cell r="C43">
            <v>20</v>
          </cell>
          <cell r="D43">
            <v>20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12</v>
          </cell>
          <cell r="D44">
            <v>12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195</v>
          </cell>
          <cell r="D47">
            <v>195</v>
          </cell>
        </row>
        <row r="48">
          <cell r="A48" t="str">
            <v>D3.6</v>
          </cell>
          <cell r="B48" t="str">
            <v>inne</v>
          </cell>
          <cell r="C48">
            <v>3</v>
          </cell>
          <cell r="D48">
            <v>3</v>
          </cell>
        </row>
        <row r="49">
          <cell r="A49" t="str">
            <v>D4</v>
          </cell>
          <cell r="B49" t="str">
            <v>wynagrodzenia, w tym:</v>
          </cell>
          <cell r="C49">
            <v>43137</v>
          </cell>
          <cell r="D49">
            <v>43137</v>
          </cell>
        </row>
        <row r="50">
          <cell r="A50" t="str">
            <v>D4.1</v>
          </cell>
          <cell r="B50" t="str">
            <v>wynagrodzenia bezosobowe</v>
          </cell>
          <cell r="C50">
            <v>71</v>
          </cell>
          <cell r="D50">
            <v>71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9594</v>
          </cell>
          <cell r="D51">
            <v>9594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7415</v>
          </cell>
          <cell r="D52">
            <v>7415</v>
          </cell>
        </row>
        <row r="53">
          <cell r="A53" t="str">
            <v>D5.2</v>
          </cell>
          <cell r="B53" t="str">
            <v>składki na Fundusz Pracy</v>
          </cell>
          <cell r="C53">
            <v>1056</v>
          </cell>
          <cell r="D53">
            <v>1056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1123</v>
          </cell>
          <cell r="D55">
            <v>1123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1067</v>
          </cell>
          <cell r="D57">
            <v>1067</v>
          </cell>
        </row>
        <row r="58">
          <cell r="A58" t="str">
            <v>D8</v>
          </cell>
          <cell r="B58" t="str">
            <v>pozostałe koszty administracyjne</v>
          </cell>
          <cell r="C58">
            <v>390</v>
          </cell>
          <cell r="D58">
            <v>390</v>
          </cell>
        </row>
        <row r="59">
          <cell r="A59" t="str">
            <v>F</v>
          </cell>
          <cell r="B59" t="str">
            <v>Pozostałe koszty (F1+...+F4)</v>
          </cell>
          <cell r="C59">
            <v>26090</v>
          </cell>
          <cell r="D59">
            <v>26090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21967</v>
          </cell>
          <cell r="D61">
            <v>21967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4123</v>
          </cell>
          <cell r="D63">
            <v>4123</v>
          </cell>
        </row>
        <row r="64">
          <cell r="A64" t="str">
            <v>H</v>
          </cell>
          <cell r="B64" t="str">
            <v>Koszty finansowe</v>
          </cell>
          <cell r="C64">
            <v>12260</v>
          </cell>
          <cell r="D64">
            <v>12260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223309</v>
          </cell>
          <cell r="D7">
            <v>223309</v>
          </cell>
        </row>
        <row r="8">
          <cell r="A8" t="str">
            <v>B2.2</v>
          </cell>
          <cell r="B8" t="str">
            <v>ambulatoryjna opieka specjalistyczna</v>
          </cell>
          <cell r="C8">
            <v>125935</v>
          </cell>
          <cell r="D8">
            <v>125935</v>
          </cell>
        </row>
        <row r="9">
          <cell r="A9" t="str">
            <v>B2.3</v>
          </cell>
          <cell r="B9" t="str">
            <v>leczenie szpitalne, w tym:</v>
          </cell>
          <cell r="C9">
            <v>838621</v>
          </cell>
          <cell r="D9">
            <v>838621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78970</v>
          </cell>
          <cell r="D10">
            <v>78970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74135</v>
          </cell>
          <cell r="D11">
            <v>74135</v>
          </cell>
        </row>
        <row r="12">
          <cell r="A12" t="str">
            <v>B2.3.2</v>
          </cell>
          <cell r="B12" t="str">
            <v>chemioterapia, w tym:</v>
          </cell>
          <cell r="C12">
            <v>34338</v>
          </cell>
          <cell r="D12">
            <v>34338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16161</v>
          </cell>
          <cell r="D13">
            <v>16161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61205</v>
          </cell>
          <cell r="D14">
            <v>61205</v>
          </cell>
        </row>
        <row r="15">
          <cell r="A15" t="str">
            <v>B2.5</v>
          </cell>
          <cell r="B15" t="str">
            <v>rehabilitacja lecznicza</v>
          </cell>
          <cell r="C15">
            <v>55508</v>
          </cell>
          <cell r="D15">
            <v>55508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53256</v>
          </cell>
          <cell r="D16">
            <v>53256</v>
          </cell>
        </row>
        <row r="17">
          <cell r="A17" t="str">
            <v>B2.7</v>
          </cell>
          <cell r="B17" t="str">
            <v>opieka paliatywna i hospicyjna</v>
          </cell>
          <cell r="C17">
            <v>13630</v>
          </cell>
          <cell r="D17">
            <v>13630</v>
          </cell>
        </row>
        <row r="18">
          <cell r="A18" t="str">
            <v>B2.8</v>
          </cell>
          <cell r="B18" t="str">
            <v>leczenie stomatologiczne</v>
          </cell>
          <cell r="C18">
            <v>46059</v>
          </cell>
          <cell r="D18">
            <v>46059</v>
          </cell>
        </row>
        <row r="19">
          <cell r="A19" t="str">
            <v>B2.9</v>
          </cell>
          <cell r="B19" t="str">
            <v>lecznictwo uzdrowiskowe</v>
          </cell>
          <cell r="C19">
            <v>12700</v>
          </cell>
          <cell r="D19">
            <v>12700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1325</v>
          </cell>
          <cell r="D20">
            <v>1325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4900</v>
          </cell>
          <cell r="D21">
            <v>4900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43197</v>
          </cell>
          <cell r="D22">
            <v>43197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24300</v>
          </cell>
          <cell r="D23">
            <v>24300</v>
          </cell>
        </row>
        <row r="24">
          <cell r="A24" t="str">
            <v>B2.14</v>
          </cell>
          <cell r="B24" t="str">
            <v>refundacja, z tego:</v>
          </cell>
          <cell r="C24">
            <v>200581</v>
          </cell>
          <cell r="D24">
            <v>200581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199841</v>
          </cell>
          <cell r="D25">
            <v>199841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140</v>
          </cell>
          <cell r="D27">
            <v>140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14501</v>
          </cell>
          <cell r="D32">
            <v>14501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52678</v>
          </cell>
          <cell r="D35">
            <v>52678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3351</v>
          </cell>
          <cell r="D36">
            <v>3351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290877</v>
          </cell>
          <cell r="D37">
            <v>290877</v>
          </cell>
        </row>
        <row r="38">
          <cell r="A38" t="str">
            <v>D.</v>
          </cell>
          <cell r="B38" t="str">
            <v>Koszty administracyjne ( D1+...+D8 )</v>
          </cell>
          <cell r="C38">
            <v>16665</v>
          </cell>
          <cell r="D38">
            <v>16665</v>
          </cell>
        </row>
        <row r="39">
          <cell r="A39" t="str">
            <v>D1</v>
          </cell>
          <cell r="B39" t="str">
            <v>zużycie materiałów i energii</v>
          </cell>
          <cell r="C39">
            <v>815</v>
          </cell>
          <cell r="D39">
            <v>815</v>
          </cell>
        </row>
        <row r="40">
          <cell r="A40" t="str">
            <v>D2</v>
          </cell>
          <cell r="B40" t="str">
            <v>usługi obce</v>
          </cell>
          <cell r="C40">
            <v>2127</v>
          </cell>
          <cell r="D40">
            <v>2127</v>
          </cell>
        </row>
        <row r="41">
          <cell r="A41" t="str">
            <v>D3</v>
          </cell>
          <cell r="B41" t="str">
            <v>podatki i opłaty, z tego</v>
          </cell>
          <cell r="C41">
            <v>164</v>
          </cell>
          <cell r="D41">
            <v>164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0</v>
          </cell>
          <cell r="D42">
            <v>0</v>
          </cell>
        </row>
        <row r="43">
          <cell r="A43" t="str">
            <v>D3.1.1</v>
          </cell>
          <cell r="B43" t="str">
            <v>podatek od nieruchomości</v>
          </cell>
          <cell r="C43">
            <v>0</v>
          </cell>
          <cell r="D43">
            <v>0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8</v>
          </cell>
          <cell r="D44">
            <v>8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150</v>
          </cell>
          <cell r="D47">
            <v>150</v>
          </cell>
        </row>
        <row r="48">
          <cell r="A48" t="str">
            <v>D3.6</v>
          </cell>
          <cell r="B48" t="str">
            <v>inne</v>
          </cell>
          <cell r="C48">
            <v>6</v>
          </cell>
          <cell r="D48">
            <v>6</v>
          </cell>
        </row>
        <row r="49">
          <cell r="A49" t="str">
            <v>D4</v>
          </cell>
          <cell r="B49" t="str">
            <v>wynagrodzenia, w tym:</v>
          </cell>
          <cell r="C49">
            <v>9203</v>
          </cell>
          <cell r="D49">
            <v>9203</v>
          </cell>
        </row>
        <row r="50">
          <cell r="A50" t="str">
            <v>D4.1</v>
          </cell>
          <cell r="B50" t="str">
            <v>wynagrodzenia bezosobowe</v>
          </cell>
          <cell r="C50">
            <v>31</v>
          </cell>
          <cell r="D50">
            <v>31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2053</v>
          </cell>
          <cell r="D51">
            <v>2053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1582</v>
          </cell>
          <cell r="D52">
            <v>1582</v>
          </cell>
        </row>
        <row r="53">
          <cell r="A53" t="str">
            <v>D5.2</v>
          </cell>
          <cell r="B53" t="str">
            <v>składki na Fundusz Pracy</v>
          </cell>
          <cell r="C53">
            <v>225</v>
          </cell>
          <cell r="D53">
            <v>225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246</v>
          </cell>
          <cell r="D55">
            <v>246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2120</v>
          </cell>
          <cell r="D57">
            <v>2120</v>
          </cell>
        </row>
        <row r="58">
          <cell r="A58" t="str">
            <v>D8</v>
          </cell>
          <cell r="B58" t="str">
            <v>pozostałe koszty administracyjne</v>
          </cell>
          <cell r="C58">
            <v>183</v>
          </cell>
          <cell r="D58">
            <v>183</v>
          </cell>
        </row>
        <row r="59">
          <cell r="A59" t="str">
            <v>F</v>
          </cell>
          <cell r="B59" t="str">
            <v>Pozostałe koszty (F1+...+F4)</v>
          </cell>
          <cell r="C59">
            <v>7678</v>
          </cell>
          <cell r="D59">
            <v>7678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5700</v>
          </cell>
          <cell r="D61">
            <v>5700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1978</v>
          </cell>
          <cell r="D63">
            <v>1978</v>
          </cell>
        </row>
        <row r="64">
          <cell r="A64" t="str">
            <v>H</v>
          </cell>
          <cell r="B64" t="str">
            <v>Koszty finansowe</v>
          </cell>
          <cell r="C64">
            <v>1238</v>
          </cell>
          <cell r="D64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507400</v>
          </cell>
          <cell r="D7">
            <v>507400</v>
          </cell>
        </row>
        <row r="8">
          <cell r="A8" t="str">
            <v>B2.2</v>
          </cell>
          <cell r="B8" t="str">
            <v>ambulatoryjna opieka specjalistyczna</v>
          </cell>
          <cell r="C8">
            <v>295357</v>
          </cell>
          <cell r="D8">
            <v>295357</v>
          </cell>
        </row>
        <row r="9">
          <cell r="A9" t="str">
            <v>B2.3</v>
          </cell>
          <cell r="B9" t="str">
            <v>leczenie szpitalne, w tym:</v>
          </cell>
          <cell r="C9">
            <v>1783671</v>
          </cell>
          <cell r="D9">
            <v>1783671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175346</v>
          </cell>
          <cell r="D10">
            <v>175346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162963</v>
          </cell>
          <cell r="D11">
            <v>162963</v>
          </cell>
        </row>
        <row r="12">
          <cell r="A12" t="str">
            <v>B2.3.2</v>
          </cell>
          <cell r="B12" t="str">
            <v>chemioterapia, w tym:</v>
          </cell>
          <cell r="C12">
            <v>68530</v>
          </cell>
          <cell r="D12">
            <v>68530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31666</v>
          </cell>
          <cell r="D13">
            <v>31666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123373</v>
          </cell>
          <cell r="D14">
            <v>123373</v>
          </cell>
        </row>
        <row r="15">
          <cell r="A15" t="str">
            <v>B2.5</v>
          </cell>
          <cell r="B15" t="str">
            <v>rehabilitacja lecznicza</v>
          </cell>
          <cell r="C15">
            <v>145247</v>
          </cell>
          <cell r="D15">
            <v>145247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101090</v>
          </cell>
          <cell r="D16">
            <v>101090</v>
          </cell>
        </row>
        <row r="17">
          <cell r="A17" t="str">
            <v>B2.7</v>
          </cell>
          <cell r="B17" t="str">
            <v>opieka paliatywna i hospicyjna</v>
          </cell>
          <cell r="C17">
            <v>29944</v>
          </cell>
          <cell r="D17">
            <v>29944</v>
          </cell>
        </row>
        <row r="18">
          <cell r="A18" t="str">
            <v>B2.8</v>
          </cell>
          <cell r="B18" t="str">
            <v>leczenie stomatologiczne</v>
          </cell>
          <cell r="C18">
            <v>106368</v>
          </cell>
          <cell r="D18">
            <v>106368</v>
          </cell>
        </row>
        <row r="19">
          <cell r="A19" t="str">
            <v>B2.9</v>
          </cell>
          <cell r="B19" t="str">
            <v>lecznictwo uzdrowiskowe</v>
          </cell>
          <cell r="C19">
            <v>33794</v>
          </cell>
          <cell r="D19">
            <v>33794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3216</v>
          </cell>
          <cell r="D20">
            <v>3216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7985</v>
          </cell>
          <cell r="D21">
            <v>7985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99079</v>
          </cell>
          <cell r="D22">
            <v>99079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49500</v>
          </cell>
          <cell r="D23">
            <v>49500</v>
          </cell>
        </row>
        <row r="24">
          <cell r="A24" t="str">
            <v>B2.14</v>
          </cell>
          <cell r="B24" t="str">
            <v>refundacja, z tego:</v>
          </cell>
          <cell r="C24">
            <v>382413</v>
          </cell>
          <cell r="D24">
            <v>382413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379713</v>
          </cell>
          <cell r="D25">
            <v>379713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2000</v>
          </cell>
          <cell r="D26">
            <v>2000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700</v>
          </cell>
          <cell r="D27">
            <v>700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38576</v>
          </cell>
          <cell r="D32">
            <v>38576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108034</v>
          </cell>
          <cell r="D35">
            <v>108034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6901</v>
          </cell>
          <cell r="D36">
            <v>6901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577042</v>
          </cell>
          <cell r="D37">
            <v>577042</v>
          </cell>
        </row>
        <row r="38">
          <cell r="A38" t="str">
            <v>D.</v>
          </cell>
          <cell r="B38" t="str">
            <v>Koszty administracyjne ( D1+...+D8 )</v>
          </cell>
          <cell r="C38">
            <v>26074</v>
          </cell>
          <cell r="D38">
            <v>26074</v>
          </cell>
        </row>
        <row r="39">
          <cell r="A39" t="str">
            <v>D1</v>
          </cell>
          <cell r="B39" t="str">
            <v>zużycie materiałów i energii</v>
          </cell>
          <cell r="C39">
            <v>1333</v>
          </cell>
          <cell r="D39">
            <v>1333</v>
          </cell>
        </row>
        <row r="40">
          <cell r="A40" t="str">
            <v>D2</v>
          </cell>
          <cell r="B40" t="str">
            <v>usługi obce</v>
          </cell>
          <cell r="C40">
            <v>2780</v>
          </cell>
          <cell r="D40">
            <v>2780</v>
          </cell>
        </row>
        <row r="41">
          <cell r="A41" t="str">
            <v>D3</v>
          </cell>
          <cell r="B41" t="str">
            <v>podatki i opłaty, z tego</v>
          </cell>
          <cell r="C41">
            <v>118</v>
          </cell>
          <cell r="D41">
            <v>118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27</v>
          </cell>
          <cell r="D42">
            <v>27</v>
          </cell>
        </row>
        <row r="43">
          <cell r="A43" t="str">
            <v>D3.1.1</v>
          </cell>
          <cell r="B43" t="str">
            <v>podatek od nieruchomości</v>
          </cell>
          <cell r="C43">
            <v>27</v>
          </cell>
          <cell r="D43">
            <v>27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13</v>
          </cell>
          <cell r="D44">
            <v>13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42</v>
          </cell>
          <cell r="D47">
            <v>42</v>
          </cell>
        </row>
        <row r="48">
          <cell r="A48" t="str">
            <v>D3.6</v>
          </cell>
          <cell r="B48" t="str">
            <v>inne</v>
          </cell>
          <cell r="C48">
            <v>36</v>
          </cell>
          <cell r="D48">
            <v>36</v>
          </cell>
        </row>
        <row r="49">
          <cell r="A49" t="str">
            <v>D4</v>
          </cell>
          <cell r="B49" t="str">
            <v>wynagrodzenia, w tym:</v>
          </cell>
          <cell r="C49">
            <v>14454</v>
          </cell>
          <cell r="D49">
            <v>14454</v>
          </cell>
        </row>
        <row r="50">
          <cell r="A50" t="str">
            <v>D4.1</v>
          </cell>
          <cell r="B50" t="str">
            <v>wynagrodzenia bezosobowe</v>
          </cell>
          <cell r="C50">
            <v>10</v>
          </cell>
          <cell r="D50">
            <v>10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3225</v>
          </cell>
          <cell r="D51">
            <v>3225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2484</v>
          </cell>
          <cell r="D52">
            <v>2484</v>
          </cell>
        </row>
        <row r="53">
          <cell r="A53" t="str">
            <v>D5.2</v>
          </cell>
          <cell r="B53" t="str">
            <v>składki na Fundusz Pracy</v>
          </cell>
          <cell r="C53">
            <v>354</v>
          </cell>
          <cell r="D53">
            <v>354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387</v>
          </cell>
          <cell r="D55">
            <v>387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3900</v>
          </cell>
          <cell r="D57">
            <v>3900</v>
          </cell>
        </row>
        <row r="58">
          <cell r="A58" t="str">
            <v>D8</v>
          </cell>
          <cell r="B58" t="str">
            <v>pozostałe koszty administracyjne</v>
          </cell>
          <cell r="C58">
            <v>264</v>
          </cell>
          <cell r="D58">
            <v>264</v>
          </cell>
        </row>
        <row r="59">
          <cell r="A59" t="str">
            <v>F</v>
          </cell>
          <cell r="B59" t="str">
            <v>Pozostałe koszty (F1+...+F4)</v>
          </cell>
          <cell r="C59">
            <v>7194</v>
          </cell>
          <cell r="D59">
            <v>7194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6394</v>
          </cell>
          <cell r="D61">
            <v>6394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800</v>
          </cell>
          <cell r="D63">
            <v>800</v>
          </cell>
        </row>
        <row r="64">
          <cell r="A64" t="str">
            <v>H</v>
          </cell>
          <cell r="B64" t="str">
            <v>Koszty finansowe</v>
          </cell>
          <cell r="C64">
            <v>810</v>
          </cell>
          <cell r="D64">
            <v>810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286500</v>
          </cell>
          <cell r="D7">
            <v>286500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196416</v>
          </cell>
          <cell r="D8">
            <v>196416</v>
          </cell>
        </row>
        <row r="9">
          <cell r="A9" t="str">
            <v>B2.3</v>
          </cell>
          <cell r="B9" t="str">
            <v>leczenie szpitalne, w tym:</v>
          </cell>
          <cell r="C9">
            <v>1050864</v>
          </cell>
          <cell r="D9">
            <v>1050864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82842</v>
          </cell>
          <cell r="D10">
            <v>82842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73696</v>
          </cell>
          <cell r="D11">
            <v>73696</v>
          </cell>
        </row>
        <row r="12">
          <cell r="A12" t="str">
            <v>B2.3.2</v>
          </cell>
          <cell r="B12" t="str">
            <v>chemioterapia, w tym:</v>
          </cell>
          <cell r="C12">
            <v>46253</v>
          </cell>
          <cell r="D12">
            <v>46253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23019</v>
          </cell>
          <cell r="D13">
            <v>23019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83246</v>
          </cell>
          <cell r="D14">
            <v>83246</v>
          </cell>
        </row>
        <row r="15">
          <cell r="A15" t="str">
            <v>B2.5</v>
          </cell>
          <cell r="B15" t="str">
            <v>rehabilitacja lecznicza</v>
          </cell>
          <cell r="C15">
            <v>61985</v>
          </cell>
          <cell r="D15">
            <v>61985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32128</v>
          </cell>
          <cell r="D16">
            <v>32128</v>
          </cell>
        </row>
        <row r="17">
          <cell r="A17" t="str">
            <v>B2.7</v>
          </cell>
          <cell r="B17" t="str">
            <v>opieka paliatywna i hospicyjna</v>
          </cell>
          <cell r="C17">
            <v>13949</v>
          </cell>
          <cell r="D17">
            <v>13949</v>
          </cell>
        </row>
        <row r="18">
          <cell r="A18" t="str">
            <v>B2.8</v>
          </cell>
          <cell r="B18" t="str">
            <v>leczenie stomatologiczne</v>
          </cell>
          <cell r="C18">
            <v>64320</v>
          </cell>
          <cell r="D18">
            <v>64320</v>
          </cell>
        </row>
        <row r="19">
          <cell r="A19" t="str">
            <v>B2.9</v>
          </cell>
          <cell r="B19" t="str">
            <v>lecznictwo uzdrowiskowe</v>
          </cell>
          <cell r="C19">
            <v>20000</v>
          </cell>
          <cell r="D19">
            <v>20000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1475</v>
          </cell>
          <cell r="D20">
            <v>1475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5088</v>
          </cell>
          <cell r="D21">
            <v>5088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46813</v>
          </cell>
          <cell r="D22">
            <v>46813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28200</v>
          </cell>
          <cell r="D23">
            <v>28200</v>
          </cell>
        </row>
        <row r="24">
          <cell r="A24" t="str">
            <v>B2.14</v>
          </cell>
          <cell r="B24" t="str">
            <v>refundacja, z tego:</v>
          </cell>
          <cell r="C24">
            <v>225380</v>
          </cell>
          <cell r="D24">
            <v>225380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223410</v>
          </cell>
          <cell r="D25">
            <v>223410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1150</v>
          </cell>
          <cell r="D26">
            <v>1150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820</v>
          </cell>
          <cell r="D27">
            <v>820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6406</v>
          </cell>
          <cell r="D32">
            <v>6406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70234</v>
          </cell>
          <cell r="D35">
            <v>70234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4356</v>
          </cell>
          <cell r="D36">
            <v>4356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322095</v>
          </cell>
          <cell r="D37">
            <v>322095</v>
          </cell>
        </row>
        <row r="38">
          <cell r="A38" t="str">
            <v>D.</v>
          </cell>
          <cell r="B38" t="str">
            <v>Koszty administracyjne ( D1+...+D8 )</v>
          </cell>
          <cell r="C38">
            <v>16920</v>
          </cell>
          <cell r="D38">
            <v>16920</v>
          </cell>
        </row>
        <row r="39">
          <cell r="A39" t="str">
            <v>D1</v>
          </cell>
          <cell r="B39" t="str">
            <v>zużycie materiałów i energii</v>
          </cell>
          <cell r="C39">
            <v>670</v>
          </cell>
          <cell r="D39">
            <v>670</v>
          </cell>
        </row>
        <row r="40">
          <cell r="A40" t="str">
            <v>D2</v>
          </cell>
          <cell r="B40" t="str">
            <v>usługi obce</v>
          </cell>
          <cell r="C40">
            <v>938</v>
          </cell>
          <cell r="D40">
            <v>938</v>
          </cell>
        </row>
        <row r="41">
          <cell r="A41" t="str">
            <v>D3</v>
          </cell>
          <cell r="B41" t="str">
            <v>podatki i opłaty, z tego</v>
          </cell>
          <cell r="C41">
            <v>243</v>
          </cell>
          <cell r="D41">
            <v>243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19</v>
          </cell>
          <cell r="D42">
            <v>19</v>
          </cell>
        </row>
        <row r="43">
          <cell r="A43" t="str">
            <v>D3.1.1</v>
          </cell>
          <cell r="B43" t="str">
            <v>podatek od nieruchomości</v>
          </cell>
          <cell r="C43">
            <v>19</v>
          </cell>
          <cell r="D43">
            <v>19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53</v>
          </cell>
          <cell r="D44">
            <v>53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165</v>
          </cell>
          <cell r="D47">
            <v>165</v>
          </cell>
        </row>
        <row r="48">
          <cell r="A48" t="str">
            <v>D3.6</v>
          </cell>
          <cell r="B48" t="str">
            <v>inne</v>
          </cell>
          <cell r="C48">
            <v>6</v>
          </cell>
          <cell r="D48">
            <v>6</v>
          </cell>
        </row>
        <row r="49">
          <cell r="A49" t="str">
            <v>D4</v>
          </cell>
          <cell r="B49" t="str">
            <v>wynagrodzenia, w tym:</v>
          </cell>
          <cell r="C49">
            <v>10237</v>
          </cell>
          <cell r="D49">
            <v>10237</v>
          </cell>
        </row>
        <row r="50">
          <cell r="A50" t="str">
            <v>D4.1</v>
          </cell>
          <cell r="B50" t="str">
            <v>wynagrodzenia bezosobowe</v>
          </cell>
          <cell r="C50">
            <v>0</v>
          </cell>
          <cell r="D50">
            <v>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2289</v>
          </cell>
          <cell r="D51">
            <v>2289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1760</v>
          </cell>
          <cell r="D52">
            <v>1760</v>
          </cell>
        </row>
        <row r="53">
          <cell r="A53" t="str">
            <v>D5.2</v>
          </cell>
          <cell r="B53" t="str">
            <v>składki na Fundusz Pracy</v>
          </cell>
          <cell r="C53">
            <v>251</v>
          </cell>
          <cell r="D53">
            <v>251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278</v>
          </cell>
          <cell r="D55">
            <v>278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2331</v>
          </cell>
          <cell r="D57">
            <v>2331</v>
          </cell>
        </row>
        <row r="58">
          <cell r="A58" t="str">
            <v>D8</v>
          </cell>
          <cell r="B58" t="str">
            <v>pozostałe koszty administracyjne</v>
          </cell>
          <cell r="C58">
            <v>212</v>
          </cell>
          <cell r="D58">
            <v>212</v>
          </cell>
        </row>
        <row r="59">
          <cell r="A59" t="str">
            <v>F</v>
          </cell>
          <cell r="B59" t="str">
            <v>Pozostałe koszty (F1+...+F4)</v>
          </cell>
          <cell r="C59">
            <v>2016</v>
          </cell>
          <cell r="D59">
            <v>2016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1110</v>
          </cell>
          <cell r="D61">
            <v>1110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906</v>
          </cell>
          <cell r="D63">
            <v>906</v>
          </cell>
        </row>
        <row r="64">
          <cell r="A64" t="str">
            <v>H</v>
          </cell>
          <cell r="B64" t="str">
            <v>Koszty finansowe</v>
          </cell>
          <cell r="C64">
            <v>372</v>
          </cell>
          <cell r="D64">
            <v>372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572584</v>
          </cell>
          <cell r="D7">
            <v>572584</v>
          </cell>
        </row>
        <row r="8">
          <cell r="A8" t="str">
            <v>B2.2</v>
          </cell>
          <cell r="B8" t="str">
            <v>ambulatoryjna opieka specjalistyczna</v>
          </cell>
          <cell r="C8">
            <v>344626</v>
          </cell>
          <cell r="D8">
            <v>344626</v>
          </cell>
        </row>
        <row r="9">
          <cell r="A9" t="str">
            <v>B2.3</v>
          </cell>
          <cell r="B9" t="str">
            <v>leczenie szpitalne, w tym:</v>
          </cell>
          <cell r="C9">
            <v>1931911</v>
          </cell>
          <cell r="D9">
            <v>1931911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182744</v>
          </cell>
          <cell r="D10">
            <v>182744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169000</v>
          </cell>
          <cell r="D11">
            <v>169000</v>
          </cell>
        </row>
        <row r="12">
          <cell r="A12" t="str">
            <v>B2.3.2</v>
          </cell>
          <cell r="B12" t="str">
            <v>chemioterapia, w tym:</v>
          </cell>
          <cell r="C12">
            <v>79274</v>
          </cell>
          <cell r="D12">
            <v>79274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45000</v>
          </cell>
          <cell r="D13">
            <v>45000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150419</v>
          </cell>
          <cell r="D14">
            <v>150419</v>
          </cell>
        </row>
        <row r="15">
          <cell r="A15" t="str">
            <v>B2.5</v>
          </cell>
          <cell r="B15" t="str">
            <v>rehabilitacja lecznicza</v>
          </cell>
          <cell r="C15">
            <v>114336</v>
          </cell>
          <cell r="D15">
            <v>114336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49212</v>
          </cell>
          <cell r="D16">
            <v>49212</v>
          </cell>
        </row>
        <row r="17">
          <cell r="A17" t="str">
            <v>B2.7</v>
          </cell>
          <cell r="B17" t="str">
            <v>opieka paliatywna i hospicyjna</v>
          </cell>
          <cell r="C17">
            <v>25316</v>
          </cell>
          <cell r="D17">
            <v>25316</v>
          </cell>
        </row>
        <row r="18">
          <cell r="A18" t="str">
            <v>B2.8</v>
          </cell>
          <cell r="B18" t="str">
            <v>leczenie stomatologiczne</v>
          </cell>
          <cell r="C18">
            <v>105045</v>
          </cell>
          <cell r="D18">
            <v>105045</v>
          </cell>
        </row>
        <row r="19">
          <cell r="A19" t="str">
            <v>B2.9</v>
          </cell>
          <cell r="B19" t="str">
            <v>lecznictwo uzdrowiskowe</v>
          </cell>
          <cell r="C19">
            <v>27000</v>
          </cell>
          <cell r="D19">
            <v>27000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1485</v>
          </cell>
          <cell r="D20">
            <v>1485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10180</v>
          </cell>
          <cell r="D21">
            <v>10180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127438</v>
          </cell>
          <cell r="D22">
            <v>127438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53100</v>
          </cell>
          <cell r="D23">
            <v>53100</v>
          </cell>
        </row>
        <row r="24">
          <cell r="A24" t="str">
            <v>B2.14</v>
          </cell>
          <cell r="B24" t="str">
            <v>refundacja, z tego:</v>
          </cell>
          <cell r="C24">
            <v>524000</v>
          </cell>
          <cell r="D24">
            <v>524000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522800</v>
          </cell>
          <cell r="D25">
            <v>522800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800</v>
          </cell>
          <cell r="D26">
            <v>800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400</v>
          </cell>
          <cell r="D27">
            <v>400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22769</v>
          </cell>
          <cell r="D32">
            <v>22769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105521</v>
          </cell>
          <cell r="D35">
            <v>105521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6713</v>
          </cell>
          <cell r="D36">
            <v>6713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738000</v>
          </cell>
          <cell r="D37">
            <v>738000</v>
          </cell>
        </row>
        <row r="38">
          <cell r="A38" t="str">
            <v>D.</v>
          </cell>
          <cell r="B38" t="str">
            <v>Koszty administracyjne ( D1+...+D8 )</v>
          </cell>
          <cell r="C38">
            <v>34039</v>
          </cell>
          <cell r="D38">
            <v>34039</v>
          </cell>
        </row>
        <row r="39">
          <cell r="A39" t="str">
            <v>D1</v>
          </cell>
          <cell r="B39" t="str">
            <v>zużycie materiałów i energii</v>
          </cell>
          <cell r="C39">
            <v>1689</v>
          </cell>
          <cell r="D39">
            <v>1689</v>
          </cell>
        </row>
        <row r="40">
          <cell r="A40" t="str">
            <v>D2</v>
          </cell>
          <cell r="B40" t="str">
            <v>usługi obce</v>
          </cell>
          <cell r="C40">
            <v>3526</v>
          </cell>
          <cell r="D40">
            <v>3526</v>
          </cell>
        </row>
        <row r="41">
          <cell r="A41" t="str">
            <v>D3</v>
          </cell>
          <cell r="B41" t="str">
            <v>podatki i opłaty, z tego</v>
          </cell>
          <cell r="C41">
            <v>138</v>
          </cell>
          <cell r="D41">
            <v>138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44</v>
          </cell>
          <cell r="D42">
            <v>44</v>
          </cell>
        </row>
        <row r="43">
          <cell r="A43" t="str">
            <v>D3.1.1</v>
          </cell>
          <cell r="B43" t="str">
            <v>podatek od nieruchomości</v>
          </cell>
          <cell r="C43">
            <v>44</v>
          </cell>
          <cell r="D43">
            <v>44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30</v>
          </cell>
          <cell r="D44">
            <v>30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44</v>
          </cell>
          <cell r="D47">
            <v>44</v>
          </cell>
        </row>
        <row r="48">
          <cell r="A48" t="str">
            <v>D3.6</v>
          </cell>
          <cell r="B48" t="str">
            <v>inne</v>
          </cell>
          <cell r="C48">
            <v>20</v>
          </cell>
          <cell r="D48">
            <v>20</v>
          </cell>
        </row>
        <row r="49">
          <cell r="A49" t="str">
            <v>D4</v>
          </cell>
          <cell r="B49" t="str">
            <v>wynagrodzenia, w tym:</v>
          </cell>
          <cell r="C49">
            <v>19618</v>
          </cell>
          <cell r="D49">
            <v>19618</v>
          </cell>
        </row>
        <row r="50">
          <cell r="A50" t="str">
            <v>D4.1</v>
          </cell>
          <cell r="B50" t="str">
            <v>wynagrodzenia bezosobowe</v>
          </cell>
          <cell r="C50">
            <v>70</v>
          </cell>
          <cell r="D50">
            <v>70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4381</v>
          </cell>
          <cell r="D51">
            <v>4381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3372</v>
          </cell>
          <cell r="D52">
            <v>3372</v>
          </cell>
        </row>
        <row r="53">
          <cell r="A53" t="str">
            <v>D5.2</v>
          </cell>
          <cell r="B53" t="str">
            <v>składki na Fundusz Pracy</v>
          </cell>
          <cell r="C53">
            <v>481</v>
          </cell>
          <cell r="D53">
            <v>481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528</v>
          </cell>
          <cell r="D55">
            <v>528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4425</v>
          </cell>
          <cell r="D57">
            <v>4425</v>
          </cell>
        </row>
        <row r="58">
          <cell r="A58" t="str">
            <v>D8</v>
          </cell>
          <cell r="B58" t="str">
            <v>pozostałe koszty administracyjne</v>
          </cell>
          <cell r="C58">
            <v>262</v>
          </cell>
          <cell r="D58">
            <v>262</v>
          </cell>
        </row>
        <row r="59">
          <cell r="A59" t="str">
            <v>F</v>
          </cell>
          <cell r="B59" t="str">
            <v>Pozostałe koszty (F1+...+F4)</v>
          </cell>
          <cell r="C59">
            <v>8813</v>
          </cell>
          <cell r="D59">
            <v>8813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27</v>
          </cell>
          <cell r="D60">
            <v>27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6273</v>
          </cell>
          <cell r="D61">
            <v>6273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2513</v>
          </cell>
          <cell r="D63">
            <v>2513</v>
          </cell>
        </row>
        <row r="64">
          <cell r="A64" t="str">
            <v>H</v>
          </cell>
          <cell r="B64" t="str">
            <v>Koszty finansowe</v>
          </cell>
          <cell r="C64">
            <v>3970</v>
          </cell>
          <cell r="D64">
            <v>3970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1121000</v>
          </cell>
          <cell r="D7">
            <v>1121000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778656</v>
          </cell>
          <cell r="D8">
            <v>778656</v>
          </cell>
        </row>
        <row r="9">
          <cell r="A9" t="str">
            <v>B2.3</v>
          </cell>
          <cell r="B9" t="str">
            <v>leczenie szpitalne, w tym:</v>
          </cell>
          <cell r="C9">
            <v>4077468</v>
          </cell>
          <cell r="D9">
            <v>4077468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394787</v>
          </cell>
          <cell r="D10">
            <v>394787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357564</v>
          </cell>
          <cell r="D11">
            <v>357564</v>
          </cell>
        </row>
        <row r="12">
          <cell r="A12" t="str">
            <v>B2.3.2</v>
          </cell>
          <cell r="B12" t="str">
            <v>chemioterapia, w tym:</v>
          </cell>
          <cell r="C12">
            <v>167174</v>
          </cell>
          <cell r="D12">
            <v>167174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72775</v>
          </cell>
          <cell r="D13">
            <v>72775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316447</v>
          </cell>
          <cell r="D14">
            <v>316447</v>
          </cell>
        </row>
        <row r="15">
          <cell r="A15" t="str">
            <v>B2.5</v>
          </cell>
          <cell r="B15" t="str">
            <v>rehabilitacja lecznicza</v>
          </cell>
          <cell r="C15">
            <v>265809</v>
          </cell>
          <cell r="D15">
            <v>265809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222257</v>
          </cell>
          <cell r="D16">
            <v>222257</v>
          </cell>
        </row>
        <row r="17">
          <cell r="A17" t="str">
            <v>B2.7</v>
          </cell>
          <cell r="B17" t="str">
            <v>opieka paliatywna i hospicyjna</v>
          </cell>
          <cell r="C17">
            <v>56235</v>
          </cell>
          <cell r="D17">
            <v>56235</v>
          </cell>
        </row>
        <row r="18">
          <cell r="A18" t="str">
            <v>B2.8</v>
          </cell>
          <cell r="B18" t="str">
            <v>leczenie stomatologiczne</v>
          </cell>
          <cell r="C18">
            <v>201505</v>
          </cell>
          <cell r="D18">
            <v>201505</v>
          </cell>
        </row>
        <row r="19">
          <cell r="A19" t="str">
            <v>B2.9</v>
          </cell>
          <cell r="B19" t="str">
            <v>lecznictwo uzdrowiskowe</v>
          </cell>
          <cell r="C19">
            <v>72000</v>
          </cell>
          <cell r="D19">
            <v>72000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4372</v>
          </cell>
          <cell r="D20">
            <v>4372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28529</v>
          </cell>
          <cell r="D21">
            <v>28529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241429</v>
          </cell>
          <cell r="D22">
            <v>241429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129910</v>
          </cell>
          <cell r="D23">
            <v>129910</v>
          </cell>
        </row>
        <row r="24">
          <cell r="A24" t="str">
            <v>B2.14</v>
          </cell>
          <cell r="B24" t="str">
            <v>refundacja, z tego:</v>
          </cell>
          <cell r="C24">
            <v>1026139</v>
          </cell>
          <cell r="D24">
            <v>1026139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1024654</v>
          </cell>
          <cell r="D25">
            <v>1024654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966</v>
          </cell>
          <cell r="D26">
            <v>966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519</v>
          </cell>
          <cell r="D27">
            <v>519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48146</v>
          </cell>
          <cell r="D32">
            <v>48146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200932</v>
          </cell>
          <cell r="D35">
            <v>200932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14730</v>
          </cell>
          <cell r="D36">
            <v>14730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1456478</v>
          </cell>
          <cell r="D37">
            <v>1456478</v>
          </cell>
        </row>
        <row r="38">
          <cell r="A38" t="str">
            <v>D.</v>
          </cell>
          <cell r="B38" t="str">
            <v>Koszty administracyjne ( D1+...+D8 )</v>
          </cell>
          <cell r="C38">
            <v>65614</v>
          </cell>
          <cell r="D38">
            <v>65614</v>
          </cell>
        </row>
        <row r="39">
          <cell r="A39" t="str">
            <v>D1</v>
          </cell>
          <cell r="B39" t="str">
            <v>zużycie materiałów i energii</v>
          </cell>
          <cell r="C39">
            <v>2602</v>
          </cell>
          <cell r="D39">
            <v>2602</v>
          </cell>
        </row>
        <row r="40">
          <cell r="A40" t="str">
            <v>D2</v>
          </cell>
          <cell r="B40" t="str">
            <v>usługi obce</v>
          </cell>
          <cell r="C40">
            <v>8177</v>
          </cell>
          <cell r="D40">
            <v>8177</v>
          </cell>
        </row>
        <row r="41">
          <cell r="A41" t="str">
            <v>D3</v>
          </cell>
          <cell r="B41" t="str">
            <v>podatki i opłaty, z tego</v>
          </cell>
          <cell r="C41">
            <v>605</v>
          </cell>
          <cell r="D41">
            <v>605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120</v>
          </cell>
          <cell r="D42">
            <v>120</v>
          </cell>
        </row>
        <row r="43">
          <cell r="A43" t="str">
            <v>D3.1.1</v>
          </cell>
          <cell r="B43" t="str">
            <v>podatek od nieruchomości</v>
          </cell>
          <cell r="C43">
            <v>120</v>
          </cell>
          <cell r="D43">
            <v>120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10</v>
          </cell>
          <cell r="D44">
            <v>10</v>
          </cell>
        </row>
        <row r="45">
          <cell r="A45" t="str">
            <v>D3.3</v>
          </cell>
          <cell r="B45" t="str">
            <v>VAT</v>
          </cell>
          <cell r="C45">
            <v>2</v>
          </cell>
          <cell r="D45">
            <v>2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450</v>
          </cell>
          <cell r="D47">
            <v>450</v>
          </cell>
        </row>
        <row r="48">
          <cell r="A48" t="str">
            <v>D3.6</v>
          </cell>
          <cell r="B48" t="str">
            <v>inne</v>
          </cell>
          <cell r="C48">
            <v>23</v>
          </cell>
          <cell r="D48">
            <v>23</v>
          </cell>
        </row>
        <row r="49">
          <cell r="A49" t="str">
            <v>D4</v>
          </cell>
          <cell r="B49" t="str">
            <v>wynagrodzenia, w tym:</v>
          </cell>
          <cell r="C49">
            <v>39411</v>
          </cell>
          <cell r="D49">
            <v>39411</v>
          </cell>
        </row>
        <row r="50">
          <cell r="A50" t="str">
            <v>D4.1</v>
          </cell>
          <cell r="B50" t="str">
            <v>wynagrodzenia bezosobowe</v>
          </cell>
          <cell r="C50">
            <v>270</v>
          </cell>
          <cell r="D50">
            <v>270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8781</v>
          </cell>
          <cell r="D51">
            <v>8781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6775</v>
          </cell>
          <cell r="D52">
            <v>6775</v>
          </cell>
        </row>
        <row r="53">
          <cell r="A53" t="str">
            <v>D5.2</v>
          </cell>
          <cell r="B53" t="str">
            <v>składki na Fundusz Pracy</v>
          </cell>
          <cell r="C53">
            <v>964</v>
          </cell>
          <cell r="D53">
            <v>964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1042</v>
          </cell>
          <cell r="D55">
            <v>1042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5773</v>
          </cell>
          <cell r="D57">
            <v>5773</v>
          </cell>
        </row>
        <row r="58">
          <cell r="A58" t="str">
            <v>D8</v>
          </cell>
          <cell r="B58" t="str">
            <v>pozostałe koszty administracyjne</v>
          </cell>
          <cell r="C58">
            <v>265</v>
          </cell>
          <cell r="D58">
            <v>265</v>
          </cell>
        </row>
        <row r="59">
          <cell r="A59" t="str">
            <v>F</v>
          </cell>
          <cell r="B59" t="str">
            <v>Pozostałe koszty (F1+...+F4)</v>
          </cell>
          <cell r="C59">
            <v>2751</v>
          </cell>
          <cell r="D59">
            <v>2751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245</v>
          </cell>
          <cell r="D60">
            <v>245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1828</v>
          </cell>
          <cell r="D61">
            <v>1828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678</v>
          </cell>
          <cell r="D63">
            <v>678</v>
          </cell>
        </row>
        <row r="64">
          <cell r="A64" t="str">
            <v>H</v>
          </cell>
          <cell r="B64" t="str">
            <v>Koszty finansowe</v>
          </cell>
          <cell r="C64">
            <v>1355</v>
          </cell>
          <cell r="D64">
            <v>1355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299347</v>
          </cell>
          <cell r="D7">
            <v>299347</v>
          </cell>
        </row>
        <row r="8">
          <cell r="A8" t="str">
            <v>B2.2</v>
          </cell>
          <cell r="B8" t="str">
            <v>ambulatoryjna opieka specjalistyczna</v>
          </cell>
          <cell r="C8">
            <v>172428</v>
          </cell>
          <cell r="D8">
            <v>172428</v>
          </cell>
        </row>
        <row r="9">
          <cell r="A9" t="str">
            <v>B2.3</v>
          </cell>
          <cell r="B9" t="str">
            <v>leczenie szpitalne, w tym:</v>
          </cell>
          <cell r="C9">
            <v>1153134</v>
          </cell>
          <cell r="D9">
            <v>1153154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108874</v>
          </cell>
          <cell r="D10">
            <v>108874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94916</v>
          </cell>
          <cell r="D11">
            <v>94916</v>
          </cell>
        </row>
        <row r="12">
          <cell r="A12" t="str">
            <v>B2.3.2</v>
          </cell>
          <cell r="B12" t="str">
            <v>chemioterapia, w tym:</v>
          </cell>
          <cell r="C12">
            <v>54927</v>
          </cell>
          <cell r="D12">
            <v>54927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25458</v>
          </cell>
          <cell r="D13">
            <v>25458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74554</v>
          </cell>
          <cell r="D14">
            <v>74554</v>
          </cell>
        </row>
        <row r="15">
          <cell r="A15" t="str">
            <v>B2.5</v>
          </cell>
          <cell r="B15" t="str">
            <v>rehabilitacja lecznicza</v>
          </cell>
          <cell r="C15">
            <v>76677</v>
          </cell>
          <cell r="D15">
            <v>76677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51577</v>
          </cell>
          <cell r="D16">
            <v>51577</v>
          </cell>
        </row>
        <row r="17">
          <cell r="A17" t="str">
            <v>B2.7</v>
          </cell>
          <cell r="B17" t="str">
            <v>opieka paliatywna i hospicyjna</v>
          </cell>
          <cell r="C17">
            <v>18488</v>
          </cell>
          <cell r="D17">
            <v>18488</v>
          </cell>
        </row>
        <row r="18">
          <cell r="A18" t="str">
            <v>B2.8</v>
          </cell>
          <cell r="B18" t="str">
            <v>leczenie stomatologiczne</v>
          </cell>
          <cell r="C18">
            <v>62962</v>
          </cell>
          <cell r="D18">
            <v>62962</v>
          </cell>
        </row>
        <row r="19">
          <cell r="A19" t="str">
            <v>B2.9</v>
          </cell>
          <cell r="B19" t="str">
            <v>lecznictwo uzdrowiskowe</v>
          </cell>
          <cell r="C19">
            <v>25825</v>
          </cell>
          <cell r="D19">
            <v>25825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1626</v>
          </cell>
          <cell r="D20">
            <v>1626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5970</v>
          </cell>
          <cell r="D21">
            <v>5970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57078</v>
          </cell>
          <cell r="D22">
            <v>57078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31540</v>
          </cell>
          <cell r="D23">
            <v>31540</v>
          </cell>
        </row>
        <row r="24">
          <cell r="A24" t="str">
            <v>B2.14</v>
          </cell>
          <cell r="B24" t="str">
            <v>refundacja, z tego:</v>
          </cell>
          <cell r="C24">
            <v>272000</v>
          </cell>
          <cell r="D24">
            <v>272000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271210</v>
          </cell>
          <cell r="D25">
            <v>271210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52705</v>
          </cell>
          <cell r="D32">
            <v>52705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57193</v>
          </cell>
          <cell r="D35">
            <v>57193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4651</v>
          </cell>
          <cell r="D36">
            <v>4651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392374</v>
          </cell>
          <cell r="D37">
            <v>392374</v>
          </cell>
        </row>
        <row r="38">
          <cell r="A38" t="str">
            <v>D.</v>
          </cell>
          <cell r="B38" t="str">
            <v>Koszty administracyjne ( D1+...+D8 )</v>
          </cell>
          <cell r="C38">
            <v>18123</v>
          </cell>
          <cell r="D38">
            <v>18123</v>
          </cell>
        </row>
        <row r="39">
          <cell r="A39" t="str">
            <v>D1</v>
          </cell>
          <cell r="B39" t="str">
            <v>zużycie materiałów i energii</v>
          </cell>
          <cell r="C39">
            <v>562</v>
          </cell>
          <cell r="D39">
            <v>562</v>
          </cell>
        </row>
        <row r="40">
          <cell r="A40" t="str">
            <v>D2</v>
          </cell>
          <cell r="B40" t="str">
            <v>usługi obce</v>
          </cell>
          <cell r="C40">
            <v>1703</v>
          </cell>
          <cell r="D40">
            <v>1703</v>
          </cell>
        </row>
        <row r="41">
          <cell r="A41" t="str">
            <v>D3</v>
          </cell>
          <cell r="B41" t="str">
            <v>podatki i opłaty, z tego</v>
          </cell>
          <cell r="C41">
            <v>61</v>
          </cell>
          <cell r="D41">
            <v>61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7</v>
          </cell>
          <cell r="D42">
            <v>7</v>
          </cell>
        </row>
        <row r="43">
          <cell r="A43" t="str">
            <v>D3.1.1</v>
          </cell>
          <cell r="B43" t="str">
            <v>podatek od nieruchomości</v>
          </cell>
          <cell r="C43">
            <v>7</v>
          </cell>
          <cell r="D43">
            <v>7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17</v>
          </cell>
          <cell r="D44">
            <v>17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20</v>
          </cell>
          <cell r="D47">
            <v>20</v>
          </cell>
        </row>
        <row r="48">
          <cell r="A48" t="str">
            <v>D3.6</v>
          </cell>
          <cell r="B48" t="str">
            <v>inne</v>
          </cell>
          <cell r="C48">
            <v>17</v>
          </cell>
          <cell r="D48">
            <v>17</v>
          </cell>
        </row>
        <row r="49">
          <cell r="A49" t="str">
            <v>D4</v>
          </cell>
          <cell r="B49" t="str">
            <v>wynagrodzenia, w tym:</v>
          </cell>
          <cell r="C49">
            <v>11078</v>
          </cell>
          <cell r="D49">
            <v>11078</v>
          </cell>
        </row>
        <row r="50">
          <cell r="A50" t="str">
            <v>D4.1</v>
          </cell>
          <cell r="B50" t="str">
            <v>wynagrodzenia bezosobowe</v>
          </cell>
          <cell r="C50">
            <v>35</v>
          </cell>
          <cell r="D50">
            <v>35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2490</v>
          </cell>
          <cell r="D51">
            <v>2490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1904</v>
          </cell>
          <cell r="D52">
            <v>1904</v>
          </cell>
        </row>
        <row r="53">
          <cell r="A53" t="str">
            <v>D5.2</v>
          </cell>
          <cell r="B53" t="str">
            <v>składki na Fundusz Pracy</v>
          </cell>
          <cell r="C53">
            <v>271</v>
          </cell>
          <cell r="D53">
            <v>271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315</v>
          </cell>
          <cell r="D55">
            <v>315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2050</v>
          </cell>
          <cell r="D57">
            <v>2050</v>
          </cell>
        </row>
        <row r="58">
          <cell r="A58" t="str">
            <v>D8</v>
          </cell>
          <cell r="B58" t="str">
            <v>pozostałe koszty administracyjne</v>
          </cell>
          <cell r="C58">
            <v>179</v>
          </cell>
          <cell r="D58">
            <v>179</v>
          </cell>
        </row>
        <row r="59">
          <cell r="A59" t="str">
            <v>F</v>
          </cell>
          <cell r="B59" t="str">
            <v>Pozostałe koszty (F1+...+F4)</v>
          </cell>
          <cell r="C59">
            <v>10839</v>
          </cell>
          <cell r="D59">
            <v>10839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10239</v>
          </cell>
          <cell r="D61">
            <v>10239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600</v>
          </cell>
          <cell r="D63">
            <v>600</v>
          </cell>
        </row>
        <row r="64">
          <cell r="A64" t="str">
            <v>H</v>
          </cell>
          <cell r="B64" t="str">
            <v>Koszty finansowe</v>
          </cell>
          <cell r="C64">
            <v>3885</v>
          </cell>
          <cell r="D64">
            <v>3885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343969</v>
          </cell>
          <cell r="D7">
            <v>343969</v>
          </cell>
        </row>
        <row r="8">
          <cell r="A8" t="str">
            <v>B2.2</v>
          </cell>
          <cell r="B8" t="str">
            <v>ambulatoryjna opieka specjalistyczna</v>
          </cell>
          <cell r="C8">
            <v>206946</v>
          </cell>
          <cell r="D8">
            <v>206946</v>
          </cell>
        </row>
        <row r="9">
          <cell r="A9" t="str">
            <v>B2.3</v>
          </cell>
          <cell r="B9" t="str">
            <v>leczenie szpitalne, w tym:</v>
          </cell>
          <cell r="C9">
            <v>1188583</v>
          </cell>
          <cell r="D9">
            <v>1188583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100258</v>
          </cell>
          <cell r="D10">
            <v>100258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90427</v>
          </cell>
          <cell r="D11">
            <v>90427</v>
          </cell>
        </row>
        <row r="12">
          <cell r="A12" t="str">
            <v>B2.3.2</v>
          </cell>
          <cell r="B12" t="str">
            <v>chemioterapia, w tym:</v>
          </cell>
          <cell r="C12">
            <v>45913</v>
          </cell>
          <cell r="D12">
            <v>45913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23283</v>
          </cell>
          <cell r="D13">
            <v>23283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91953</v>
          </cell>
          <cell r="D14">
            <v>91953</v>
          </cell>
        </row>
        <row r="15">
          <cell r="A15" t="str">
            <v>B2.5</v>
          </cell>
          <cell r="B15" t="str">
            <v>rehabilitacja lecznicza</v>
          </cell>
          <cell r="C15">
            <v>73998</v>
          </cell>
          <cell r="D15">
            <v>73998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40605</v>
          </cell>
          <cell r="D16">
            <v>40605</v>
          </cell>
        </row>
        <row r="17">
          <cell r="A17" t="str">
            <v>B2.7</v>
          </cell>
          <cell r="B17" t="str">
            <v>opieka paliatywna i hospicyjna</v>
          </cell>
          <cell r="C17">
            <v>16450</v>
          </cell>
          <cell r="D17">
            <v>16450</v>
          </cell>
        </row>
        <row r="18">
          <cell r="A18" t="str">
            <v>B2.8</v>
          </cell>
          <cell r="B18" t="str">
            <v>leczenie stomatologiczne</v>
          </cell>
          <cell r="C18">
            <v>84160</v>
          </cell>
          <cell r="D18">
            <v>84160</v>
          </cell>
        </row>
        <row r="19">
          <cell r="A19" t="str">
            <v>B2.9</v>
          </cell>
          <cell r="B19" t="str">
            <v>lecznictwo uzdrowiskowe</v>
          </cell>
          <cell r="C19">
            <v>20876</v>
          </cell>
          <cell r="D19">
            <v>20876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2900</v>
          </cell>
          <cell r="D20">
            <v>2900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5524</v>
          </cell>
          <cell r="D21">
            <v>5524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70619</v>
          </cell>
          <cell r="D22">
            <v>70619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33260</v>
          </cell>
          <cell r="D23">
            <v>33260</v>
          </cell>
        </row>
        <row r="24">
          <cell r="A24" t="str">
            <v>B2.14</v>
          </cell>
          <cell r="B24" t="str">
            <v>refundacja, z tego:</v>
          </cell>
          <cell r="C24">
            <v>285702</v>
          </cell>
          <cell r="D24">
            <v>285702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284829</v>
          </cell>
          <cell r="D25">
            <v>284829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723</v>
          </cell>
          <cell r="D26">
            <v>723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6118</v>
          </cell>
          <cell r="D32">
            <v>6118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92791</v>
          </cell>
          <cell r="D35">
            <v>92791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4125</v>
          </cell>
          <cell r="D36">
            <v>4125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399412</v>
          </cell>
          <cell r="D37">
            <v>399412</v>
          </cell>
        </row>
        <row r="38">
          <cell r="A38" t="str">
            <v>D.</v>
          </cell>
          <cell r="B38" t="str">
            <v>Koszty administracyjne ( D1+...+D8 )</v>
          </cell>
          <cell r="C38">
            <v>19628</v>
          </cell>
          <cell r="D38">
            <v>19628</v>
          </cell>
        </row>
        <row r="39">
          <cell r="A39" t="str">
            <v>D1</v>
          </cell>
          <cell r="B39" t="str">
            <v>zużycie materiałów i energii</v>
          </cell>
          <cell r="C39">
            <v>803</v>
          </cell>
          <cell r="D39">
            <v>803</v>
          </cell>
        </row>
        <row r="40">
          <cell r="A40" t="str">
            <v>D2</v>
          </cell>
          <cell r="B40" t="str">
            <v>usługi obce</v>
          </cell>
          <cell r="C40">
            <v>2050</v>
          </cell>
          <cell r="D40">
            <v>2050</v>
          </cell>
        </row>
        <row r="41">
          <cell r="A41" t="str">
            <v>D3</v>
          </cell>
          <cell r="B41" t="str">
            <v>podatki i opłaty, z tego</v>
          </cell>
          <cell r="C41">
            <v>95</v>
          </cell>
          <cell r="D41">
            <v>95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30</v>
          </cell>
          <cell r="D42">
            <v>30</v>
          </cell>
        </row>
        <row r="43">
          <cell r="A43" t="str">
            <v>D3.1.1</v>
          </cell>
          <cell r="B43" t="str">
            <v>podatek od nieruchomości</v>
          </cell>
          <cell r="C43">
            <v>27</v>
          </cell>
          <cell r="D43">
            <v>27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5</v>
          </cell>
          <cell r="D44">
            <v>5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57</v>
          </cell>
          <cell r="D47">
            <v>57</v>
          </cell>
        </row>
        <row r="48">
          <cell r="A48" t="str">
            <v>D3.6</v>
          </cell>
          <cell r="B48" t="str">
            <v>inne</v>
          </cell>
          <cell r="C48">
            <v>3</v>
          </cell>
          <cell r="D48">
            <v>3</v>
          </cell>
        </row>
        <row r="49">
          <cell r="A49" t="str">
            <v>D4</v>
          </cell>
          <cell r="B49" t="str">
            <v>wynagrodzenia, w tym:</v>
          </cell>
          <cell r="C49">
            <v>11603</v>
          </cell>
          <cell r="D49">
            <v>11603</v>
          </cell>
        </row>
        <row r="50">
          <cell r="A50" t="str">
            <v>D4.1</v>
          </cell>
          <cell r="B50" t="str">
            <v>wynagrodzenia bezosobowe</v>
          </cell>
          <cell r="C50">
            <v>30</v>
          </cell>
          <cell r="D50">
            <v>30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2581</v>
          </cell>
          <cell r="D51">
            <v>2581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1995</v>
          </cell>
          <cell r="D52">
            <v>1995</v>
          </cell>
        </row>
        <row r="53">
          <cell r="A53" t="str">
            <v>D5.2</v>
          </cell>
          <cell r="B53" t="str">
            <v>składki na Fundusz Pracy</v>
          </cell>
          <cell r="C53">
            <v>283</v>
          </cell>
          <cell r="D53">
            <v>283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303</v>
          </cell>
          <cell r="D55">
            <v>303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2333</v>
          </cell>
          <cell r="D57">
            <v>2333</v>
          </cell>
        </row>
        <row r="58">
          <cell r="A58" t="str">
            <v>D8</v>
          </cell>
          <cell r="B58" t="str">
            <v>pozostałe koszty administracyjne</v>
          </cell>
          <cell r="C58">
            <v>163</v>
          </cell>
          <cell r="D58">
            <v>163</v>
          </cell>
        </row>
        <row r="59">
          <cell r="A59" t="str">
            <v>F</v>
          </cell>
          <cell r="B59" t="str">
            <v>Pozostałe koszty (F1+...+F4)</v>
          </cell>
          <cell r="C59">
            <v>946</v>
          </cell>
          <cell r="D59">
            <v>946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209</v>
          </cell>
          <cell r="D61">
            <v>209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737</v>
          </cell>
          <cell r="D63">
            <v>737</v>
          </cell>
        </row>
        <row r="64">
          <cell r="A64" t="str">
            <v>H</v>
          </cell>
          <cell r="B64" t="str">
            <v>Koszty finansowe</v>
          </cell>
          <cell r="C64">
            <v>45</v>
          </cell>
          <cell r="D64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878908</v>
          </cell>
          <cell r="D7">
            <v>878908</v>
          </cell>
        </row>
        <row r="8">
          <cell r="A8" t="str">
            <v>B2.2</v>
          </cell>
          <cell r="B8" t="str">
            <v>ambulatoryjna opieka specjalistyczna</v>
          </cell>
          <cell r="C8">
            <v>520079</v>
          </cell>
          <cell r="D8">
            <v>520079</v>
          </cell>
        </row>
        <row r="9">
          <cell r="A9" t="str">
            <v>B2.3</v>
          </cell>
          <cell r="B9" t="str">
            <v>leczenie szpitalne, w tym:</v>
          </cell>
          <cell r="C9">
            <v>3072548</v>
          </cell>
          <cell r="D9">
            <v>3072615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271097</v>
          </cell>
          <cell r="D10">
            <v>271097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248420</v>
          </cell>
          <cell r="D11">
            <v>248420</v>
          </cell>
        </row>
        <row r="12">
          <cell r="A12" t="str">
            <v>B2.3.2</v>
          </cell>
          <cell r="B12" t="str">
            <v>chemioterapia, w tym:</v>
          </cell>
          <cell r="C12">
            <v>127611</v>
          </cell>
          <cell r="D12">
            <v>127611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58498</v>
          </cell>
          <cell r="D13">
            <v>58498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214338</v>
          </cell>
          <cell r="D14">
            <v>214338</v>
          </cell>
        </row>
        <row r="15">
          <cell r="A15" t="str">
            <v>B2.5</v>
          </cell>
          <cell r="B15" t="str">
            <v>rehabilitacja lecznicza</v>
          </cell>
          <cell r="C15">
            <v>176989</v>
          </cell>
          <cell r="D15">
            <v>176989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82364</v>
          </cell>
          <cell r="D16">
            <v>82364</v>
          </cell>
        </row>
        <row r="17">
          <cell r="A17" t="str">
            <v>B2.7</v>
          </cell>
          <cell r="B17" t="str">
            <v>opieka paliatywna i hospicyjna</v>
          </cell>
          <cell r="C17">
            <v>51212</v>
          </cell>
          <cell r="D17">
            <v>51212</v>
          </cell>
        </row>
        <row r="18">
          <cell r="A18" t="str">
            <v>B2.8</v>
          </cell>
          <cell r="B18" t="str">
            <v>leczenie stomatologiczne</v>
          </cell>
          <cell r="C18">
            <v>149244</v>
          </cell>
          <cell r="D18">
            <v>149244</v>
          </cell>
        </row>
        <row r="19">
          <cell r="A19" t="str">
            <v>B2.9</v>
          </cell>
          <cell r="B19" t="str">
            <v>lecznictwo uzdrowiskowe</v>
          </cell>
          <cell r="C19">
            <v>62910</v>
          </cell>
          <cell r="D19">
            <v>62910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3400</v>
          </cell>
          <cell r="D20">
            <v>3400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17402</v>
          </cell>
          <cell r="D21">
            <v>17402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194387</v>
          </cell>
          <cell r="D22">
            <v>194387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85500</v>
          </cell>
          <cell r="D23">
            <v>85500</v>
          </cell>
        </row>
        <row r="24">
          <cell r="A24" t="str">
            <v>B2.14</v>
          </cell>
          <cell r="B24" t="str">
            <v>refundacja, z tego:</v>
          </cell>
          <cell r="C24">
            <v>769074</v>
          </cell>
          <cell r="D24">
            <v>769074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766574</v>
          </cell>
          <cell r="D25">
            <v>766574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4763</v>
          </cell>
          <cell r="D32">
            <v>4763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147874</v>
          </cell>
          <cell r="D35">
            <v>147874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9878</v>
          </cell>
          <cell r="D36">
            <v>9878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1075992</v>
          </cell>
          <cell r="D37">
            <v>1075992</v>
          </cell>
        </row>
        <row r="38">
          <cell r="A38" t="str">
            <v>D.</v>
          </cell>
          <cell r="B38" t="str">
            <v>Koszty administracyjne ( D1+...+D8 )</v>
          </cell>
          <cell r="C38">
            <v>44911</v>
          </cell>
          <cell r="D38">
            <v>44911</v>
          </cell>
        </row>
        <row r="39">
          <cell r="A39" t="str">
            <v>D1</v>
          </cell>
          <cell r="B39" t="str">
            <v>zużycie materiałów i energii</v>
          </cell>
          <cell r="C39">
            <v>2330</v>
          </cell>
          <cell r="D39">
            <v>2330</v>
          </cell>
        </row>
        <row r="40">
          <cell r="A40" t="str">
            <v>D2</v>
          </cell>
          <cell r="B40" t="str">
            <v>usługi obce</v>
          </cell>
          <cell r="C40">
            <v>6815</v>
          </cell>
          <cell r="D40">
            <v>6815</v>
          </cell>
        </row>
        <row r="41">
          <cell r="A41" t="str">
            <v>D3</v>
          </cell>
          <cell r="B41" t="str">
            <v>podatki i opłaty, z tego</v>
          </cell>
          <cell r="C41">
            <v>547</v>
          </cell>
          <cell r="D41">
            <v>547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51</v>
          </cell>
          <cell r="D42">
            <v>51</v>
          </cell>
        </row>
        <row r="43">
          <cell r="A43" t="str">
            <v>D3.1.1</v>
          </cell>
          <cell r="B43" t="str">
            <v>podatek od nieruchomości</v>
          </cell>
          <cell r="C43">
            <v>51</v>
          </cell>
          <cell r="D43">
            <v>51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237</v>
          </cell>
          <cell r="D44">
            <v>237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253</v>
          </cell>
          <cell r="D47">
            <v>253</v>
          </cell>
        </row>
        <row r="48">
          <cell r="A48" t="str">
            <v>D3.6</v>
          </cell>
          <cell r="B48" t="str">
            <v>inne</v>
          </cell>
          <cell r="C48">
            <v>6</v>
          </cell>
          <cell r="D48">
            <v>6</v>
          </cell>
        </row>
        <row r="49">
          <cell r="A49" t="str">
            <v>D4</v>
          </cell>
          <cell r="B49" t="str">
            <v>wynagrodzenia, w tym:</v>
          </cell>
          <cell r="C49">
            <v>24258</v>
          </cell>
          <cell r="D49">
            <v>24258</v>
          </cell>
        </row>
        <row r="50">
          <cell r="A50" t="str">
            <v>D4.1</v>
          </cell>
          <cell r="B50" t="str">
            <v>wynagrodzenia bezosobowe</v>
          </cell>
          <cell r="C50">
            <v>123</v>
          </cell>
          <cell r="D50">
            <v>123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5402</v>
          </cell>
          <cell r="D51">
            <v>5402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4170</v>
          </cell>
          <cell r="D52">
            <v>4170</v>
          </cell>
        </row>
        <row r="53">
          <cell r="A53" t="str">
            <v>D5.2</v>
          </cell>
          <cell r="B53" t="str">
            <v>składki na Fundusz Pracy</v>
          </cell>
          <cell r="C53">
            <v>593</v>
          </cell>
          <cell r="D53">
            <v>593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639</v>
          </cell>
          <cell r="D55">
            <v>639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5048</v>
          </cell>
          <cell r="D57">
            <v>5048</v>
          </cell>
        </row>
        <row r="58">
          <cell r="A58" t="str">
            <v>D8</v>
          </cell>
          <cell r="B58" t="str">
            <v>pozostałe koszty administracyjne</v>
          </cell>
          <cell r="C58">
            <v>511</v>
          </cell>
          <cell r="D58">
            <v>511</v>
          </cell>
        </row>
        <row r="59">
          <cell r="A59" t="str">
            <v>F</v>
          </cell>
          <cell r="B59" t="str">
            <v>Pozostałe koszty (F1+...+F4)</v>
          </cell>
          <cell r="C59">
            <v>20800</v>
          </cell>
          <cell r="D59">
            <v>20800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50</v>
          </cell>
          <cell r="D60">
            <v>50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20000</v>
          </cell>
          <cell r="D61">
            <v>20000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750</v>
          </cell>
          <cell r="D63">
            <v>750</v>
          </cell>
        </row>
        <row r="64">
          <cell r="A64" t="str">
            <v>H</v>
          </cell>
          <cell r="B64" t="str">
            <v>Koszty finansowe</v>
          </cell>
          <cell r="C64">
            <v>3200</v>
          </cell>
          <cell r="D64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415236</v>
          </cell>
          <cell r="D7">
            <v>415236</v>
          </cell>
        </row>
        <row r="8">
          <cell r="A8" t="str">
            <v>B2.2</v>
          </cell>
          <cell r="B8" t="str">
            <v>ambulatoryjna opieka specjalistyczna</v>
          </cell>
          <cell r="C8">
            <v>257318</v>
          </cell>
          <cell r="D8">
            <v>257318</v>
          </cell>
        </row>
        <row r="9">
          <cell r="A9" t="str">
            <v>B2.3</v>
          </cell>
          <cell r="B9" t="str">
            <v>leczenie szpitalne, w tym:</v>
          </cell>
          <cell r="C9">
            <v>1525362</v>
          </cell>
          <cell r="D9">
            <v>1525603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133516</v>
          </cell>
          <cell r="D10">
            <v>133516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122516</v>
          </cell>
          <cell r="D11">
            <v>122516</v>
          </cell>
        </row>
        <row r="12">
          <cell r="A12" t="str">
            <v>B2.3.2</v>
          </cell>
          <cell r="B12" t="str">
            <v>chemioterapia, w tym:</v>
          </cell>
          <cell r="C12">
            <v>60500</v>
          </cell>
          <cell r="D12">
            <v>60500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27500</v>
          </cell>
          <cell r="D13">
            <v>27500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97795</v>
          </cell>
          <cell r="D14">
            <v>97795</v>
          </cell>
        </row>
        <row r="15">
          <cell r="A15" t="str">
            <v>B2.5</v>
          </cell>
          <cell r="B15" t="str">
            <v>rehabilitacja lecznicza</v>
          </cell>
          <cell r="C15">
            <v>76786</v>
          </cell>
          <cell r="D15">
            <v>76786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41534</v>
          </cell>
          <cell r="D16">
            <v>41534</v>
          </cell>
        </row>
        <row r="17">
          <cell r="A17" t="str">
            <v>B2.7</v>
          </cell>
          <cell r="B17" t="str">
            <v>opieka paliatywna i hospicyjna</v>
          </cell>
          <cell r="C17">
            <v>13864</v>
          </cell>
          <cell r="D17">
            <v>13864</v>
          </cell>
        </row>
        <row r="18">
          <cell r="A18" t="str">
            <v>B2.8</v>
          </cell>
          <cell r="B18" t="str">
            <v>leczenie stomatologiczne</v>
          </cell>
          <cell r="C18">
            <v>86702</v>
          </cell>
          <cell r="D18">
            <v>86702</v>
          </cell>
        </row>
        <row r="19">
          <cell r="A19" t="str">
            <v>B2.9</v>
          </cell>
          <cell r="B19" t="str">
            <v>lecznictwo uzdrowiskowe</v>
          </cell>
          <cell r="C19">
            <v>24100</v>
          </cell>
          <cell r="D19">
            <v>24100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2440</v>
          </cell>
          <cell r="D20">
            <v>2440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9487</v>
          </cell>
          <cell r="D21">
            <v>9487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89545</v>
          </cell>
          <cell r="D22">
            <v>89545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38000</v>
          </cell>
          <cell r="D23">
            <v>38000</v>
          </cell>
        </row>
        <row r="24">
          <cell r="A24" t="str">
            <v>B2.14</v>
          </cell>
          <cell r="B24" t="str">
            <v>refundacja, z tego:</v>
          </cell>
          <cell r="C24">
            <v>360511</v>
          </cell>
          <cell r="D24">
            <v>360511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359994</v>
          </cell>
          <cell r="D25">
            <v>359994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355</v>
          </cell>
          <cell r="D26">
            <v>355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162</v>
          </cell>
          <cell r="D27">
            <v>162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7564</v>
          </cell>
          <cell r="D32">
            <v>7564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B3</v>
          </cell>
          <cell r="B34" t="str">
            <v xml:space="preserve">Koszty programów polityki zdrowotnej realizowanych na zlecenie </v>
          </cell>
          <cell r="C34">
            <v>0</v>
          </cell>
          <cell r="D34">
            <v>0</v>
          </cell>
        </row>
        <row r="35">
          <cell r="A35" t="str">
            <v>B4</v>
          </cell>
          <cell r="B35" t="str">
            <v>Koszty realizacji zadań zespołów ratownictwa medycznego</v>
          </cell>
          <cell r="C35">
            <v>101307</v>
          </cell>
          <cell r="D35">
            <v>101307</v>
          </cell>
        </row>
        <row r="36">
          <cell r="A36" t="str">
            <v>B5</v>
          </cell>
          <cell r="B36" t="str">
            <v>Koszty finansowania leku, środka spożywczego specjalnego przeznaczenia żywieniowego oraz wyrobu medycznego w części finansowanej z budżetu państwa zgodnie z art. 43a ust. 3 ustawy</v>
          </cell>
          <cell r="C36">
            <v>5102</v>
          </cell>
          <cell r="D36">
            <v>5102</v>
          </cell>
        </row>
        <row r="37">
          <cell r="A37" t="str">
            <v>Bn</v>
          </cell>
          <cell r="B37" t="str">
            <v>Całkowity budżet na refundację
(B2.3.1.1+B2.3.2.1+B2.14+B2.16.1)</v>
          </cell>
          <cell r="C37">
            <v>510527</v>
          </cell>
          <cell r="D37">
            <v>510527</v>
          </cell>
        </row>
        <row r="38">
          <cell r="A38" t="str">
            <v>D.</v>
          </cell>
          <cell r="B38" t="str">
            <v>Koszty administracyjne ( D1+...+D8 )</v>
          </cell>
          <cell r="C38">
            <v>21707</v>
          </cell>
          <cell r="D38">
            <v>21707</v>
          </cell>
        </row>
        <row r="39">
          <cell r="A39" t="str">
            <v>D1</v>
          </cell>
          <cell r="B39" t="str">
            <v>zużycie materiałów i energii</v>
          </cell>
          <cell r="C39">
            <v>800</v>
          </cell>
          <cell r="D39">
            <v>800</v>
          </cell>
        </row>
        <row r="40">
          <cell r="A40" t="str">
            <v>D2</v>
          </cell>
          <cell r="B40" t="str">
            <v>usługi obce</v>
          </cell>
          <cell r="C40">
            <v>2690</v>
          </cell>
          <cell r="D40">
            <v>2690</v>
          </cell>
        </row>
        <row r="41">
          <cell r="A41" t="str">
            <v>D3</v>
          </cell>
          <cell r="B41" t="str">
            <v>podatki i opłaty, z tego</v>
          </cell>
          <cell r="C41">
            <v>203</v>
          </cell>
          <cell r="D41">
            <v>203</v>
          </cell>
        </row>
        <row r="42">
          <cell r="A42" t="str">
            <v>D3.1</v>
          </cell>
          <cell r="B42" t="str">
            <v>podatki stanowiące dochody własne jednostek samorządu terytorialnego, w tym:</v>
          </cell>
          <cell r="C42">
            <v>25</v>
          </cell>
          <cell r="D42">
            <v>25</v>
          </cell>
        </row>
        <row r="43">
          <cell r="A43" t="str">
            <v>D3.1.1</v>
          </cell>
          <cell r="B43" t="str">
            <v>podatek od nieruchomości</v>
          </cell>
          <cell r="C43">
            <v>25</v>
          </cell>
          <cell r="D43">
            <v>25</v>
          </cell>
        </row>
        <row r="44">
          <cell r="A44" t="str">
            <v>D3.2</v>
          </cell>
          <cell r="B44" t="str">
            <v>opłaty stanowiące dochody własne jednostek samorządu terytorialnego</v>
          </cell>
          <cell r="C44">
            <v>18</v>
          </cell>
          <cell r="D44">
            <v>18</v>
          </cell>
        </row>
        <row r="45">
          <cell r="A45" t="str">
            <v>D3.3</v>
          </cell>
          <cell r="B45" t="str">
            <v>VAT</v>
          </cell>
          <cell r="C45">
            <v>0</v>
          </cell>
          <cell r="D45">
            <v>0</v>
          </cell>
        </row>
        <row r="46">
          <cell r="A46" t="str">
            <v>D3.4</v>
          </cell>
          <cell r="B46" t="str">
            <v>podatek akcyzowy</v>
          </cell>
          <cell r="C46">
            <v>0</v>
          </cell>
          <cell r="D46">
            <v>0</v>
          </cell>
        </row>
        <row r="47">
          <cell r="A47" t="str">
            <v>D3.5</v>
          </cell>
          <cell r="B47" t="str">
            <v>wpłaty na PFRON</v>
          </cell>
          <cell r="C47">
            <v>135</v>
          </cell>
          <cell r="D47">
            <v>135</v>
          </cell>
        </row>
        <row r="48">
          <cell r="A48" t="str">
            <v>D3.6</v>
          </cell>
          <cell r="B48" t="str">
            <v>inne</v>
          </cell>
          <cell r="C48">
            <v>25</v>
          </cell>
          <cell r="D48">
            <v>25</v>
          </cell>
        </row>
        <row r="49">
          <cell r="A49" t="str">
            <v>D4</v>
          </cell>
          <cell r="B49" t="str">
            <v>wynagrodzenia, w tym:</v>
          </cell>
          <cell r="C49">
            <v>13626</v>
          </cell>
          <cell r="D49">
            <v>13626</v>
          </cell>
        </row>
        <row r="50">
          <cell r="A50" t="str">
            <v>D4.1</v>
          </cell>
          <cell r="B50" t="str">
            <v>wynagrodzenia bezosobowe</v>
          </cell>
          <cell r="C50">
            <v>50</v>
          </cell>
          <cell r="D50">
            <v>50</v>
          </cell>
        </row>
        <row r="51">
          <cell r="A51" t="str">
            <v>D5</v>
          </cell>
          <cell r="B51" t="str">
            <v>ubezpieczenie społeczne i inne świadczenia, z tego:</v>
          </cell>
          <cell r="C51">
            <v>3043</v>
          </cell>
          <cell r="D51">
            <v>3043</v>
          </cell>
        </row>
        <row r="52">
          <cell r="A52" t="str">
            <v>D5.1</v>
          </cell>
          <cell r="B52" t="str">
            <v>składki na Fundusz Ubezpieczeń Społecznych</v>
          </cell>
          <cell r="C52">
            <v>2342</v>
          </cell>
          <cell r="D52">
            <v>2342</v>
          </cell>
        </row>
        <row r="53">
          <cell r="A53" t="str">
            <v>D5.2</v>
          </cell>
          <cell r="B53" t="str">
            <v>składki na Fundusz Pracy</v>
          </cell>
          <cell r="C53">
            <v>334</v>
          </cell>
          <cell r="D53">
            <v>334</v>
          </cell>
        </row>
        <row r="54">
          <cell r="A54" t="str">
            <v>D5.3</v>
          </cell>
          <cell r="B54" t="str">
            <v>składki na Fundusz Gwarantowanych Świadczeń Pracowniczych</v>
          </cell>
          <cell r="C54">
            <v>0</v>
          </cell>
          <cell r="D54">
            <v>0</v>
          </cell>
        </row>
        <row r="55">
          <cell r="A55" t="str">
            <v>D5.4</v>
          </cell>
          <cell r="B55" t="str">
            <v>pozostałe świadczenia</v>
          </cell>
          <cell r="C55">
            <v>367</v>
          </cell>
          <cell r="D55">
            <v>367</v>
          </cell>
        </row>
        <row r="56">
          <cell r="A56" t="str">
            <v>D6</v>
          </cell>
          <cell r="B56" t="str">
            <v>koszty funkcjonowania Rady Funduszu</v>
          </cell>
          <cell r="C56">
            <v>0</v>
          </cell>
          <cell r="D56">
            <v>0</v>
          </cell>
        </row>
        <row r="57">
          <cell r="A57" t="str">
            <v>D7</v>
          </cell>
          <cell r="B57" t="str">
            <v>amortyzacja środków trwałych oraz wartości niematerialnych i prawnych</v>
          </cell>
          <cell r="C57">
            <v>1200</v>
          </cell>
          <cell r="D57">
            <v>1200</v>
          </cell>
        </row>
        <row r="58">
          <cell r="A58" t="str">
            <v>D8</v>
          </cell>
          <cell r="B58" t="str">
            <v>pozostałe koszty administracyjne</v>
          </cell>
          <cell r="C58">
            <v>145</v>
          </cell>
          <cell r="D58">
            <v>145</v>
          </cell>
        </row>
        <row r="59">
          <cell r="A59" t="str">
            <v>F</v>
          </cell>
          <cell r="B59" t="str">
            <v>Pozostałe koszty (F1+...+F4)</v>
          </cell>
          <cell r="C59">
            <v>1099</v>
          </cell>
          <cell r="D59">
            <v>1099</v>
          </cell>
        </row>
        <row r="60">
          <cell r="A60" t="str">
            <v>F1</v>
          </cell>
          <cell r="B60" t="str">
            <v>wydanie i utrzymanie kart ubezpieczenia (w tym części stałych i zamiennych książeczek usług medycznych) oraz recept</v>
          </cell>
          <cell r="C60">
            <v>0</v>
          </cell>
          <cell r="D60">
            <v>0</v>
          </cell>
        </row>
        <row r="61">
          <cell r="A61" t="str">
            <v>F2</v>
          </cell>
          <cell r="B61" t="str">
            <v>rezerwa na zobowiązania wynikające z postępowań sądowych</v>
          </cell>
          <cell r="C61">
            <v>688</v>
          </cell>
          <cell r="D61">
            <v>688</v>
          </cell>
        </row>
        <row r="62">
          <cell r="A62" t="str">
            <v>F3</v>
          </cell>
          <cell r="B62" t="str">
            <v>inne rezerwy</v>
          </cell>
          <cell r="C62">
            <v>0</v>
          </cell>
          <cell r="D62">
            <v>0</v>
          </cell>
        </row>
        <row r="63">
          <cell r="A63" t="str">
            <v>F4</v>
          </cell>
          <cell r="B63" t="str">
            <v>inne koszty</v>
          </cell>
          <cell r="C63">
            <v>411</v>
          </cell>
          <cell r="D63">
            <v>411</v>
          </cell>
        </row>
        <row r="64">
          <cell r="A64" t="str">
            <v>H</v>
          </cell>
          <cell r="B64" t="str">
            <v>Koszty finansowe</v>
          </cell>
          <cell r="C64">
            <v>183</v>
          </cell>
          <cell r="D64">
            <v>183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F1"/>
      <selection pane="topRight" sqref="A1:F1"/>
      <selection pane="bottomLeft" sqref="A1:F1"/>
      <selection pane="bottomRight" activeCell="L8" sqref="L8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58.5" customHeight="1" x14ac:dyDescent="0.35">
      <c r="A1" s="111" t="s">
        <v>199</v>
      </c>
      <c r="B1" s="111"/>
      <c r="C1" s="111"/>
      <c r="D1" s="111"/>
      <c r="E1" s="111"/>
      <c r="F1" s="111"/>
    </row>
    <row r="2" spans="1:6" s="21" customFormat="1" ht="35.25" customHeight="1" x14ac:dyDescent="0.3">
      <c r="A2" s="110" t="s">
        <v>166</v>
      </c>
      <c r="B2" s="110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69273291</v>
      </c>
      <c r="D6" s="83">
        <f>D7+D8</f>
        <v>69273291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f>IFERROR(VLOOKUP(A7,[4]NFZ!$A$7:$D$100,4,FALSE),0)</f>
        <v>65844312</v>
      </c>
      <c r="D7" s="7">
        <f>C7</f>
        <v>65844312</v>
      </c>
      <c r="E7" s="7" t="str">
        <f t="shared" ref="E7:E80" si="0">IF(C7=D7,"-",D7-C7)</f>
        <v>-</v>
      </c>
      <c r="F7" s="42">
        <f t="shared" ref="F7:F80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f>IFERROR(VLOOKUP(A8,[4]NFZ!$A$7:$D$100,4,FALSE),0)</f>
        <v>3428979</v>
      </c>
      <c r="D8" s="7">
        <f>C8</f>
        <v>3428979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185000</v>
      </c>
      <c r="D12" s="83">
        <f>D13+D14</f>
        <v>185000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f>IFERROR(VLOOKUP(A13,[4]NFZ!$A$7:$D$100,4,FALSE),0)</f>
        <v>200000</v>
      </c>
      <c r="D13" s="7">
        <f>C13</f>
        <v>200000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f>IFERROR(VLOOKUP(A14,[4]NFZ!$A$7:$D$100,4,FALSE),0)</f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134823</v>
      </c>
      <c r="D15" s="83">
        <f>D16+D17</f>
        <v>134823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f>IFERROR(VLOOKUP(A16,[4]NFZ!$A$7:$D$100,4,FALSE),0)</f>
        <v>131689</v>
      </c>
      <c r="D16" s="7">
        <f>C16</f>
        <v>131689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f>IFERROR(VLOOKUP(A17,[4]NFZ!$A$7:$D$100,4,FALSE),0)</f>
        <v>3134</v>
      </c>
      <c r="D17" s="7">
        <f>C17</f>
        <v>3134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f>IFERROR(VLOOKUP(A18,[4]NFZ!$A$7:$D$100,4,FALSE),0)</f>
        <v>48492</v>
      </c>
      <c r="D18" s="83">
        <f>C18-22679</f>
        <v>25813</v>
      </c>
      <c r="E18" s="83">
        <f t="shared" si="0"/>
        <v>-22679</v>
      </c>
      <c r="F18" s="84">
        <f t="shared" si="1"/>
        <v>0.5323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72197668</v>
      </c>
      <c r="D19" s="83">
        <f>(D6-D9+D12-D15-D18)+D20+D21+D22+D23</f>
        <v>72220347</v>
      </c>
      <c r="E19" s="83">
        <f t="shared" si="0"/>
        <v>22679</v>
      </c>
      <c r="F19" s="84">
        <f t="shared" si="1"/>
        <v>1.0003</v>
      </c>
    </row>
    <row r="20" spans="1:6" ht="31.5" customHeight="1" x14ac:dyDescent="0.2">
      <c r="A20" s="55" t="s">
        <v>90</v>
      </c>
      <c r="B20" s="25" t="s">
        <v>91</v>
      </c>
      <c r="C20" s="7">
        <f>IFERROR(VLOOKUP(A20,[4]NFZ!$A$7:$D$100,4,FALSE),0)</f>
        <v>157873</v>
      </c>
      <c r="D20" s="7">
        <f>C20</f>
        <v>157873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f>IFERROR(VLOOKUP(A21,[4]NFZ!$A$7:$D$100,4,FALSE),0)</f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195</v>
      </c>
      <c r="C22" s="7">
        <f>IFERROR(VLOOKUP(A22,[4]NFZ!$A$7:$D$100,4,FALSE),0)</f>
        <v>894258</v>
      </c>
      <c r="D22" s="7">
        <f>C22</f>
        <v>894258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f>IFERROR(VLOOKUP(A23,[4]NFZ!$A$7:$D$100,4,FALSE),0)</f>
        <v>1870561</v>
      </c>
      <c r="D23" s="7">
        <f>C23</f>
        <v>1870561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190</v>
      </c>
      <c r="C24" s="83">
        <f>C25+C26+C54+C55+C56</f>
        <v>73702419</v>
      </c>
      <c r="D24" s="83">
        <f>D25+D26+D54+D55+D56</f>
        <v>73702419</v>
      </c>
      <c r="E24" s="83" t="str">
        <f t="shared" si="0"/>
        <v>-</v>
      </c>
      <c r="F24" s="84">
        <f t="shared" si="1"/>
        <v>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f>IFERROR(VLOOKUP(A25,[4]NFZ!$A$7:$D$100,4,FALSE),0)</f>
        <v>692733</v>
      </c>
      <c r="D25" s="83">
        <f>C25</f>
        <v>692733</v>
      </c>
      <c r="E25" s="83" t="str">
        <f t="shared" si="0"/>
        <v>-</v>
      </c>
      <c r="F25" s="84">
        <f t="shared" si="1"/>
        <v>1</v>
      </c>
    </row>
    <row r="26" spans="1:6" s="10" customFormat="1" ht="36" customHeight="1" x14ac:dyDescent="0.4">
      <c r="A26" s="85" t="s">
        <v>0</v>
      </c>
      <c r="B26" s="86" t="s">
        <v>197</v>
      </c>
      <c r="C26" s="87">
        <f>C27+C28+C29+C34+C35+C36+C37+C38+C39+C40+C41+C42+C43+C44+C48+C49+C51+C52+C53</f>
        <v>71014125</v>
      </c>
      <c r="D26" s="87">
        <f>D27+D28+D29+D34+D35+D36+D37+D38+D39+D40+D41+D42+D43+D44+D48+D49+D51+D52+D53</f>
        <v>71014125</v>
      </c>
      <c r="E26" s="88" t="str">
        <f>IF(C26=D26,"-",D26-C26)</f>
        <v>-</v>
      </c>
      <c r="F26" s="89">
        <f t="shared" si="1"/>
        <v>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9465686</v>
      </c>
      <c r="D27" s="7">
        <f>CENTRALA!D7+'Razem OW'!D7</f>
        <v>9465686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5749505</v>
      </c>
      <c r="D28" s="7">
        <f>CENTRALA!D8+'Razem OW'!D8</f>
        <v>5749505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34379582</v>
      </c>
      <c r="D29" s="7">
        <f>CENTRALA!D9+'Razem OW'!D9</f>
        <v>34379582</v>
      </c>
      <c r="E29" s="7" t="str">
        <f t="shared" si="0"/>
        <v>-</v>
      </c>
      <c r="F29" s="42">
        <f t="shared" si="1"/>
        <v>1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3270118</v>
      </c>
      <c r="D30" s="7">
        <f>CENTRALA!D10+'Razem OW'!D10</f>
        <v>3270118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2979758</v>
      </c>
      <c r="D31" s="7">
        <f>CENTRALA!D11+'Razem OW'!D11</f>
        <v>2979758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1425552</v>
      </c>
      <c r="D32" s="7">
        <f>CENTRALA!D12+'Razem OW'!D12</f>
        <v>1425552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659948</v>
      </c>
      <c r="D33" s="7">
        <f>CENTRALA!D13+'Razem OW'!D13</f>
        <v>659948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2494456</v>
      </c>
      <c r="D34" s="7">
        <f>CENTRALA!D14+'Razem OW'!D14</f>
        <v>2494456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2222847</v>
      </c>
      <c r="D35" s="7">
        <f>CENTRALA!D15+'Razem OW'!D15</f>
        <v>2222847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1291868</v>
      </c>
      <c r="D36" s="7">
        <f>CENTRALA!D16+'Razem OW'!D16</f>
        <v>1291868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455583</v>
      </c>
      <c r="D37" s="7">
        <f>CENTRALA!D17+'Razem OW'!D17</f>
        <v>455583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1820715</v>
      </c>
      <c r="D38" s="7">
        <f>CENTRALA!D18+'Razem OW'!D18</f>
        <v>1820715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648357</v>
      </c>
      <c r="D39" s="7">
        <f>CENTRALA!D19+'Razem OW'!D19</f>
        <v>648357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46699</v>
      </c>
      <c r="D40" s="7">
        <f>CENTRALA!D20+'Razem OW'!D20</f>
        <v>46699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183294</v>
      </c>
      <c r="D41" s="7">
        <f>CENTRALA!D21+'Razem OW'!D21</f>
        <v>183294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1935478</v>
      </c>
      <c r="D42" s="7">
        <f>CENTRALA!D22+'Razem OW'!D22</f>
        <v>1935478</v>
      </c>
      <c r="E42" s="7" t="str">
        <f t="shared" si="0"/>
        <v>-</v>
      </c>
      <c r="F42" s="42">
        <f t="shared" si="1"/>
        <v>1</v>
      </c>
    </row>
    <row r="43" spans="1:6" ht="40.5" x14ac:dyDescent="0.2">
      <c r="A43" s="57" t="s">
        <v>13</v>
      </c>
      <c r="B43" s="58" t="s">
        <v>147</v>
      </c>
      <c r="C43" s="7">
        <f>CENTRALA!C23+'Razem OW'!C23</f>
        <v>929044</v>
      </c>
      <c r="D43" s="7">
        <f>CENTRALA!D23+'Razem OW'!D23</f>
        <v>929044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8181865</v>
      </c>
      <c r="D44" s="7">
        <f>CENTRALA!D24+'Razem OW'!D24</f>
        <v>8181865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8150761</v>
      </c>
      <c r="D45" s="7">
        <f>CENTRALA!D25+'Razem OW'!D25</f>
        <v>8150761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19388</v>
      </c>
      <c r="D46" s="7">
        <f>CENTRALA!D26+'Razem OW'!D26</f>
        <v>19388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11716</v>
      </c>
      <c r="D47" s="7">
        <f>CENTRALA!D27+'Razem OW'!D27</f>
        <v>11716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535079</v>
      </c>
      <c r="D48" s="7">
        <f>CENTRALA!D28+'Razem OW'!D28</f>
        <v>535079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288207</v>
      </c>
      <c r="D52" s="7">
        <f>CENTRALA!D32+'Razem OW'!D32</f>
        <v>288207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385860</v>
      </c>
      <c r="D53" s="7">
        <f>CENTRALA!D33+'Razem OW'!D33</f>
        <v>385860</v>
      </c>
      <c r="E53" s="7" t="str">
        <f>IF(C53=D53,"-",D53-C53)</f>
        <v>-</v>
      </c>
      <c r="F53" s="42">
        <f>IF(C53=0,"-",D53/C53)</f>
        <v>1</v>
      </c>
    </row>
    <row r="54" spans="1:6" s="10" customFormat="1" ht="30.75" customHeight="1" x14ac:dyDescent="0.4">
      <c r="A54" s="90" t="s">
        <v>57</v>
      </c>
      <c r="B54" s="91" t="s">
        <v>99</v>
      </c>
      <c r="C54" s="92">
        <f>CENTRALA!C34+'Razem OW'!C34</f>
        <v>0</v>
      </c>
      <c r="D54" s="92">
        <f>C54</f>
        <v>0</v>
      </c>
      <c r="E54" s="92" t="str">
        <f t="shared" si="0"/>
        <v>-</v>
      </c>
      <c r="F54" s="93" t="str">
        <f t="shared" si="1"/>
        <v>-</v>
      </c>
    </row>
    <row r="55" spans="1:6" s="10" customFormat="1" ht="30.75" customHeight="1" x14ac:dyDescent="0.4">
      <c r="A55" s="94" t="s">
        <v>56</v>
      </c>
      <c r="B55" s="91" t="s">
        <v>59</v>
      </c>
      <c r="C55" s="83">
        <f>CENTRALA!C35+'Razem OW'!C35</f>
        <v>1870561</v>
      </c>
      <c r="D55" s="83">
        <f>CENTRALA!D35+'Razem OW'!D35</f>
        <v>1870561</v>
      </c>
      <c r="E55" s="83" t="str">
        <f t="shared" si="0"/>
        <v>-</v>
      </c>
      <c r="F55" s="84">
        <f t="shared" si="1"/>
        <v>1</v>
      </c>
    </row>
    <row r="56" spans="1:6" s="10" customFormat="1" ht="60.75" x14ac:dyDescent="0.4">
      <c r="A56" s="94" t="s">
        <v>188</v>
      </c>
      <c r="B56" s="91" t="s">
        <v>189</v>
      </c>
      <c r="C56" s="83">
        <f>CENTRALA!C36+'Razem OW'!C36</f>
        <v>125000</v>
      </c>
      <c r="D56" s="83">
        <f>CENTRALA!D36+'Razem OW'!D36</f>
        <v>125000</v>
      </c>
      <c r="E56" s="83" t="str">
        <f t="shared" si="0"/>
        <v>-</v>
      </c>
      <c r="F56" s="84">
        <f t="shared" si="1"/>
        <v>1</v>
      </c>
    </row>
    <row r="57" spans="1:6" s="10" customFormat="1" ht="45.75" customHeight="1" x14ac:dyDescent="0.4">
      <c r="A57" s="94" t="s">
        <v>155</v>
      </c>
      <c r="B57" s="91" t="s">
        <v>156</v>
      </c>
      <c r="C57" s="83">
        <f>CENTRALA!C37+'Razem OW'!C37</f>
        <v>11821571</v>
      </c>
      <c r="D57" s="83">
        <f>CENTRALA!D37+'Razem OW'!D37</f>
        <v>11821571</v>
      </c>
      <c r="E57" s="83" t="str">
        <f>IF(C57=D57,"-",D57-C57)</f>
        <v>-</v>
      </c>
      <c r="F57" s="84">
        <f t="shared" si="1"/>
        <v>1</v>
      </c>
    </row>
    <row r="58" spans="1:6" s="10" customFormat="1" ht="33" customHeight="1" x14ac:dyDescent="0.4">
      <c r="A58" s="81" t="s">
        <v>130</v>
      </c>
      <c r="B58" s="82" t="s">
        <v>192</v>
      </c>
      <c r="C58" s="83">
        <f>C19-C24</f>
        <v>-1504751</v>
      </c>
      <c r="D58" s="83">
        <f>D19-D24</f>
        <v>-1482072</v>
      </c>
      <c r="E58" s="83">
        <f t="shared" si="0"/>
        <v>22679</v>
      </c>
      <c r="F58" s="84">
        <f t="shared" si="1"/>
        <v>0.9849</v>
      </c>
    </row>
    <row r="59" spans="1:6" s="10" customFormat="1" ht="33" customHeight="1" x14ac:dyDescent="0.4">
      <c r="A59" s="81" t="s">
        <v>131</v>
      </c>
      <c r="B59" s="82" t="s">
        <v>183</v>
      </c>
      <c r="C59" s="83">
        <f>C60+C61+C62+C70+C72+C77+C78+C79</f>
        <v>737422</v>
      </c>
      <c r="D59" s="83">
        <f>D60+D61+D62+D70+D72+D77+D78+D79</f>
        <v>737422</v>
      </c>
      <c r="E59" s="83" t="str">
        <f t="shared" si="0"/>
        <v>-</v>
      </c>
      <c r="F59" s="84">
        <f t="shared" si="1"/>
        <v>1</v>
      </c>
    </row>
    <row r="60" spans="1:6" ht="30" customHeight="1" x14ac:dyDescent="0.2">
      <c r="A60" s="52" t="s">
        <v>17</v>
      </c>
      <c r="B60" s="23" t="s">
        <v>18</v>
      </c>
      <c r="C60" s="7">
        <f>CENTRALA!C39+'Razem OW'!C39</f>
        <v>26091</v>
      </c>
      <c r="D60" s="7">
        <f>CENTRALA!D39+'Razem OW'!D39</f>
        <v>26091</v>
      </c>
      <c r="E60" s="7" t="str">
        <f t="shared" si="0"/>
        <v>-</v>
      </c>
      <c r="F60" s="42">
        <f t="shared" si="1"/>
        <v>1</v>
      </c>
    </row>
    <row r="61" spans="1:6" ht="30" customHeight="1" x14ac:dyDescent="0.2">
      <c r="A61" s="52" t="s">
        <v>19</v>
      </c>
      <c r="B61" s="23" t="s">
        <v>20</v>
      </c>
      <c r="C61" s="7">
        <f>CENTRALA!C40+'Razem OW'!C40</f>
        <v>173186</v>
      </c>
      <c r="D61" s="7">
        <f>CENTRALA!D40+'Razem OW'!D40</f>
        <v>173186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21</v>
      </c>
      <c r="B62" s="27" t="s">
        <v>184</v>
      </c>
      <c r="C62" s="7">
        <f>C63+C65+C66+C67+C68+C69</f>
        <v>4587</v>
      </c>
      <c r="D62" s="7">
        <f>D63+D65+D66+D67+D68+D69</f>
        <v>4587</v>
      </c>
      <c r="E62" s="7" t="str">
        <f t="shared" si="0"/>
        <v>-</v>
      </c>
      <c r="F62" s="42">
        <f t="shared" si="1"/>
        <v>1</v>
      </c>
    </row>
    <row r="63" spans="1:6" s="8" customFormat="1" ht="30" customHeight="1" x14ac:dyDescent="0.2">
      <c r="A63" s="64" t="s">
        <v>38</v>
      </c>
      <c r="B63" s="65" t="s">
        <v>31</v>
      </c>
      <c r="C63" s="7">
        <f>CENTRALA!C42+'Razem OW'!C42</f>
        <v>619</v>
      </c>
      <c r="D63" s="7">
        <f>CENTRALA!D42+'Razem OW'!D42</f>
        <v>619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39</v>
      </c>
      <c r="B64" s="66" t="s">
        <v>32</v>
      </c>
      <c r="C64" s="7">
        <f>CENTRALA!C43+'Razem OW'!C43</f>
        <v>616</v>
      </c>
      <c r="D64" s="7">
        <f>CENTRALA!D43+'Razem OW'!D43</f>
        <v>616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40</v>
      </c>
      <c r="B65" s="65" t="s">
        <v>33</v>
      </c>
      <c r="C65" s="7">
        <f>CENTRALA!C44+'Razem OW'!C44</f>
        <v>653</v>
      </c>
      <c r="D65" s="7">
        <f>CENTRALA!D44+'Razem OW'!D44</f>
        <v>653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41</v>
      </c>
      <c r="B66" s="65" t="s">
        <v>34</v>
      </c>
      <c r="C66" s="7">
        <f>CENTRALA!C45+'Razem OW'!C45</f>
        <v>20</v>
      </c>
      <c r="D66" s="7">
        <f>CENTRALA!D45+'Razem OW'!D45</f>
        <v>20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42</v>
      </c>
      <c r="B67" s="65" t="s">
        <v>35</v>
      </c>
      <c r="C67" s="7">
        <f>CENTRALA!C46+'Razem OW'!C46</f>
        <v>0</v>
      </c>
      <c r="D67" s="7">
        <f>CENTRALA!D46+'Razem OW'!D46</f>
        <v>0</v>
      </c>
      <c r="E67" s="7" t="str">
        <f t="shared" si="0"/>
        <v>-</v>
      </c>
      <c r="F67" s="42" t="str">
        <f t="shared" si="1"/>
        <v>-</v>
      </c>
    </row>
    <row r="68" spans="1:6" s="8" customFormat="1" ht="30" customHeight="1" x14ac:dyDescent="0.2">
      <c r="A68" s="64" t="s">
        <v>43</v>
      </c>
      <c r="B68" s="65" t="s">
        <v>36</v>
      </c>
      <c r="C68" s="7">
        <f>CENTRALA!C47+'Razem OW'!C47</f>
        <v>2930</v>
      </c>
      <c r="D68" s="7">
        <f>CENTRALA!D47+'Razem OW'!D47</f>
        <v>2930</v>
      </c>
      <c r="E68" s="7" t="str">
        <f t="shared" si="0"/>
        <v>-</v>
      </c>
      <c r="F68" s="42">
        <f t="shared" si="1"/>
        <v>1</v>
      </c>
    </row>
    <row r="69" spans="1:6" s="9" customFormat="1" ht="30" customHeight="1" x14ac:dyDescent="0.25">
      <c r="A69" s="64" t="s">
        <v>44</v>
      </c>
      <c r="B69" s="65" t="s">
        <v>37</v>
      </c>
      <c r="C69" s="7">
        <f>CENTRALA!C48+'Razem OW'!C48</f>
        <v>365</v>
      </c>
      <c r="D69" s="7">
        <f>CENTRALA!D48+'Razem OW'!D48</f>
        <v>365</v>
      </c>
      <c r="E69" s="7" t="str">
        <f t="shared" si="0"/>
        <v>-</v>
      </c>
      <c r="F69" s="42">
        <f t="shared" si="1"/>
        <v>1</v>
      </c>
    </row>
    <row r="70" spans="1:6" ht="30" customHeight="1" x14ac:dyDescent="0.2">
      <c r="A70" s="52" t="s">
        <v>22</v>
      </c>
      <c r="B70" s="23" t="s">
        <v>157</v>
      </c>
      <c r="C70" s="7">
        <f>CENTRALA!C49+'Razem OW'!C49</f>
        <v>336936</v>
      </c>
      <c r="D70" s="7">
        <f>CENTRALA!D49+'Razem OW'!D49</f>
        <v>336936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64" t="s">
        <v>158</v>
      </c>
      <c r="B71" s="65" t="s">
        <v>159</v>
      </c>
      <c r="C71" s="7">
        <f>CENTRALA!C50+'Razem OW'!C50</f>
        <v>1606</v>
      </c>
      <c r="D71" s="7">
        <f>CENTRALA!D50+'Razem OW'!D50</f>
        <v>1606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52" t="s">
        <v>23</v>
      </c>
      <c r="B72" s="27" t="s">
        <v>185</v>
      </c>
      <c r="C72" s="7">
        <f>SUM(C73:C76)</f>
        <v>76118</v>
      </c>
      <c r="D72" s="7">
        <f>SUM(D73:D76)</f>
        <v>76118</v>
      </c>
      <c r="E72" s="7" t="str">
        <f t="shared" si="0"/>
        <v>-</v>
      </c>
      <c r="F72" s="42">
        <f t="shared" si="1"/>
        <v>1</v>
      </c>
    </row>
    <row r="73" spans="1:6" s="8" customFormat="1" ht="30" customHeight="1" x14ac:dyDescent="0.2">
      <c r="A73" s="64" t="s">
        <v>49</v>
      </c>
      <c r="B73" s="65" t="s">
        <v>45</v>
      </c>
      <c r="C73" s="7">
        <f>CENTRALA!C52+'Razem OW'!C52</f>
        <v>57710</v>
      </c>
      <c r="D73" s="7">
        <f>CENTRALA!D52+'Razem OW'!D52</f>
        <v>57710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50</v>
      </c>
      <c r="B74" s="65" t="s">
        <v>46</v>
      </c>
      <c r="C74" s="7">
        <f>CENTRALA!C53+'Razem OW'!C53</f>
        <v>8074</v>
      </c>
      <c r="D74" s="7">
        <f>CENTRALA!D53+'Razem OW'!D53</f>
        <v>8074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51</v>
      </c>
      <c r="B75" s="65" t="s">
        <v>47</v>
      </c>
      <c r="C75" s="7">
        <f>CENTRALA!C54+'Razem OW'!C54</f>
        <v>0</v>
      </c>
      <c r="D75" s="7">
        <f>CENTRALA!D54+'Razem OW'!D54</f>
        <v>0</v>
      </c>
      <c r="E75" s="7" t="str">
        <f t="shared" si="0"/>
        <v>-</v>
      </c>
      <c r="F75" s="42" t="str">
        <f t="shared" si="1"/>
        <v>-</v>
      </c>
    </row>
    <row r="76" spans="1:6" s="8" customFormat="1" ht="30" customHeight="1" x14ac:dyDescent="0.2">
      <c r="A76" s="64" t="s">
        <v>52</v>
      </c>
      <c r="B76" s="65" t="s">
        <v>48</v>
      </c>
      <c r="C76" s="7">
        <f>CENTRALA!C55+'Razem OW'!C55</f>
        <v>10334</v>
      </c>
      <c r="D76" s="7">
        <f>CENTRALA!D55+'Razem OW'!D55</f>
        <v>10334</v>
      </c>
      <c r="E76" s="7" t="str">
        <f t="shared" si="0"/>
        <v>-</v>
      </c>
      <c r="F76" s="42">
        <f t="shared" si="1"/>
        <v>1</v>
      </c>
    </row>
    <row r="77" spans="1:6" ht="30.75" customHeight="1" x14ac:dyDescent="0.2">
      <c r="A77" s="52" t="s">
        <v>24</v>
      </c>
      <c r="B77" s="23" t="s">
        <v>25</v>
      </c>
      <c r="C77" s="7">
        <f>CENTRALA!C56+'Razem OW'!C56</f>
        <v>50</v>
      </c>
      <c r="D77" s="7">
        <f>CENTRALA!D56+'Razem OW'!D56</f>
        <v>50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26</v>
      </c>
      <c r="B78" s="23" t="s">
        <v>160</v>
      </c>
      <c r="C78" s="7">
        <f>CENTRALA!C57+'Razem OW'!C57</f>
        <v>113861</v>
      </c>
      <c r="D78" s="7">
        <f>CENTRALA!D57+'Razem OW'!D57</f>
        <v>113861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27</v>
      </c>
      <c r="B79" s="23" t="s">
        <v>28</v>
      </c>
      <c r="C79" s="7">
        <f>CENTRALA!C58+'Razem OW'!C58</f>
        <v>6593</v>
      </c>
      <c r="D79" s="7">
        <f>CENTRALA!D58+'Razem OW'!D58</f>
        <v>6593</v>
      </c>
      <c r="E79" s="7" t="str">
        <f t="shared" si="0"/>
        <v>-</v>
      </c>
      <c r="F79" s="42">
        <f t="shared" si="1"/>
        <v>1</v>
      </c>
    </row>
    <row r="80" spans="1:6" s="10" customFormat="1" ht="33" customHeight="1" x14ac:dyDescent="0.4">
      <c r="A80" s="96" t="s">
        <v>132</v>
      </c>
      <c r="B80" s="97" t="s">
        <v>162</v>
      </c>
      <c r="C80" s="83">
        <f>IFERROR(VLOOKUP(A80,[4]NFZ!$A$7:$D$100,4,FALSE),0)</f>
        <v>214046</v>
      </c>
      <c r="D80" s="83">
        <f>C80+58917</f>
        <v>272963</v>
      </c>
      <c r="E80" s="83">
        <f t="shared" si="0"/>
        <v>58917</v>
      </c>
      <c r="F80" s="84">
        <f t="shared" si="1"/>
        <v>1.2753000000000001</v>
      </c>
    </row>
    <row r="81" spans="1:19" s="10" customFormat="1" ht="33" customHeight="1" x14ac:dyDescent="0.4">
      <c r="A81" s="96" t="s">
        <v>133</v>
      </c>
      <c r="B81" s="97" t="s">
        <v>174</v>
      </c>
      <c r="C81" s="83">
        <f>C82+C83+C84+C85</f>
        <v>293358</v>
      </c>
      <c r="D81" s="83">
        <f>D82+D83+D84+D85</f>
        <v>377461</v>
      </c>
      <c r="E81" s="83">
        <f t="shared" ref="E81:E92" si="2">IF(C81=D81,"-",D81-C81)</f>
        <v>84103</v>
      </c>
      <c r="F81" s="84">
        <f t="shared" ref="F81:F92" si="3">IF(C81=0,"-",D81/C81)</f>
        <v>1.2867</v>
      </c>
    </row>
    <row r="82" spans="1:19" ht="47.25" customHeight="1" x14ac:dyDescent="0.2">
      <c r="A82" s="55" t="s">
        <v>100</v>
      </c>
      <c r="B82" s="24" t="s">
        <v>113</v>
      </c>
      <c r="C82" s="7">
        <f>CENTRALA!C60+'Razem OW'!C60</f>
        <v>952</v>
      </c>
      <c r="D82" s="7">
        <f>CENTRALA!D60+'Razem OW'!D60</f>
        <v>795</v>
      </c>
      <c r="E82" s="7">
        <f t="shared" si="2"/>
        <v>-157</v>
      </c>
      <c r="F82" s="42">
        <f t="shared" si="3"/>
        <v>0.83509999999999995</v>
      </c>
    </row>
    <row r="83" spans="1:19" ht="33.75" customHeight="1" x14ac:dyDescent="0.2">
      <c r="A83" s="55" t="s">
        <v>29</v>
      </c>
      <c r="B83" s="24" t="s">
        <v>54</v>
      </c>
      <c r="C83" s="7">
        <f>CENTRALA!C61+'Razem OW'!C61</f>
        <v>205568</v>
      </c>
      <c r="D83" s="7">
        <f>CENTRALA!D61+'Razem OW'!D61</f>
        <v>262343</v>
      </c>
      <c r="E83" s="7">
        <f t="shared" si="2"/>
        <v>56775</v>
      </c>
      <c r="F83" s="42">
        <f t="shared" si="3"/>
        <v>1.2762</v>
      </c>
      <c r="S83" s="109">
        <f>E80+E86-E81-E89</f>
        <v>-22679</v>
      </c>
    </row>
    <row r="84" spans="1:19" ht="30" customHeight="1" x14ac:dyDescent="0.2">
      <c r="A84" s="55" t="s">
        <v>30</v>
      </c>
      <c r="B84" s="24" t="s">
        <v>102</v>
      </c>
      <c r="C84" s="7">
        <f>CENTRALA!C62+'Razem OW'!C62</f>
        <v>64045</v>
      </c>
      <c r="D84" s="7">
        <f>CENTRALA!D62+'Razem OW'!D62</f>
        <v>0</v>
      </c>
      <c r="E84" s="7">
        <f t="shared" si="2"/>
        <v>-64045</v>
      </c>
      <c r="F84" s="42">
        <f t="shared" si="3"/>
        <v>0</v>
      </c>
    </row>
    <row r="85" spans="1:19" ht="30" customHeight="1" x14ac:dyDescent="0.2">
      <c r="A85" s="55" t="s">
        <v>101</v>
      </c>
      <c r="B85" s="25" t="s">
        <v>103</v>
      </c>
      <c r="C85" s="7">
        <f>CENTRALA!C63+'Razem OW'!C63</f>
        <v>22793</v>
      </c>
      <c r="D85" s="7">
        <f>CENTRALA!D63+'Razem OW'!D63</f>
        <v>114323</v>
      </c>
      <c r="E85" s="7">
        <f t="shared" si="2"/>
        <v>91530</v>
      </c>
      <c r="F85" s="42">
        <f t="shared" si="3"/>
        <v>5.0156999999999998</v>
      </c>
    </row>
    <row r="86" spans="1:19" s="10" customFormat="1" ht="33" customHeight="1" x14ac:dyDescent="0.4">
      <c r="A86" s="96" t="s">
        <v>134</v>
      </c>
      <c r="B86" s="97" t="s">
        <v>175</v>
      </c>
      <c r="C86" s="83">
        <f>C87+C88</f>
        <v>56090</v>
      </c>
      <c r="D86" s="83">
        <f>D87+D88</f>
        <v>78755</v>
      </c>
      <c r="E86" s="83">
        <f t="shared" si="2"/>
        <v>22665</v>
      </c>
      <c r="F86" s="84">
        <f t="shared" si="3"/>
        <v>1.4040999999999999</v>
      </c>
    </row>
    <row r="87" spans="1:19" ht="30" customHeight="1" x14ac:dyDescent="0.2">
      <c r="A87" s="55" t="s">
        <v>104</v>
      </c>
      <c r="B87" s="24" t="s">
        <v>105</v>
      </c>
      <c r="C87" s="7">
        <f>IFERROR(VLOOKUP(A87,[4]NFZ!$A$7:$D$100,4,FALSE),0)</f>
        <v>56090</v>
      </c>
      <c r="D87" s="7">
        <f>C87-189</f>
        <v>55901</v>
      </c>
      <c r="E87" s="7">
        <f t="shared" si="2"/>
        <v>-189</v>
      </c>
      <c r="F87" s="42">
        <f t="shared" si="3"/>
        <v>0.99660000000000004</v>
      </c>
    </row>
    <row r="88" spans="1:19" ht="30" customHeight="1" x14ac:dyDescent="0.2">
      <c r="A88" s="55" t="s">
        <v>106</v>
      </c>
      <c r="B88" s="25" t="s">
        <v>107</v>
      </c>
      <c r="C88" s="7">
        <f>IFERROR(VLOOKUP(A88,[4]NFZ!$A$7:$D$100,4,FALSE),0)</f>
        <v>0</v>
      </c>
      <c r="D88" s="7">
        <f>C88+22854</f>
        <v>22854</v>
      </c>
      <c r="E88" s="7">
        <f t="shared" si="2"/>
        <v>22854</v>
      </c>
      <c r="F88" s="42" t="str">
        <f t="shared" si="3"/>
        <v>-</v>
      </c>
    </row>
    <row r="89" spans="1:19" s="10" customFormat="1" ht="39.75" customHeight="1" x14ac:dyDescent="0.4">
      <c r="A89" s="96" t="s">
        <v>135</v>
      </c>
      <c r="B89" s="97" t="s">
        <v>114</v>
      </c>
      <c r="C89" s="83">
        <f>CENTRALA!C64+'Razem OW'!C64</f>
        <v>90266</v>
      </c>
      <c r="D89" s="83">
        <f>CENTRALA!D64+'Razem OW'!D64</f>
        <v>110424</v>
      </c>
      <c r="E89" s="83">
        <f t="shared" si="2"/>
        <v>20158</v>
      </c>
      <c r="F89" s="84">
        <f t="shared" si="3"/>
        <v>1.2233000000000001</v>
      </c>
    </row>
    <row r="90" spans="1:19" s="10" customFormat="1" ht="64.5" customHeight="1" x14ac:dyDescent="0.4">
      <c r="A90" s="74" t="s">
        <v>136</v>
      </c>
      <c r="B90" s="75" t="s">
        <v>191</v>
      </c>
      <c r="C90" s="71">
        <f>C58-C59+C80-C81+C86-C89</f>
        <v>-2355661</v>
      </c>
      <c r="D90" s="71">
        <f>D58-D59+D80-D81+D86-D89</f>
        <v>-2355661</v>
      </c>
      <c r="E90" s="71" t="str">
        <f>IF(C90=D90,"-",D90-C90)</f>
        <v>-</v>
      </c>
      <c r="F90" s="73">
        <f t="shared" si="3"/>
        <v>1</v>
      </c>
    </row>
    <row r="91" spans="1:19" s="10" customFormat="1" ht="33" customHeight="1" x14ac:dyDescent="0.4">
      <c r="A91" s="81" t="s">
        <v>137</v>
      </c>
      <c r="B91" s="98" t="s">
        <v>193</v>
      </c>
      <c r="C91" s="99">
        <f>C6+C12+C20+C21+C22+C23+C80+C86-C18</f>
        <v>72602627</v>
      </c>
      <c r="D91" s="99">
        <f>D6+D12+D20+D21+D22+D23+D80+D86-D18</f>
        <v>72706888</v>
      </c>
      <c r="E91" s="99">
        <f t="shared" si="2"/>
        <v>104261</v>
      </c>
      <c r="F91" s="100">
        <f t="shared" si="3"/>
        <v>1.0014000000000001</v>
      </c>
    </row>
    <row r="92" spans="1:19" s="10" customFormat="1" ht="33" customHeight="1" x14ac:dyDescent="0.4">
      <c r="A92" s="96" t="s">
        <v>138</v>
      </c>
      <c r="B92" s="101" t="s">
        <v>194</v>
      </c>
      <c r="C92" s="99">
        <f>C9+C15+C25+C26+C54+C55+C56+C59+C81+C89</f>
        <v>74958288</v>
      </c>
      <c r="D92" s="99">
        <f>D9+D15+D25+D26+D54+D55+D56+D59+D81+D89</f>
        <v>75062549</v>
      </c>
      <c r="E92" s="99">
        <f t="shared" si="2"/>
        <v>104261</v>
      </c>
      <c r="F92" s="100">
        <f t="shared" si="3"/>
        <v>1.0014000000000001</v>
      </c>
    </row>
    <row r="93" spans="1:19" ht="26.25" x14ac:dyDescent="0.2">
      <c r="C93" s="11"/>
    </row>
    <row r="94" spans="1:19" ht="26.25" x14ac:dyDescent="0.2">
      <c r="C94" s="11"/>
    </row>
    <row r="95" spans="1:19" ht="26.25" x14ac:dyDescent="0.2">
      <c r="C95" s="11"/>
    </row>
    <row r="96" spans="1:1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4"/>
  <sheetViews>
    <sheetView showGridLines="0" zoomScale="55" zoomScaleNormal="55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Małopolski!A1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10140402</v>
      </c>
      <c r="D6" s="102">
        <f>D7+D8+D9+D14+D15+D16+D17+D18+D19+D20+D21+D22+D23+D24+D28+D29+D31+D32+D33</f>
        <v>10140402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IFERROR(VLOOKUP(A7,[4]Mazowiecki!$A$7:$D$100,4,FALSE),0)</f>
        <v>1368733</v>
      </c>
      <c r="D7" s="13">
        <f>C7</f>
        <v>1368733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IFERROR(VLOOKUP(A8,[4]Mazowiecki!$A$7:$D$100,4,FALSE),0)</f>
        <v>812132</v>
      </c>
      <c r="D8" s="13">
        <f>C8</f>
        <v>812132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IFERROR(VLOOKUP(A9,[4]Mazowiecki!$A$7:$D$100,4,FALSE),0)</f>
        <v>5085967</v>
      </c>
      <c r="D9" s="13">
        <f t="shared" ref="D9:D33" si="2">C9</f>
        <v>5085967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IFERROR(VLOOKUP(A10,[4]Mazowiecki!$A$7:$D$100,4,FALSE),0)</f>
        <v>524308</v>
      </c>
      <c r="D10" s="13">
        <f t="shared" si="2"/>
        <v>524308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IFERROR(VLOOKUP(A11,[4]Mazowiecki!$A$7:$D$100,4,FALSE),0)</f>
        <v>481828</v>
      </c>
      <c r="D11" s="13">
        <f t="shared" si="2"/>
        <v>481828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IFERROR(VLOOKUP(A12,[4]Mazowiecki!$A$7:$D$100,4,FALSE),0)</f>
        <v>225139</v>
      </c>
      <c r="D12" s="13">
        <f t="shared" si="2"/>
        <v>225139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IFERROR(VLOOKUP(A13,[4]Mazowiecki!$A$7:$D$100,4,FALSE),0)</f>
        <v>101276</v>
      </c>
      <c r="D13" s="13">
        <f t="shared" si="2"/>
        <v>101276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IFERROR(VLOOKUP(A14,[4]Mazowiecki!$A$7:$D$100,4,FALSE),0)</f>
        <v>362224</v>
      </c>
      <c r="D14" s="13">
        <f t="shared" si="2"/>
        <v>362224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IFERROR(VLOOKUP(A15,[4]Mazowiecki!$A$7:$D$100,4,FALSE),0)</f>
        <v>408280</v>
      </c>
      <c r="D15" s="13">
        <f t="shared" si="2"/>
        <v>408280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IFERROR(VLOOKUP(A16,[4]Mazowiecki!$A$7:$D$100,4,FALSE),0)</f>
        <v>164398</v>
      </c>
      <c r="D16" s="13">
        <f t="shared" si="2"/>
        <v>164398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IFERROR(VLOOKUP(A17,[4]Mazowiecki!$A$7:$D$100,4,FALSE),0)</f>
        <v>49960</v>
      </c>
      <c r="D17" s="13">
        <f t="shared" si="2"/>
        <v>49960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IFERROR(VLOOKUP(A18,[4]Mazowiecki!$A$7:$D$100,4,FALSE),0)</f>
        <v>214488</v>
      </c>
      <c r="D18" s="13">
        <f t="shared" si="2"/>
        <v>214488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IFERROR(VLOOKUP(A19,[4]Mazowiecki!$A$7:$D$100,4,FALSE),0)</f>
        <v>102890</v>
      </c>
      <c r="D19" s="13">
        <f t="shared" si="2"/>
        <v>102890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IFERROR(VLOOKUP(A20,[4]Mazowiecki!$A$7:$D$100,4,FALSE),0)</f>
        <v>8116</v>
      </c>
      <c r="D20" s="13">
        <f t="shared" si="2"/>
        <v>8116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IFERROR(VLOOKUP(A21,[4]Mazowiecki!$A$7:$D$100,4,FALSE),0)</f>
        <v>22067</v>
      </c>
      <c r="D21" s="13">
        <f t="shared" si="2"/>
        <v>22067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IFERROR(VLOOKUP(A22,[4]Mazowiecki!$A$7:$D$100,4,FALSE),0)</f>
        <v>258941</v>
      </c>
      <c r="D22" s="13">
        <f t="shared" si="2"/>
        <v>258941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IFERROR(VLOOKUP(A23,[4]Mazowiecki!$A$7:$D$100,4,FALSE),0)</f>
        <v>120000</v>
      </c>
      <c r="D23" s="13">
        <f t="shared" si="2"/>
        <v>120000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IFERROR(VLOOKUP(A24,[4]Mazowiecki!$A$7:$D$100,4,FALSE),0)</f>
        <v>1138750</v>
      </c>
      <c r="D24" s="31">
        <f>SUM(D25:D27)</f>
        <v>1138750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IFERROR(VLOOKUP(A25,[4]Mazowiecki!$A$7:$D$100,4,FALSE),0)</f>
        <v>1132050</v>
      </c>
      <c r="D25" s="13">
        <f t="shared" si="2"/>
        <v>1132050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IFERROR(VLOOKUP(A26,[4]Mazowiecki!$A$7:$D$100,4,FALSE),0)</f>
        <v>2700</v>
      </c>
      <c r="D26" s="13">
        <f t="shared" si="2"/>
        <v>2700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IFERROR(VLOOKUP(A27,[4]Mazowiecki!$A$7:$D$100,4,FALSE),0)</f>
        <v>4000</v>
      </c>
      <c r="D27" s="13">
        <f t="shared" si="2"/>
        <v>4000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IFERROR(VLOOKUP(A28,[4]Mazowiecki!$A$7:$D$100,4,FALSE),0)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IFERROR(VLOOKUP(A29,[4]Mazowiecki!$A$7:$D$100,4,FALSE),0)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IFERROR(VLOOKUP(A30,[4]Mazowiecki!$A$7:$D$100,4,FALSE),0)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IFERROR(VLOOKUP(A31,[4]Mazowiecki!$A$7:$D$100,4,FALSE),0)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IFERROR(VLOOKUP(A32,[4]Mazowiecki!$A$7:$D$100,4,FALSE),0)</f>
        <v>23456</v>
      </c>
      <c r="D32" s="13">
        <f t="shared" si="2"/>
        <v>23456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IFERROR(VLOOKUP(A33,[4]Mazowiecki!$A$7:$D$100,4,FALSE),0)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IFERROR(VLOOKUP(A34,[4]Mazowiecki!$A$7:$D$100,4,FALSE),0)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IFERROR(VLOOKUP(A35,[4]Mazowiecki!$A$7:$D$100,4,FALSE),0)</f>
        <v>231496</v>
      </c>
      <c r="D35" s="37">
        <f>C35</f>
        <v>231496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IFERROR(VLOOKUP(A36,[4]Mazowiecki!$A$7:$D$100,4,FALSE),0)</f>
        <v>18869</v>
      </c>
      <c r="D36" s="37">
        <f>C36</f>
        <v>18869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1721854</v>
      </c>
      <c r="D37" s="32">
        <f>D11+D13+D24+D30</f>
        <v>1721854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68418</v>
      </c>
      <c r="D38" s="87">
        <f>D39+D40+D41+D49+D51+D57+D58+D56</f>
        <v>68418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IFERROR(VLOOKUP(A39,[4]Mazowiecki!$A$7:$D$100,4,FALSE),0)</f>
        <v>2000</v>
      </c>
      <c r="D39" s="33">
        <f>C39</f>
        <v>2000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IFERROR(VLOOKUP(A40,[4]Mazowiecki!$A$7:$D$100,4,FALSE),0)</f>
        <v>12000</v>
      </c>
      <c r="D40" s="33">
        <f t="shared" ref="D40:D58" si="3">C40</f>
        <v>12000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230</v>
      </c>
      <c r="D41" s="33">
        <f>D42+D44+D45+D46+D47+D48</f>
        <v>230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IFERROR(VLOOKUP(A42,[4]Mazowiecki!$A$7:$D$100,4,FALSE),0)</f>
        <v>20</v>
      </c>
      <c r="D42" s="33">
        <f t="shared" si="3"/>
        <v>20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IFERROR(VLOOKUP(A43,[4]Mazowiecki!$A$7:$D$100,4,FALSE),0)</f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IFERROR(VLOOKUP(A44,[4]Mazowiecki!$A$7:$D$100,4,FALSE),0)</f>
        <v>12</v>
      </c>
      <c r="D44" s="33">
        <f t="shared" si="3"/>
        <v>12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IFERROR(VLOOKUP(A45,[4]Mazowiecki!$A$7:$D$100,4,FALSE),0)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IFERROR(VLOOKUP(A46,[4]Mazowiecki!$A$7:$D$100,4,FALSE),0)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IFERROR(VLOOKUP(A47,[4]Mazowiecki!$A$7:$D$100,4,FALSE),0)</f>
        <v>195</v>
      </c>
      <c r="D47" s="33">
        <f t="shared" si="3"/>
        <v>195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IFERROR(VLOOKUP(A48,[4]Mazowiecki!$A$7:$D$100,4,FALSE),0)</f>
        <v>3</v>
      </c>
      <c r="D48" s="33">
        <f t="shared" si="3"/>
        <v>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IFERROR(VLOOKUP(A49,[4]Mazowiecki!$A$7:$D$100,4,FALSE),0)</f>
        <v>43137</v>
      </c>
      <c r="D49" s="33">
        <f t="shared" si="3"/>
        <v>43137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IFERROR(VLOOKUP(A50,[4]Mazowiecki!$A$7:$D$100,4,FALSE),0)</f>
        <v>71</v>
      </c>
      <c r="D50" s="33">
        <f t="shared" si="3"/>
        <v>71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9594</v>
      </c>
      <c r="D51" s="29">
        <f>D52+D53+D54+D55</f>
        <v>9594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IFERROR(VLOOKUP(A52,[4]Mazowiecki!$A$7:$D$100,4,FALSE),0)</f>
        <v>7415</v>
      </c>
      <c r="D52" s="33">
        <f t="shared" si="3"/>
        <v>7415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IFERROR(VLOOKUP(A53,[4]Mazowiecki!$A$7:$D$100,4,FALSE),0)</f>
        <v>1056</v>
      </c>
      <c r="D53" s="33">
        <f t="shared" si="3"/>
        <v>1056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IFERROR(VLOOKUP(A54,[4]Mazowiecki!$A$7:$D$100,4,FALSE),0)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IFERROR(VLOOKUP(A55,[4]Mazowiecki!$A$7:$D$100,4,FALSE),0)</f>
        <v>1123</v>
      </c>
      <c r="D55" s="33">
        <f t="shared" si="3"/>
        <v>1123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IFERROR(VLOOKUP(A56,[4]Mazowiecki!$A$7:$D$100,4,FALSE),0)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IFERROR(VLOOKUP(A57,[4]Mazowiecki!$A$7:$D$100,4,FALSE),0)</f>
        <v>1067</v>
      </c>
      <c r="D57" s="33">
        <f t="shared" si="3"/>
        <v>1067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IFERROR(VLOOKUP(A58,[4]Mazowiecki!$A$7:$D$100,4,FALSE),0)</f>
        <v>390</v>
      </c>
      <c r="D58" s="33">
        <f t="shared" si="3"/>
        <v>390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26090</v>
      </c>
      <c r="D59" s="107">
        <f>D60+D61+D62+D63</f>
        <v>78165</v>
      </c>
      <c r="E59" s="83">
        <f t="shared" si="0"/>
        <v>52075</v>
      </c>
      <c r="F59" s="108">
        <f t="shared" si="1"/>
        <v>2.996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IFERROR(VLOOKUP(A60,[4]Mazowiecki!$A$7:$D$100,4,FALSE),0)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IFERROR(VLOOKUP(A61,[4]Mazowiecki!$A$7:$D$100,4,FALSE),0)</f>
        <v>21967</v>
      </c>
      <c r="D61" s="33">
        <f>C61+46537</f>
        <v>68504</v>
      </c>
      <c r="E61" s="29">
        <f t="shared" si="0"/>
        <v>46537</v>
      </c>
      <c r="F61" s="39">
        <f t="shared" si="1"/>
        <v>3.1185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IFERROR(VLOOKUP(A62,[4]Mazowiecki!$A$7:$D$100,4,FALSE),0)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IFERROR(VLOOKUP(A63,[4]Mazowiecki!$A$7:$D$100,4,FALSE),0)</f>
        <v>4123</v>
      </c>
      <c r="D63" s="33">
        <f>C63+5538</f>
        <v>9661</v>
      </c>
      <c r="E63" s="29">
        <f t="shared" si="0"/>
        <v>5538</v>
      </c>
      <c r="F63" s="39">
        <f t="shared" si="1"/>
        <v>2.3431999999999999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IFERROR(VLOOKUP(A64,[4]Mazowiecki!$A$7:$D$100,4,FALSE),0)</f>
        <v>12260</v>
      </c>
      <c r="D64" s="107">
        <f>C64+12212</f>
        <v>24472</v>
      </c>
      <c r="E64" s="83">
        <f t="shared" si="0"/>
        <v>12212</v>
      </c>
      <c r="F64" s="108">
        <f t="shared" si="1"/>
        <v>1.9961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Mazowiecki!A1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1719027</v>
      </c>
      <c r="D6" s="102">
        <f>D7+D8+D9+D14+D15+D16+D17+D18+D19+D20+D21+D22+D23+D24+D28+D29+D31+D32+D33</f>
        <v>1719027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IFERROR(VLOOKUP(A7,[4]Opolski!$A$7:$D$100,4,FALSE),0)</f>
        <v>223309</v>
      </c>
      <c r="D7" s="13">
        <f>C7</f>
        <v>223309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IFERROR(VLOOKUP(A8,[4]Opolski!$A$7:$D$100,4,FALSE),0)</f>
        <v>125935</v>
      </c>
      <c r="D8" s="13">
        <f>C8</f>
        <v>125935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IFERROR(VLOOKUP(A9,[4]Opolski!$A$7:$D$100,4,FALSE),0)</f>
        <v>838621</v>
      </c>
      <c r="D9" s="13">
        <f t="shared" ref="D9:D33" si="2">C9</f>
        <v>838621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IFERROR(VLOOKUP(A10,[4]Opolski!$A$7:$D$100,4,FALSE),0)</f>
        <v>78970</v>
      </c>
      <c r="D10" s="13">
        <f t="shared" si="2"/>
        <v>78970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IFERROR(VLOOKUP(A11,[4]Opolski!$A$7:$D$100,4,FALSE),0)</f>
        <v>74135</v>
      </c>
      <c r="D11" s="13">
        <f t="shared" si="2"/>
        <v>74135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IFERROR(VLOOKUP(A12,[4]Opolski!$A$7:$D$100,4,FALSE),0)</f>
        <v>34338</v>
      </c>
      <c r="D12" s="13">
        <f t="shared" si="2"/>
        <v>34338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IFERROR(VLOOKUP(A13,[4]Opolski!$A$7:$D$100,4,FALSE),0)</f>
        <v>16161</v>
      </c>
      <c r="D13" s="13">
        <f t="shared" si="2"/>
        <v>16161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IFERROR(VLOOKUP(A14,[4]Opolski!$A$7:$D$100,4,FALSE),0)</f>
        <v>61205</v>
      </c>
      <c r="D14" s="13">
        <f t="shared" si="2"/>
        <v>61205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IFERROR(VLOOKUP(A15,[4]Opolski!$A$7:$D$100,4,FALSE),0)</f>
        <v>55508</v>
      </c>
      <c r="D15" s="13">
        <f t="shared" si="2"/>
        <v>55508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IFERROR(VLOOKUP(A16,[4]Opolski!$A$7:$D$100,4,FALSE),0)</f>
        <v>53256</v>
      </c>
      <c r="D16" s="13">
        <f t="shared" si="2"/>
        <v>53256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IFERROR(VLOOKUP(A17,[4]Opolski!$A$7:$D$100,4,FALSE),0)</f>
        <v>13630</v>
      </c>
      <c r="D17" s="13">
        <f t="shared" si="2"/>
        <v>13630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IFERROR(VLOOKUP(A18,[4]Opolski!$A$7:$D$100,4,FALSE),0)</f>
        <v>46059</v>
      </c>
      <c r="D18" s="13">
        <f t="shared" si="2"/>
        <v>46059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IFERROR(VLOOKUP(A19,[4]Opolski!$A$7:$D$100,4,FALSE),0)</f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IFERROR(VLOOKUP(A20,[4]Opolski!$A$7:$D$100,4,FALSE),0)</f>
        <v>1325</v>
      </c>
      <c r="D20" s="13">
        <f t="shared" si="2"/>
        <v>1325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IFERROR(VLOOKUP(A21,[4]Opolski!$A$7:$D$100,4,FALSE),0)</f>
        <v>4900</v>
      </c>
      <c r="D21" s="13">
        <f t="shared" si="2"/>
        <v>4900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IFERROR(VLOOKUP(A22,[4]Opolski!$A$7:$D$100,4,FALSE),0)</f>
        <v>43197</v>
      </c>
      <c r="D22" s="13">
        <f t="shared" si="2"/>
        <v>43197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IFERROR(VLOOKUP(A23,[4]Opolski!$A$7:$D$100,4,FALSE),0)</f>
        <v>24300</v>
      </c>
      <c r="D23" s="13">
        <f t="shared" si="2"/>
        <v>24300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IFERROR(VLOOKUP(A24,[4]Opolski!$A$7:$D$100,4,FALSE),0)</f>
        <v>200581</v>
      </c>
      <c r="D24" s="31">
        <f>SUM(D25:D27)</f>
        <v>200581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IFERROR(VLOOKUP(A25,[4]Opolski!$A$7:$D$100,4,FALSE),0)</f>
        <v>199841</v>
      </c>
      <c r="D25" s="13">
        <f t="shared" si="2"/>
        <v>199841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IFERROR(VLOOKUP(A26,[4]Opolski!$A$7:$D$100,4,FALSE),0)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IFERROR(VLOOKUP(A27,[4]Opolski!$A$7:$D$100,4,FALSE),0)</f>
        <v>140</v>
      </c>
      <c r="D27" s="13">
        <f t="shared" si="2"/>
        <v>140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IFERROR(VLOOKUP(A32,[4]Opolski!$A$7:$D$100,4,FALSE),0)</f>
        <v>14501</v>
      </c>
      <c r="D32" s="13">
        <f t="shared" si="2"/>
        <v>14501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IFERROR(VLOOKUP(A34,[4]Opolski!$A$7:$D$100,4,FALSE),0)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IFERROR(VLOOKUP(A35,[4]Opolski!$A$7:$D$100,4,FALSE),0)</f>
        <v>52678</v>
      </c>
      <c r="D35" s="37">
        <f>C35</f>
        <v>52678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IFERROR(VLOOKUP(A36,[4]Opolski!$A$7:$D$100,4,FALSE),0)</f>
        <v>3351</v>
      </c>
      <c r="D36" s="37">
        <f>C36</f>
        <v>3351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290877</v>
      </c>
      <c r="D37" s="32">
        <f>D11+D13+D24+D30</f>
        <v>290877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16665</v>
      </c>
      <c r="D38" s="87">
        <f>D39+D40+D41+D49+D51+D57+D58+D56</f>
        <v>16665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IFERROR(VLOOKUP(A39,[4]Opolski!$A$7:$D$100,4,FALSE),0)</f>
        <v>815</v>
      </c>
      <c r="D39" s="33">
        <f>C39</f>
        <v>815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IFERROR(VLOOKUP(A40,[4]Opolski!$A$7:$D$100,4,FALSE),0)</f>
        <v>2127</v>
      </c>
      <c r="D40" s="33">
        <f t="shared" ref="D40:D58" si="3">C40</f>
        <v>2127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164</v>
      </c>
      <c r="D41" s="33">
        <f>D42+D44+D45+D46+D47+D48</f>
        <v>164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IFERROR(VLOOKUP(A42,[4]Opolski!$A$7:$D$100,4,FALSE),0)</f>
        <v>0</v>
      </c>
      <c r="D42" s="33">
        <f t="shared" si="3"/>
        <v>0</v>
      </c>
      <c r="E42" s="38" t="str">
        <f t="shared" si="0"/>
        <v>-</v>
      </c>
      <c r="F42" s="39" t="str">
        <f t="shared" si="1"/>
        <v>-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IFERROR(VLOOKUP(A43,[4]Opolski!$A$7:$D$100,4,FALSE),0)</f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IFERROR(VLOOKUP(A44,[4]Opolski!$A$7:$D$100,4,FALSE),0)</f>
        <v>8</v>
      </c>
      <c r="D44" s="33">
        <f t="shared" si="3"/>
        <v>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IFERROR(VLOOKUP(A45,[4]Opolski!$A$7:$D$100,4,FALSE),0)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IFERROR(VLOOKUP(A47,[4]Opolski!$A$7:$D$100,4,FALSE),0)</f>
        <v>150</v>
      </c>
      <c r="D47" s="33">
        <f t="shared" si="3"/>
        <v>150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IFERROR(VLOOKUP(A48,[4]Opolski!$A$7:$D$100,4,FALSE),0)</f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IFERROR(VLOOKUP(A49,[4]Opolski!$A$7:$D$100,4,FALSE),0)</f>
        <v>9203</v>
      </c>
      <c r="D49" s="33">
        <f t="shared" si="3"/>
        <v>9203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IFERROR(VLOOKUP(A50,[4]Opolski!$A$7:$D$100,4,FALSE),0)</f>
        <v>31</v>
      </c>
      <c r="D50" s="33">
        <f t="shared" si="3"/>
        <v>31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2053</v>
      </c>
      <c r="D51" s="29">
        <f>D52+D53+D54+D55</f>
        <v>2053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IFERROR(VLOOKUP(A52,[4]Opolski!$A$7:$D$100,4,FALSE),0)</f>
        <v>1582</v>
      </c>
      <c r="D52" s="33">
        <f t="shared" si="3"/>
        <v>1582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IFERROR(VLOOKUP(A53,[4]Opolski!$A$7:$D$100,4,FALSE),0)</f>
        <v>225</v>
      </c>
      <c r="D53" s="33">
        <f t="shared" si="3"/>
        <v>225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IFERROR(VLOOKUP(A54,[4]Opolski!$A$7:$D$100,4,FALSE),0)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IFERROR(VLOOKUP(A55,[4]Opolski!$A$7:$D$100,4,FALSE),0)</f>
        <v>246</v>
      </c>
      <c r="D55" s="33">
        <f t="shared" si="3"/>
        <v>246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IFERROR(VLOOKUP(A56,[4]Opolski!$A$7:$D$100,4,FALSE),0)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IFERROR(VLOOKUP(A57,[4]Opolski!$A$7:$D$100,4,FALSE),0)</f>
        <v>2120</v>
      </c>
      <c r="D57" s="33">
        <f t="shared" si="3"/>
        <v>2120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IFERROR(VLOOKUP(A58,[4]Opolski!$A$7:$D$100,4,FALSE),0)</f>
        <v>183</v>
      </c>
      <c r="D58" s="33">
        <f t="shared" si="3"/>
        <v>183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7678</v>
      </c>
      <c r="D59" s="107">
        <f>D60+D61+D62+D63</f>
        <v>6540</v>
      </c>
      <c r="E59" s="83">
        <f t="shared" si="0"/>
        <v>-1138</v>
      </c>
      <c r="F59" s="108">
        <f t="shared" si="1"/>
        <v>0.8518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IFERROR(VLOOKUP(A60,[4]Opolski!$A$7:$D$100,4,FALSE),0)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IFERROR(VLOOKUP(A61,[4]Opolski!$A$7:$D$100,4,FALSE),0)</f>
        <v>5700</v>
      </c>
      <c r="D61" s="33">
        <f>C61-110</f>
        <v>5590</v>
      </c>
      <c r="E61" s="29">
        <f t="shared" si="0"/>
        <v>-110</v>
      </c>
      <c r="F61" s="39">
        <f t="shared" si="1"/>
        <v>0.98070000000000002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IFERROR(VLOOKUP(A62,[4]Opolski!$A$7:$D$100,4,FALSE),0)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IFERROR(VLOOKUP(A63,[4]Opolski!$A$7:$D$100,4,FALSE),0)</f>
        <v>1978</v>
      </c>
      <c r="D63" s="33">
        <f>C63-1028</f>
        <v>950</v>
      </c>
      <c r="E63" s="29">
        <f t="shared" si="0"/>
        <v>-1028</v>
      </c>
      <c r="F63" s="39">
        <f t="shared" si="1"/>
        <v>0.4803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IFERROR(VLOOKUP(A64,[4]Opolski!$A$7:$D$100,4,FALSE),0)</f>
        <v>1238</v>
      </c>
      <c r="D64" s="107">
        <f>C64+908</f>
        <v>2146</v>
      </c>
      <c r="E64" s="83">
        <f t="shared" si="0"/>
        <v>908</v>
      </c>
      <c r="F64" s="108">
        <f t="shared" si="1"/>
        <v>1.7334000000000001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Opolski!A1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3707013</v>
      </c>
      <c r="D6" s="102">
        <f>D7+D8+D9+D14+D15+D16+D17+D18+D19+D20+D21+D22+D23+D24+D28+D29+D31+D32+D33</f>
        <v>3707013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IFERROR(VLOOKUP(A7,[4]Podkarpacki!$A$7:$D$100,4,FALSE),0)</f>
        <v>507400</v>
      </c>
      <c r="D7" s="13">
        <f>C7</f>
        <v>507400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IFERROR(VLOOKUP(A8,[4]Podkarpacki!$A$7:$D$100,4,FALSE),0)</f>
        <v>295357</v>
      </c>
      <c r="D8" s="13">
        <f>C8</f>
        <v>295357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IFERROR(VLOOKUP(A9,[4]Podkarpacki!$A$7:$D$100,4,FALSE),0)</f>
        <v>1783671</v>
      </c>
      <c r="D9" s="13">
        <f t="shared" ref="D9:D33" si="2">C9</f>
        <v>1783671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IFERROR(VLOOKUP(A10,[4]Podkarpacki!$A$7:$D$100,4,FALSE),0)</f>
        <v>175346</v>
      </c>
      <c r="D10" s="13">
        <f t="shared" si="2"/>
        <v>175346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IFERROR(VLOOKUP(A11,[4]Podkarpacki!$A$7:$D$100,4,FALSE),0)</f>
        <v>162963</v>
      </c>
      <c r="D11" s="13">
        <f t="shared" si="2"/>
        <v>162963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IFERROR(VLOOKUP(A12,[4]Podkarpacki!$A$7:$D$100,4,FALSE),0)</f>
        <v>68530</v>
      </c>
      <c r="D12" s="13">
        <f t="shared" si="2"/>
        <v>68530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IFERROR(VLOOKUP(A13,[4]Podkarpacki!$A$7:$D$100,4,FALSE),0)</f>
        <v>31666</v>
      </c>
      <c r="D13" s="13">
        <f t="shared" si="2"/>
        <v>31666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IFERROR(VLOOKUP(A14,[4]Podkarpacki!$A$7:$D$100,4,FALSE),0)</f>
        <v>123373</v>
      </c>
      <c r="D14" s="13">
        <f t="shared" si="2"/>
        <v>123373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IFERROR(VLOOKUP(A15,[4]Podkarpacki!$A$7:$D$100,4,FALSE),0)</f>
        <v>145247</v>
      </c>
      <c r="D15" s="13">
        <f t="shared" si="2"/>
        <v>145247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IFERROR(VLOOKUP(A16,[4]Podkarpacki!$A$7:$D$100,4,FALSE),0)</f>
        <v>101090</v>
      </c>
      <c r="D16" s="13">
        <f t="shared" si="2"/>
        <v>101090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IFERROR(VLOOKUP(A17,[4]Podkarpacki!$A$7:$D$100,4,FALSE),0)</f>
        <v>29944</v>
      </c>
      <c r="D17" s="13">
        <f t="shared" si="2"/>
        <v>29944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IFERROR(VLOOKUP(A18,[4]Podkarpacki!$A$7:$D$100,4,FALSE),0)</f>
        <v>106368</v>
      </c>
      <c r="D18" s="13">
        <f t="shared" si="2"/>
        <v>106368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IFERROR(VLOOKUP(A19,[4]Podkarpacki!$A$7:$D$100,4,FALSE),0)</f>
        <v>33794</v>
      </c>
      <c r="D19" s="13">
        <f t="shared" si="2"/>
        <v>33794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IFERROR(VLOOKUP(A20,[4]Podkarpacki!$A$7:$D$100,4,FALSE),0)</f>
        <v>3216</v>
      </c>
      <c r="D20" s="13">
        <f t="shared" si="2"/>
        <v>3216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IFERROR(VLOOKUP(A21,[4]Podkarpacki!$A$7:$D$100,4,FALSE),0)</f>
        <v>7985</v>
      </c>
      <c r="D21" s="13">
        <f t="shared" si="2"/>
        <v>7985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IFERROR(VLOOKUP(A22,[4]Podkarpacki!$A$7:$D$100,4,FALSE),0)</f>
        <v>99079</v>
      </c>
      <c r="D22" s="13">
        <f t="shared" si="2"/>
        <v>99079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IFERROR(VLOOKUP(A23,[4]Podkarpacki!$A$7:$D$100,4,FALSE),0)</f>
        <v>49500</v>
      </c>
      <c r="D23" s="13">
        <f t="shared" si="2"/>
        <v>49500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IFERROR(VLOOKUP(A24,[4]Podkarpacki!$A$7:$D$100,4,FALSE),0)</f>
        <v>382413</v>
      </c>
      <c r="D24" s="31">
        <f>SUM(D25:D27)</f>
        <v>382413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IFERROR(VLOOKUP(A25,[4]Podkarpacki!$A$7:$D$100,4,FALSE),0)</f>
        <v>379713</v>
      </c>
      <c r="D25" s="13">
        <f t="shared" si="2"/>
        <v>379713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IFERROR(VLOOKUP(A26,[4]Podkarpacki!$A$7:$D$100,4,FALSE),0)</f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IFERROR(VLOOKUP(A27,[4]Podkarpacki!$A$7:$D$100,4,FALSE),0)</f>
        <v>700</v>
      </c>
      <c r="D27" s="13">
        <f t="shared" si="2"/>
        <v>700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IFERROR(VLOOKUP(A28,[4]Podkarpacki!$A$7:$D$100,4,FALSE),0)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IFERROR(VLOOKUP(A29,[4]Podkarpacki!$A$7:$D$100,4,FALSE),0)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IFERROR(VLOOKUP(A30,[4]Podkarpacki!$A$7:$D$100,4,FALSE),0)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IFERROR(VLOOKUP(A31,[4]Podkarpacki!$A$7:$D$100,4,FALSE),0)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IFERROR(VLOOKUP(A32,[4]Podkarpacki!$A$7:$D$100,4,FALSE),0)</f>
        <v>38576</v>
      </c>
      <c r="D32" s="13">
        <f t="shared" si="2"/>
        <v>38576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IFERROR(VLOOKUP(A33,[4]Podkarpacki!$A$7:$D$100,4,FALSE),0)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IFERROR(VLOOKUP(A34,[4]Podkarpacki!$A$7:$D$100,4,FALSE),0)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IFERROR(VLOOKUP(A35,[4]Podkarpacki!$A$7:$D$100,4,FALSE),0)</f>
        <v>108034</v>
      </c>
      <c r="D35" s="37">
        <f>C35</f>
        <v>108034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IFERROR(VLOOKUP(A36,[4]Podkarpacki!$A$7:$D$100,4,FALSE),0)</f>
        <v>6901</v>
      </c>
      <c r="D36" s="37">
        <f>C36</f>
        <v>6901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577042</v>
      </c>
      <c r="D37" s="32">
        <f>D11+D13+D24+D30</f>
        <v>577042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26074</v>
      </c>
      <c r="D38" s="87">
        <f>D39+D40+D41+D49+D51+D57+D58+D56</f>
        <v>26074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IFERROR(VLOOKUP(A39,[4]Podkarpacki!$A$7:$D$100,4,FALSE),0)</f>
        <v>1333</v>
      </c>
      <c r="D39" s="33">
        <f>C39</f>
        <v>1333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IFERROR(VLOOKUP(A40,[4]Podkarpacki!$A$7:$D$100,4,FALSE),0)</f>
        <v>2780</v>
      </c>
      <c r="D40" s="33">
        <f t="shared" ref="D40:D58" si="3">C40</f>
        <v>2780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118</v>
      </c>
      <c r="D41" s="33">
        <f>D42+D44+D45+D46+D47+D48</f>
        <v>118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IFERROR(VLOOKUP(A42,[4]Podkarpacki!$A$7:$D$100,4,FALSE),0)</f>
        <v>27</v>
      </c>
      <c r="D42" s="33">
        <f t="shared" si="3"/>
        <v>27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IFERROR(VLOOKUP(A43,[4]Podkarpacki!$A$7:$D$100,4,FALSE),0)</f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IFERROR(VLOOKUP(A44,[4]Podkarpacki!$A$7:$D$100,4,FALSE),0)</f>
        <v>13</v>
      </c>
      <c r="D44" s="33">
        <f t="shared" si="3"/>
        <v>13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IFERROR(VLOOKUP(A45,[4]Podkarpacki!$A$7:$D$100,4,FALSE),0)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IFERROR(VLOOKUP(A46,[4]Podkarpacki!$A$7:$D$100,4,FALSE),0)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IFERROR(VLOOKUP(A47,[4]Podkarpacki!$A$7:$D$100,4,FALSE),0)</f>
        <v>42</v>
      </c>
      <c r="D47" s="33">
        <f t="shared" si="3"/>
        <v>42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IFERROR(VLOOKUP(A48,[4]Podkarpacki!$A$7:$D$100,4,FALSE),0)</f>
        <v>36</v>
      </c>
      <c r="D48" s="33">
        <f t="shared" si="3"/>
        <v>36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IFERROR(VLOOKUP(A49,[4]Podkarpacki!$A$7:$D$100,4,FALSE),0)</f>
        <v>14454</v>
      </c>
      <c r="D49" s="33">
        <f t="shared" si="3"/>
        <v>14454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IFERROR(VLOOKUP(A50,[4]Podkarpacki!$A$7:$D$100,4,FALSE),0)</f>
        <v>10</v>
      </c>
      <c r="D50" s="33">
        <f t="shared" si="3"/>
        <v>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3225</v>
      </c>
      <c r="D51" s="29">
        <f>D52+D53+D54+D55</f>
        <v>3225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IFERROR(VLOOKUP(A52,[4]Podkarpacki!$A$7:$D$100,4,FALSE),0)</f>
        <v>2484</v>
      </c>
      <c r="D52" s="33">
        <f t="shared" si="3"/>
        <v>2484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IFERROR(VLOOKUP(A53,[4]Podkarpacki!$A$7:$D$100,4,FALSE),0)</f>
        <v>354</v>
      </c>
      <c r="D53" s="33">
        <f t="shared" si="3"/>
        <v>354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IFERROR(VLOOKUP(A54,[4]Podkarpacki!$A$7:$D$100,4,FALSE),0)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IFERROR(VLOOKUP(A55,[4]Podkarpacki!$A$7:$D$100,4,FALSE),0)</f>
        <v>387</v>
      </c>
      <c r="D55" s="33">
        <f t="shared" si="3"/>
        <v>387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IFERROR(VLOOKUP(A56,[4]Podkarpacki!$A$7:$D$100,4,FALSE),0)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IFERROR(VLOOKUP(A57,[4]Podkarpacki!$A$7:$D$100,4,FALSE),0)</f>
        <v>3900</v>
      </c>
      <c r="D57" s="33">
        <f t="shared" si="3"/>
        <v>3900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IFERROR(VLOOKUP(A58,[4]Podkarpacki!$A$7:$D$100,4,FALSE),0)</f>
        <v>264</v>
      </c>
      <c r="D58" s="33">
        <f t="shared" si="3"/>
        <v>264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7194</v>
      </c>
      <c r="D59" s="107">
        <f>D60+D61+D62+D63</f>
        <v>2194</v>
      </c>
      <c r="E59" s="83">
        <f t="shared" si="0"/>
        <v>-5000</v>
      </c>
      <c r="F59" s="108">
        <f t="shared" si="1"/>
        <v>0.30499999999999999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IFERROR(VLOOKUP(A60,[4]Podkarpacki!$A$7:$D$100,4,FALSE),0)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IFERROR(VLOOKUP(A61,[4]Podkarpacki!$A$7:$D$100,4,FALSE),0)</f>
        <v>6394</v>
      </c>
      <c r="D61" s="33">
        <f>C61-5000</f>
        <v>1394</v>
      </c>
      <c r="E61" s="29">
        <f t="shared" si="0"/>
        <v>-5000</v>
      </c>
      <c r="F61" s="39">
        <f t="shared" si="1"/>
        <v>0.218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IFERROR(VLOOKUP(A62,[4]Podkarpacki!$A$7:$D$100,4,FALSE),0)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IFERROR(VLOOKUP(A63,[4]Podkarpacki!$A$7:$D$100,4,FALSE),0)</f>
        <v>800</v>
      </c>
      <c r="D63" s="33">
        <f>C63</f>
        <v>800</v>
      </c>
      <c r="E63" s="29" t="str">
        <f t="shared" si="0"/>
        <v>-</v>
      </c>
      <c r="F63" s="39">
        <f t="shared" si="1"/>
        <v>1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IFERROR(VLOOKUP(A64,[4]Podkarpacki!$A$7:$D$100,4,FALSE),0)</f>
        <v>810</v>
      </c>
      <c r="D64" s="107">
        <f>C64</f>
        <v>810</v>
      </c>
      <c r="E64" s="83" t="str">
        <f t="shared" si="0"/>
        <v>-</v>
      </c>
      <c r="F64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Podkarpacki!A1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2122770</v>
      </c>
      <c r="D6" s="102">
        <f>D7+D8+D9+D14+D15+D16+D17+D18+D19+D20+D21+D22+D23+D24+D28+D29+D31+D32+D33</f>
        <v>2122770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IFERROR(VLOOKUP(A7,[4]Podlaski!$A$7:$D$100,4,FALSE),0)</f>
        <v>286500</v>
      </c>
      <c r="D7" s="13">
        <f>C7</f>
        <v>286500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IFERROR(VLOOKUP(A8,[4]Podlaski!$A$7:$D$100,4,FALSE),0)</f>
        <v>196416</v>
      </c>
      <c r="D8" s="13">
        <f>C8</f>
        <v>196416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IFERROR(VLOOKUP(A9,[4]Podlaski!$A$7:$D$100,4,FALSE),0)</f>
        <v>1050864</v>
      </c>
      <c r="D9" s="13">
        <f t="shared" ref="D9:D33" si="2">C9</f>
        <v>1050864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IFERROR(VLOOKUP(A10,[4]Podlaski!$A$7:$D$100,4,FALSE),0)</f>
        <v>82842</v>
      </c>
      <c r="D10" s="13">
        <f t="shared" si="2"/>
        <v>82842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IFERROR(VLOOKUP(A11,[4]Podlaski!$A$7:$D$100,4,FALSE),0)</f>
        <v>73696</v>
      </c>
      <c r="D11" s="13">
        <f t="shared" si="2"/>
        <v>73696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IFERROR(VLOOKUP(A12,[4]Podlaski!$A$7:$D$100,4,FALSE),0)</f>
        <v>46253</v>
      </c>
      <c r="D12" s="13">
        <f t="shared" si="2"/>
        <v>46253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IFERROR(VLOOKUP(A13,[4]Podlaski!$A$7:$D$100,4,FALSE),0)</f>
        <v>23019</v>
      </c>
      <c r="D13" s="13">
        <f t="shared" si="2"/>
        <v>23019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IFERROR(VLOOKUP(A14,[4]Podlaski!$A$7:$D$100,4,FALSE),0)</f>
        <v>83246</v>
      </c>
      <c r="D14" s="13">
        <f t="shared" si="2"/>
        <v>83246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IFERROR(VLOOKUP(A15,[4]Podlaski!$A$7:$D$100,4,FALSE),0)</f>
        <v>61985</v>
      </c>
      <c r="D15" s="13">
        <f t="shared" si="2"/>
        <v>61985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IFERROR(VLOOKUP(A16,[4]Podlaski!$A$7:$D$100,4,FALSE),0)</f>
        <v>32128</v>
      </c>
      <c r="D16" s="13">
        <f t="shared" si="2"/>
        <v>32128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IFERROR(VLOOKUP(A17,[4]Podlaski!$A$7:$D$100,4,FALSE),0)</f>
        <v>13949</v>
      </c>
      <c r="D17" s="13">
        <f t="shared" si="2"/>
        <v>13949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IFERROR(VLOOKUP(A18,[4]Podlaski!$A$7:$D$100,4,FALSE),0)</f>
        <v>64320</v>
      </c>
      <c r="D18" s="13">
        <f t="shared" si="2"/>
        <v>64320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IFERROR(VLOOKUP(A19,[4]Podlaski!$A$7:$D$100,4,FALSE),0)</f>
        <v>20000</v>
      </c>
      <c r="D19" s="13">
        <f t="shared" si="2"/>
        <v>20000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IFERROR(VLOOKUP(A20,[4]Podlaski!$A$7:$D$100,4,FALSE),0)</f>
        <v>1475</v>
      </c>
      <c r="D20" s="13">
        <f t="shared" si="2"/>
        <v>1475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IFERROR(VLOOKUP(A21,[4]Podlaski!$A$7:$D$100,4,FALSE),0)</f>
        <v>5088</v>
      </c>
      <c r="D21" s="13">
        <f t="shared" si="2"/>
        <v>5088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IFERROR(VLOOKUP(A22,[4]Podlaski!$A$7:$D$100,4,FALSE),0)</f>
        <v>46813</v>
      </c>
      <c r="D22" s="13">
        <f t="shared" si="2"/>
        <v>46813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IFERROR(VLOOKUP(A23,[4]Podlaski!$A$7:$D$100,4,FALSE),0)</f>
        <v>28200</v>
      </c>
      <c r="D23" s="13">
        <f t="shared" si="2"/>
        <v>28200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IFERROR(VLOOKUP(A24,[4]Podlaski!$A$7:$D$100,4,FALSE),0)</f>
        <v>225380</v>
      </c>
      <c r="D24" s="31">
        <f>SUM(D25:D27)</f>
        <v>225380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IFERROR(VLOOKUP(A25,[4]Podlaski!$A$7:$D$100,4,FALSE),0)</f>
        <v>223410</v>
      </c>
      <c r="D25" s="13">
        <f t="shared" si="2"/>
        <v>223410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IFERROR(VLOOKUP(A26,[4]Podlaski!$A$7:$D$100,4,FALSE),0)</f>
        <v>1150</v>
      </c>
      <c r="D26" s="13">
        <f t="shared" si="2"/>
        <v>1150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IFERROR(VLOOKUP(A27,[4]Podlaski!$A$7:$D$100,4,FALSE),0)</f>
        <v>820</v>
      </c>
      <c r="D27" s="13">
        <f t="shared" si="2"/>
        <v>820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IFERROR(VLOOKUP(A28,[4]Podlaski!$A$7:$D$100,4,FALSE),0)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IFERROR(VLOOKUP(A29,[4]Podlaski!$A$7:$D$100,4,FALSE),0)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IFERROR(VLOOKUP(A30,[4]Podlaski!$A$7:$D$100,4,FALSE),0)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IFERROR(VLOOKUP(A31,[4]Podlaski!$A$7:$D$100,4,FALSE),0)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IFERROR(VLOOKUP(A32,[4]Podlaski!$A$7:$D$100,4,FALSE),0)</f>
        <v>6406</v>
      </c>
      <c r="D32" s="13">
        <f t="shared" si="2"/>
        <v>6406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IFERROR(VLOOKUP(A33,[4]Podlaski!$A$7:$D$100,4,FALSE),0)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IFERROR(VLOOKUP(A34,[4]Podlaski!$A$7:$D$100,4,FALSE),0)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IFERROR(VLOOKUP(A35,[4]Podlaski!$A$7:$D$100,4,FALSE),0)</f>
        <v>70234</v>
      </c>
      <c r="D35" s="37">
        <f>C35</f>
        <v>70234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IFERROR(VLOOKUP(A36,[4]Podlaski!$A$7:$D$100,4,FALSE),0)</f>
        <v>4356</v>
      </c>
      <c r="D36" s="37">
        <f>C36</f>
        <v>4356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322095</v>
      </c>
      <c r="D37" s="32">
        <f>D11+D13+D24+D30</f>
        <v>322095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16920</v>
      </c>
      <c r="D38" s="87">
        <f>D39+D40+D41+D49+D51+D57+D58+D56</f>
        <v>16920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IFERROR(VLOOKUP(A39,[4]Podlaski!$A$7:$D$100,4,FALSE),0)</f>
        <v>670</v>
      </c>
      <c r="D39" s="33">
        <f>C39</f>
        <v>670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IFERROR(VLOOKUP(A40,[4]Podlaski!$A$7:$D$100,4,FALSE),0)</f>
        <v>938</v>
      </c>
      <c r="D40" s="33">
        <f t="shared" ref="D40:D58" si="3">C40</f>
        <v>938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243</v>
      </c>
      <c r="D41" s="33">
        <f>D42+D44+D45+D46+D47+D48</f>
        <v>243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IFERROR(VLOOKUP(A42,[4]Podlaski!$A$7:$D$100,4,FALSE),0)</f>
        <v>19</v>
      </c>
      <c r="D42" s="33">
        <f t="shared" si="3"/>
        <v>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IFERROR(VLOOKUP(A43,[4]Podlaski!$A$7:$D$100,4,FALSE),0)</f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IFERROR(VLOOKUP(A44,[4]Podlaski!$A$7:$D$100,4,FALSE),0)</f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IFERROR(VLOOKUP(A45,[4]Podlaski!$A$7:$D$100,4,FALSE),0)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IFERROR(VLOOKUP(A46,[4]Podlaski!$A$7:$D$100,4,FALSE),0)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IFERROR(VLOOKUP(A47,[4]Podlaski!$A$7:$D$100,4,FALSE),0)</f>
        <v>165</v>
      </c>
      <c r="D47" s="33">
        <f t="shared" si="3"/>
        <v>165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IFERROR(VLOOKUP(A48,[4]Podlaski!$A$7:$D$100,4,FALSE),0)</f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IFERROR(VLOOKUP(A49,[4]Podlaski!$A$7:$D$100,4,FALSE),0)</f>
        <v>10237</v>
      </c>
      <c r="D49" s="33">
        <f t="shared" si="3"/>
        <v>10237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IFERROR(VLOOKUP(A50,[4]Podlaski!$A$7:$D$100,4,FALSE),0)</f>
        <v>0</v>
      </c>
      <c r="D50" s="33">
        <f t="shared" si="3"/>
        <v>0</v>
      </c>
      <c r="E50" s="38" t="str">
        <f t="shared" si="0"/>
        <v>-</v>
      </c>
      <c r="F50" s="39" t="str">
        <f t="shared" si="1"/>
        <v>-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2289</v>
      </c>
      <c r="D51" s="29">
        <f>D52+D53+D54+D55</f>
        <v>2289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IFERROR(VLOOKUP(A52,[4]Podlaski!$A$7:$D$100,4,FALSE),0)</f>
        <v>1760</v>
      </c>
      <c r="D52" s="33">
        <f t="shared" si="3"/>
        <v>1760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IFERROR(VLOOKUP(A53,[4]Podlaski!$A$7:$D$100,4,FALSE),0)</f>
        <v>251</v>
      </c>
      <c r="D53" s="33">
        <f t="shared" si="3"/>
        <v>251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IFERROR(VLOOKUP(A54,[4]Podlaski!$A$7:$D$100,4,FALSE),0)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IFERROR(VLOOKUP(A55,[4]Podlaski!$A$7:$D$100,4,FALSE),0)</f>
        <v>278</v>
      </c>
      <c r="D55" s="33">
        <f t="shared" si="3"/>
        <v>278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IFERROR(VLOOKUP(A56,[4]Podlaski!$A$7:$D$100,4,FALSE),0)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IFERROR(VLOOKUP(A57,[4]Podlaski!$A$7:$D$100,4,FALSE),0)</f>
        <v>2331</v>
      </c>
      <c r="D57" s="33">
        <f t="shared" si="3"/>
        <v>2331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IFERROR(VLOOKUP(A58,[4]Podlaski!$A$7:$D$100,4,FALSE),0)</f>
        <v>212</v>
      </c>
      <c r="D58" s="33">
        <f t="shared" si="3"/>
        <v>212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2016</v>
      </c>
      <c r="D59" s="107">
        <f>D60+D61+D62+D63</f>
        <v>2440</v>
      </c>
      <c r="E59" s="83">
        <f t="shared" si="0"/>
        <v>424</v>
      </c>
      <c r="F59" s="108">
        <f t="shared" si="1"/>
        <v>1.2102999999999999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IFERROR(VLOOKUP(A60,[4]Podlaski!$A$7:$D$100,4,FALSE),0)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IFERROR(VLOOKUP(A61,[4]Podlaski!$A$7:$D$100,4,FALSE),0)</f>
        <v>1110</v>
      </c>
      <c r="D61" s="33">
        <f>C61+90</f>
        <v>1200</v>
      </c>
      <c r="E61" s="29">
        <f t="shared" si="0"/>
        <v>90</v>
      </c>
      <c r="F61" s="39">
        <f t="shared" si="1"/>
        <v>1.0810999999999999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IFERROR(VLOOKUP(A62,[4]Podlaski!$A$7:$D$100,4,FALSE),0)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IFERROR(VLOOKUP(A63,[4]Podlaski!$A$7:$D$100,4,FALSE),0)</f>
        <v>906</v>
      </c>
      <c r="D63" s="33">
        <f>C63+334</f>
        <v>1240</v>
      </c>
      <c r="E63" s="29">
        <f t="shared" si="0"/>
        <v>334</v>
      </c>
      <c r="F63" s="39">
        <f t="shared" si="1"/>
        <v>1.3687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IFERROR(VLOOKUP(A64,[4]Podlaski!$A$7:$D$100,4,FALSE),0)</f>
        <v>372</v>
      </c>
      <c r="D64" s="107">
        <f>C64-102</f>
        <v>270</v>
      </c>
      <c r="E64" s="83">
        <f t="shared" si="0"/>
        <v>-102</v>
      </c>
      <c r="F64" s="108">
        <f t="shared" si="1"/>
        <v>0.7258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Podlaski!A1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4059421</v>
      </c>
      <c r="D6" s="102">
        <f>D7+D8+D9+D14+D15+D16+D17+D18+D19+D20+D21+D22+D23+D24+D28+D29+D31+D32+D33</f>
        <v>4059421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IFERROR(VLOOKUP(A7,[4]Pomorski!$A$7:$D$100,4,FALSE),0)</f>
        <v>572584</v>
      </c>
      <c r="D7" s="13">
        <f>C7</f>
        <v>572584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IFERROR(VLOOKUP(A8,[4]Pomorski!$A$7:$D$100,4,FALSE),0)</f>
        <v>344626</v>
      </c>
      <c r="D8" s="13">
        <f>C8</f>
        <v>344626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IFERROR(VLOOKUP(A9,[4]Pomorski!$A$7:$D$100,4,FALSE),0)</f>
        <v>1931911</v>
      </c>
      <c r="D9" s="13">
        <f t="shared" ref="D9:D33" si="2">C9</f>
        <v>1931911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IFERROR(VLOOKUP(A10,[4]Pomorski!$A$7:$D$100,4,FALSE),0)</f>
        <v>182744</v>
      </c>
      <c r="D10" s="13">
        <f t="shared" si="2"/>
        <v>182744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IFERROR(VLOOKUP(A11,[4]Pomorski!$A$7:$D$100,4,FALSE),0)</f>
        <v>169000</v>
      </c>
      <c r="D11" s="13">
        <f t="shared" si="2"/>
        <v>169000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IFERROR(VLOOKUP(A12,[4]Pomorski!$A$7:$D$100,4,FALSE),0)</f>
        <v>79274</v>
      </c>
      <c r="D12" s="13">
        <f t="shared" si="2"/>
        <v>79274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IFERROR(VLOOKUP(A13,[4]Pomorski!$A$7:$D$100,4,FALSE),0)</f>
        <v>45000</v>
      </c>
      <c r="D13" s="13">
        <f t="shared" si="2"/>
        <v>45000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IFERROR(VLOOKUP(A14,[4]Pomorski!$A$7:$D$100,4,FALSE),0)</f>
        <v>150419</v>
      </c>
      <c r="D14" s="13">
        <f t="shared" si="2"/>
        <v>150419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IFERROR(VLOOKUP(A15,[4]Pomorski!$A$7:$D$100,4,FALSE),0)</f>
        <v>114336</v>
      </c>
      <c r="D15" s="13">
        <f t="shared" si="2"/>
        <v>114336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IFERROR(VLOOKUP(A16,[4]Pomorski!$A$7:$D$100,4,FALSE),0)</f>
        <v>49212</v>
      </c>
      <c r="D16" s="13">
        <f t="shared" si="2"/>
        <v>49212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IFERROR(VLOOKUP(A17,[4]Pomorski!$A$7:$D$100,4,FALSE),0)</f>
        <v>25316</v>
      </c>
      <c r="D17" s="13">
        <f t="shared" si="2"/>
        <v>25316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IFERROR(VLOOKUP(A18,[4]Pomorski!$A$7:$D$100,4,FALSE),0)</f>
        <v>105045</v>
      </c>
      <c r="D18" s="13">
        <f t="shared" si="2"/>
        <v>105045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IFERROR(VLOOKUP(A19,[4]Pomorski!$A$7:$D$100,4,FALSE),0)</f>
        <v>27000</v>
      </c>
      <c r="D19" s="13">
        <f t="shared" si="2"/>
        <v>27000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IFERROR(VLOOKUP(A20,[4]Pomorski!$A$7:$D$100,4,FALSE),0)</f>
        <v>1485</v>
      </c>
      <c r="D20" s="13">
        <f t="shared" si="2"/>
        <v>1485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IFERROR(VLOOKUP(A21,[4]Pomorski!$A$7:$D$100,4,FALSE),0)</f>
        <v>10180</v>
      </c>
      <c r="D21" s="13">
        <f t="shared" si="2"/>
        <v>10180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IFERROR(VLOOKUP(A22,[4]Pomorski!$A$7:$D$100,4,FALSE),0)</f>
        <v>127438</v>
      </c>
      <c r="D22" s="13">
        <f t="shared" si="2"/>
        <v>127438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IFERROR(VLOOKUP(A23,[4]Pomorski!$A$7:$D$100,4,FALSE),0)</f>
        <v>53100</v>
      </c>
      <c r="D23" s="13">
        <f t="shared" si="2"/>
        <v>53100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IFERROR(VLOOKUP(A24,[4]Pomorski!$A$7:$D$100,4,FALSE),0)</f>
        <v>524000</v>
      </c>
      <c r="D24" s="31">
        <f>SUM(D25:D27)</f>
        <v>524000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IFERROR(VLOOKUP(A25,[4]Pomorski!$A$7:$D$100,4,FALSE),0)</f>
        <v>522800</v>
      </c>
      <c r="D25" s="13">
        <f t="shared" si="2"/>
        <v>522800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IFERROR(VLOOKUP(A26,[4]Pomorski!$A$7:$D$100,4,FALSE),0)</f>
        <v>800</v>
      </c>
      <c r="D26" s="13">
        <f t="shared" si="2"/>
        <v>800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IFERROR(VLOOKUP(A27,[4]Pomorski!$A$7:$D$100,4,FALSE),0)</f>
        <v>400</v>
      </c>
      <c r="D27" s="13">
        <f t="shared" si="2"/>
        <v>400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IFERROR(VLOOKUP(A32,[4]Pomorski!$A$7:$D$100,4,FALSE),0)</f>
        <v>22769</v>
      </c>
      <c r="D32" s="13">
        <f t="shared" si="2"/>
        <v>22769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IFERROR(VLOOKUP(A34,[4]Pomorski!$A$7:$D$100,4,FALSE),0)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IFERROR(VLOOKUP(A35,[4]Pomorski!$A$7:$D$100,4,FALSE),0)</f>
        <v>105521</v>
      </c>
      <c r="D35" s="37">
        <f>C35</f>
        <v>105521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IFERROR(VLOOKUP(A36,[4]Pomorski!$A$7:$D$100,4,FALSE),0)</f>
        <v>6713</v>
      </c>
      <c r="D36" s="37">
        <f>C36</f>
        <v>6713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738000</v>
      </c>
      <c r="D37" s="32">
        <f>D11+D13+D24+D30</f>
        <v>738000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34039</v>
      </c>
      <c r="D38" s="87">
        <f>D39+D40+D41+D49+D51+D57+D58+D56</f>
        <v>34039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IFERROR(VLOOKUP(A39,[4]Pomorski!$A$7:$D$100,4,FALSE),0)</f>
        <v>1689</v>
      </c>
      <c r="D39" s="33">
        <f>C39</f>
        <v>1689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IFERROR(VLOOKUP(A40,[4]Pomorski!$A$7:$D$100,4,FALSE),0)</f>
        <v>3526</v>
      </c>
      <c r="D40" s="33">
        <f t="shared" ref="D40:D58" si="3">C40</f>
        <v>3526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138</v>
      </c>
      <c r="D41" s="33">
        <f>D42+D44+D45+D46+D47+D48</f>
        <v>138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IFERROR(VLOOKUP(A42,[4]Pomorski!$A$7:$D$100,4,FALSE),0)</f>
        <v>44</v>
      </c>
      <c r="D42" s="33">
        <f t="shared" si="3"/>
        <v>44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IFERROR(VLOOKUP(A43,[4]Pomorski!$A$7:$D$100,4,FALSE),0)</f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IFERROR(VLOOKUP(A44,[4]Pomorski!$A$7:$D$100,4,FALSE),0)</f>
        <v>30</v>
      </c>
      <c r="D44" s="33">
        <f t="shared" si="3"/>
        <v>30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IFERROR(VLOOKUP(A45,[4]Pomorski!$A$7:$D$100,4,FALSE),0)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IFERROR(VLOOKUP(A47,[4]Pomorski!$A$7:$D$100,4,FALSE),0)</f>
        <v>44</v>
      </c>
      <c r="D47" s="33">
        <f t="shared" si="3"/>
        <v>44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IFERROR(VLOOKUP(A48,[4]Pomorski!$A$7:$D$100,4,FALSE),0)</f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IFERROR(VLOOKUP(A49,[4]Pomorski!$A$7:$D$100,4,FALSE),0)</f>
        <v>19618</v>
      </c>
      <c r="D49" s="33">
        <f t="shared" si="3"/>
        <v>19618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IFERROR(VLOOKUP(A50,[4]Pomorski!$A$7:$D$100,4,FALSE),0)</f>
        <v>70</v>
      </c>
      <c r="D50" s="33">
        <f t="shared" si="3"/>
        <v>70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4381</v>
      </c>
      <c r="D51" s="29">
        <f>D52+D53+D54+D55</f>
        <v>4381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IFERROR(VLOOKUP(A52,[4]Pomorski!$A$7:$D$100,4,FALSE),0)</f>
        <v>3372</v>
      </c>
      <c r="D52" s="33">
        <f t="shared" si="3"/>
        <v>3372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IFERROR(VLOOKUP(A53,[4]Pomorski!$A$7:$D$100,4,FALSE),0)</f>
        <v>481</v>
      </c>
      <c r="D53" s="33">
        <f t="shared" si="3"/>
        <v>481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IFERROR(VLOOKUP(A54,[4]Pomorski!$A$7:$D$100,4,FALSE),0)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IFERROR(VLOOKUP(A55,[4]Pomorski!$A$7:$D$100,4,FALSE),0)</f>
        <v>528</v>
      </c>
      <c r="D55" s="33">
        <f t="shared" si="3"/>
        <v>528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IFERROR(VLOOKUP(A56,[4]Pomorski!$A$7:$D$100,4,FALSE),0)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IFERROR(VLOOKUP(A57,[4]Pomorski!$A$7:$D$100,4,FALSE),0)</f>
        <v>4425</v>
      </c>
      <c r="D57" s="33">
        <f t="shared" si="3"/>
        <v>4425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IFERROR(VLOOKUP(A58,[4]Pomorski!$A$7:$D$100,4,FALSE),0)</f>
        <v>262</v>
      </c>
      <c r="D58" s="33">
        <f t="shared" si="3"/>
        <v>262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8813</v>
      </c>
      <c r="D59" s="107">
        <f>D60+D61+D62+D63</f>
        <v>8863</v>
      </c>
      <c r="E59" s="83">
        <f t="shared" si="0"/>
        <v>50</v>
      </c>
      <c r="F59" s="108">
        <f t="shared" si="1"/>
        <v>1.0057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IFERROR(VLOOKUP(A60,[4]Pomorski!$A$7:$D$100,4,FALSE),0)</f>
        <v>27</v>
      </c>
      <c r="D60" s="33">
        <f>C60+10</f>
        <v>37</v>
      </c>
      <c r="E60" s="29">
        <f t="shared" si="0"/>
        <v>10</v>
      </c>
      <c r="F60" s="39">
        <f t="shared" si="1"/>
        <v>1.3704000000000001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IFERROR(VLOOKUP(A61,[4]Pomorski!$A$7:$D$100,4,FALSE),0)</f>
        <v>6273</v>
      </c>
      <c r="D61" s="33">
        <f>C61+1409</f>
        <v>7682</v>
      </c>
      <c r="E61" s="29">
        <f t="shared" si="0"/>
        <v>1409</v>
      </c>
      <c r="F61" s="39">
        <f t="shared" si="1"/>
        <v>1.2245999999999999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IFERROR(VLOOKUP(A62,[4]Pomorski!$A$7:$D$100,4,FALSE),0)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IFERROR(VLOOKUP(A63,[4]Pomorski!$A$7:$D$100,4,FALSE),0)</f>
        <v>2513</v>
      </c>
      <c r="D63" s="33">
        <f>C63-1369</f>
        <v>1144</v>
      </c>
      <c r="E63" s="29">
        <f t="shared" si="0"/>
        <v>-1369</v>
      </c>
      <c r="F63" s="39">
        <f t="shared" si="1"/>
        <v>0.45519999999999999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IFERROR(VLOOKUP(A64,[4]Pomorski!$A$7:$D$100,4,FALSE),0)</f>
        <v>3970</v>
      </c>
      <c r="D64" s="107">
        <f>C64+605</f>
        <v>4575</v>
      </c>
      <c r="E64" s="83">
        <f t="shared" si="0"/>
        <v>605</v>
      </c>
      <c r="F64" s="108">
        <f t="shared" si="1"/>
        <v>1.1524000000000001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Pomorski!A1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8589902</v>
      </c>
      <c r="D6" s="102">
        <f>D7+D8+D9+D14+D15+D16+D17+D18+D19+D20+D21+D22+D23+D24+D28+D29+D31+D32+D33</f>
        <v>8589902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IFERROR(VLOOKUP(A7,[4]Śląski!$A$7:$D$100,4,FALSE),0)</f>
        <v>1121000</v>
      </c>
      <c r="D7" s="13">
        <f>C7</f>
        <v>1121000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IFERROR(VLOOKUP(A8,[4]Śląski!$A$7:$D$100,4,FALSE),0)</f>
        <v>778656</v>
      </c>
      <c r="D8" s="13">
        <f>C8</f>
        <v>778656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IFERROR(VLOOKUP(A9,[4]Śląski!$A$7:$D$100,4,FALSE),0)</f>
        <v>4077468</v>
      </c>
      <c r="D9" s="13">
        <f t="shared" ref="D9:D33" si="2">C9</f>
        <v>4077468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IFERROR(VLOOKUP(A10,[4]Śląski!$A$7:$D$100,4,FALSE),0)</f>
        <v>394787</v>
      </c>
      <c r="D10" s="13">
        <f t="shared" si="2"/>
        <v>394787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IFERROR(VLOOKUP(A11,[4]Śląski!$A$7:$D$100,4,FALSE),0)</f>
        <v>357564</v>
      </c>
      <c r="D11" s="13">
        <f t="shared" si="2"/>
        <v>357564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IFERROR(VLOOKUP(A12,[4]Śląski!$A$7:$D$100,4,FALSE),0)</f>
        <v>167174</v>
      </c>
      <c r="D12" s="13">
        <f t="shared" si="2"/>
        <v>167174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IFERROR(VLOOKUP(A13,[4]Śląski!$A$7:$D$100,4,FALSE),0)</f>
        <v>72775</v>
      </c>
      <c r="D13" s="13">
        <f t="shared" si="2"/>
        <v>72775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IFERROR(VLOOKUP(A14,[4]Śląski!$A$7:$D$100,4,FALSE),0)</f>
        <v>316447</v>
      </c>
      <c r="D14" s="13">
        <f t="shared" si="2"/>
        <v>316447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IFERROR(VLOOKUP(A15,[4]Śląski!$A$7:$D$100,4,FALSE),0)</f>
        <v>265809</v>
      </c>
      <c r="D15" s="13">
        <f t="shared" si="2"/>
        <v>265809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IFERROR(VLOOKUP(A16,[4]Śląski!$A$7:$D$100,4,FALSE),0)</f>
        <v>222257</v>
      </c>
      <c r="D16" s="13">
        <f t="shared" si="2"/>
        <v>222257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IFERROR(VLOOKUP(A17,[4]Śląski!$A$7:$D$100,4,FALSE),0)</f>
        <v>56235</v>
      </c>
      <c r="D17" s="13">
        <f t="shared" si="2"/>
        <v>56235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IFERROR(VLOOKUP(A18,[4]Śląski!$A$7:$D$100,4,FALSE),0)</f>
        <v>201505</v>
      </c>
      <c r="D18" s="13">
        <f t="shared" si="2"/>
        <v>201505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IFERROR(VLOOKUP(A19,[4]Śląski!$A$7:$D$100,4,FALSE),0)</f>
        <v>72000</v>
      </c>
      <c r="D19" s="13">
        <f t="shared" si="2"/>
        <v>72000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IFERROR(VLOOKUP(A20,[4]Śląski!$A$7:$D$100,4,FALSE),0)</f>
        <v>4372</v>
      </c>
      <c r="D20" s="13">
        <f t="shared" si="2"/>
        <v>4372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IFERROR(VLOOKUP(A21,[4]Śląski!$A$7:$D$100,4,FALSE),0)</f>
        <v>28529</v>
      </c>
      <c r="D21" s="13">
        <f t="shared" si="2"/>
        <v>28529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IFERROR(VLOOKUP(A22,[4]Śląski!$A$7:$D$100,4,FALSE),0)</f>
        <v>241429</v>
      </c>
      <c r="D22" s="13">
        <f t="shared" si="2"/>
        <v>241429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IFERROR(VLOOKUP(A23,[4]Śląski!$A$7:$D$100,4,FALSE),0)</f>
        <v>129910</v>
      </c>
      <c r="D23" s="13">
        <f t="shared" si="2"/>
        <v>129910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IFERROR(VLOOKUP(A24,[4]Śląski!$A$7:$D$100,4,FALSE),0)</f>
        <v>1026139</v>
      </c>
      <c r="D24" s="31">
        <f>SUM(D25:D27)</f>
        <v>1026139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IFERROR(VLOOKUP(A25,[4]Śląski!$A$7:$D$100,4,FALSE),0)</f>
        <v>1024654</v>
      </c>
      <c r="D25" s="13">
        <f t="shared" si="2"/>
        <v>1024654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IFERROR(VLOOKUP(A26,[4]Śląski!$A$7:$D$100,4,FALSE),0)</f>
        <v>966</v>
      </c>
      <c r="D26" s="13">
        <f t="shared" si="2"/>
        <v>966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IFERROR(VLOOKUP(A27,[4]Śląski!$A$7:$D$100,4,FALSE),0)</f>
        <v>519</v>
      </c>
      <c r="D27" s="13">
        <f t="shared" si="2"/>
        <v>519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IFERROR(VLOOKUP(A29,[4]Śląski!$A$7:$D$100,4,FALSE),0)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IFERROR(VLOOKUP(A32,[4]Śląski!$A$7:$D$100,4,FALSE),0)</f>
        <v>48146</v>
      </c>
      <c r="D32" s="13">
        <f t="shared" si="2"/>
        <v>48146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IFERROR(VLOOKUP(A34,[4]Śląski!$A$7:$D$100,4,FALSE),0)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IFERROR(VLOOKUP(A35,[4]Śląski!$A$7:$D$100,4,FALSE),0)</f>
        <v>200932</v>
      </c>
      <c r="D35" s="37">
        <f>C35</f>
        <v>200932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IFERROR(VLOOKUP(A36,[4]Śląski!$A$7:$D$100,4,FALSE),0)</f>
        <v>14730</v>
      </c>
      <c r="D36" s="37">
        <f>C36</f>
        <v>14730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1456478</v>
      </c>
      <c r="D37" s="32">
        <f>D11+D13+D24+D30</f>
        <v>1456478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65614</v>
      </c>
      <c r="D38" s="87">
        <f>D39+D40+D41+D49+D51+D57+D58+D56</f>
        <v>65614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IFERROR(VLOOKUP(A39,[4]Śląski!$A$7:$D$100,4,FALSE),0)</f>
        <v>2602</v>
      </c>
      <c r="D39" s="33">
        <f>C39</f>
        <v>2602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IFERROR(VLOOKUP(A40,[4]Śląski!$A$7:$D$100,4,FALSE),0)</f>
        <v>8177</v>
      </c>
      <c r="D40" s="33">
        <f t="shared" ref="D40:D58" si="3">C40</f>
        <v>8177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605</v>
      </c>
      <c r="D41" s="33">
        <f>D42+D44+D45+D46+D47+D48</f>
        <v>605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IFERROR(VLOOKUP(A42,[4]Śląski!$A$7:$D$100,4,FALSE),0)</f>
        <v>120</v>
      </c>
      <c r="D42" s="33">
        <f t="shared" si="3"/>
        <v>120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IFERROR(VLOOKUP(A43,[4]Śląski!$A$7:$D$100,4,FALSE),0)</f>
        <v>120</v>
      </c>
      <c r="D43" s="33">
        <f t="shared" si="3"/>
        <v>120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IFERROR(VLOOKUP(A44,[4]Śląski!$A$7:$D$100,4,FALSE),0)</f>
        <v>10</v>
      </c>
      <c r="D44" s="33">
        <f t="shared" si="3"/>
        <v>10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IFERROR(VLOOKUP(A45,[4]Śląski!$A$7:$D$100,4,FALSE),0)</f>
        <v>2</v>
      </c>
      <c r="D45" s="33">
        <f t="shared" si="3"/>
        <v>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IFERROR(VLOOKUP(A46,[4]Śląski!$A$7:$D$100,4,FALSE),0)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IFERROR(VLOOKUP(A47,[4]Śląski!$A$7:$D$100,4,FALSE),0)</f>
        <v>450</v>
      </c>
      <c r="D47" s="33">
        <f t="shared" si="3"/>
        <v>450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IFERROR(VLOOKUP(A48,[4]Śląski!$A$7:$D$100,4,FALSE),0)</f>
        <v>23</v>
      </c>
      <c r="D48" s="33">
        <f t="shared" si="3"/>
        <v>23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IFERROR(VLOOKUP(A49,[4]Śląski!$A$7:$D$100,4,FALSE),0)</f>
        <v>39411</v>
      </c>
      <c r="D49" s="33">
        <f t="shared" si="3"/>
        <v>39411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IFERROR(VLOOKUP(A50,[4]Śląski!$A$7:$D$100,4,FALSE),0)</f>
        <v>270</v>
      </c>
      <c r="D50" s="33">
        <f t="shared" si="3"/>
        <v>270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8781</v>
      </c>
      <c r="D51" s="29">
        <f>D52+D53+D54+D55</f>
        <v>8781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IFERROR(VLOOKUP(A52,[4]Śląski!$A$7:$D$100,4,FALSE),0)</f>
        <v>6775</v>
      </c>
      <c r="D52" s="33">
        <f t="shared" si="3"/>
        <v>6775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IFERROR(VLOOKUP(A53,[4]Śląski!$A$7:$D$100,4,FALSE),0)</f>
        <v>964</v>
      </c>
      <c r="D53" s="33">
        <f t="shared" si="3"/>
        <v>964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IFERROR(VLOOKUP(A54,[4]Śląski!$A$7:$D$100,4,FALSE),0)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IFERROR(VLOOKUP(A55,[4]Śląski!$A$7:$D$100,4,FALSE),0)</f>
        <v>1042</v>
      </c>
      <c r="D55" s="33">
        <f t="shared" si="3"/>
        <v>1042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IFERROR(VLOOKUP(A56,[4]Śląski!$A$7:$D$100,4,FALSE),0)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IFERROR(VLOOKUP(A57,[4]Śląski!$A$7:$D$100,4,FALSE),0)</f>
        <v>5773</v>
      </c>
      <c r="D57" s="33">
        <f t="shared" si="3"/>
        <v>5773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IFERROR(VLOOKUP(A58,[4]Śląski!$A$7:$D$100,4,FALSE),0)</f>
        <v>265</v>
      </c>
      <c r="D58" s="33">
        <f t="shared" si="3"/>
        <v>265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2751</v>
      </c>
      <c r="D59" s="107">
        <f>D60+D61+D62+D63</f>
        <v>10225</v>
      </c>
      <c r="E59" s="83">
        <f t="shared" si="0"/>
        <v>7474</v>
      </c>
      <c r="F59" s="108">
        <f t="shared" si="1"/>
        <v>3.7168000000000001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IFERROR(VLOOKUP(A60,[4]Śląski!$A$7:$D$100,4,FALSE),0)</f>
        <v>245</v>
      </c>
      <c r="D60" s="33">
        <f>C60</f>
        <v>245</v>
      </c>
      <c r="E60" s="29" t="str">
        <f t="shared" si="0"/>
        <v>-</v>
      </c>
      <c r="F60" s="39">
        <f t="shared" si="1"/>
        <v>1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IFERROR(VLOOKUP(A61,[4]Śląski!$A$7:$D$100,4,FALSE),0)</f>
        <v>1828</v>
      </c>
      <c r="D61" s="33">
        <f>C61+6092</f>
        <v>7920</v>
      </c>
      <c r="E61" s="29">
        <f t="shared" si="0"/>
        <v>6092</v>
      </c>
      <c r="F61" s="39">
        <f t="shared" si="1"/>
        <v>4.3326000000000002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IFERROR(VLOOKUP(A62,[4]Śląski!$A$7:$D$100,4,FALSE),0)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IFERROR(VLOOKUP(A63,[4]Śląski!$A$7:$D$100,4,FALSE),0)</f>
        <v>678</v>
      </c>
      <c r="D63" s="33">
        <f>C63+1382</f>
        <v>2060</v>
      </c>
      <c r="E63" s="29">
        <f t="shared" si="0"/>
        <v>1382</v>
      </c>
      <c r="F63" s="39">
        <f t="shared" si="1"/>
        <v>3.0383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IFERROR(VLOOKUP(A64,[4]Śląski!$A$7:$D$100,4,FALSE),0)</f>
        <v>1355</v>
      </c>
      <c r="D64" s="107">
        <f>C64+639</f>
        <v>1994</v>
      </c>
      <c r="E64" s="83">
        <f t="shared" si="0"/>
        <v>639</v>
      </c>
      <c r="F64" s="108">
        <f t="shared" si="1"/>
        <v>1.4716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4"/>
  <sheetViews>
    <sheetView showGridLines="0" view="pageBreakPreview" zoomScale="55" zoomScaleNormal="70" zoomScaleSheetLayoutView="55" workbookViewId="0">
      <pane ySplit="6" topLeftCell="A43" activePane="bottomLeft" state="frozen"/>
      <selection activeCell="B56" sqref="B56"/>
      <selection pane="bottomLef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Śląski!A1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2355931</v>
      </c>
      <c r="D6" s="102">
        <f>D7+D8+D9+D14+D15+D16+D17+D18+D19+D20+D21+D22+D23+D24+D28+D29+D31+D32+D33</f>
        <v>2355931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IFERROR(VLOOKUP(A7,[4]Świętokrzyski!$A$7:$D$100,4,FALSE),0)</f>
        <v>299347</v>
      </c>
      <c r="D7" s="13">
        <f>C7</f>
        <v>299347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IFERROR(VLOOKUP(A8,[4]Świętokrzyski!$A$7:$D$100,4,FALSE),0)</f>
        <v>172428</v>
      </c>
      <c r="D8" s="13">
        <f>C8</f>
        <v>172428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IFERROR(VLOOKUP(A9,[4]Świętokrzyski!$A$7:$D$100,4,FALSE),0)</f>
        <v>1153154</v>
      </c>
      <c r="D9" s="13">
        <f t="shared" ref="D9:D33" si="2">C9</f>
        <v>1153154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IFERROR(VLOOKUP(A10,[4]Świętokrzyski!$A$7:$D$100,4,FALSE),0)</f>
        <v>108874</v>
      </c>
      <c r="D10" s="13">
        <f t="shared" si="2"/>
        <v>108874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IFERROR(VLOOKUP(A11,[4]Świętokrzyski!$A$7:$D$100,4,FALSE),0)</f>
        <v>94916</v>
      </c>
      <c r="D11" s="13">
        <f t="shared" si="2"/>
        <v>94916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IFERROR(VLOOKUP(A12,[4]Świętokrzyski!$A$7:$D$100,4,FALSE),0)</f>
        <v>54927</v>
      </c>
      <c r="D12" s="13">
        <f t="shared" si="2"/>
        <v>54927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IFERROR(VLOOKUP(A13,[4]Świętokrzyski!$A$7:$D$100,4,FALSE),0)</f>
        <v>25458</v>
      </c>
      <c r="D13" s="13">
        <f t="shared" si="2"/>
        <v>25458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IFERROR(VLOOKUP(A14,[4]Świętokrzyski!$A$7:$D$100,4,FALSE),0)</f>
        <v>74554</v>
      </c>
      <c r="D14" s="13">
        <f t="shared" si="2"/>
        <v>74554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IFERROR(VLOOKUP(A15,[4]Świętokrzyski!$A$7:$D$100,4,FALSE),0)</f>
        <v>76677</v>
      </c>
      <c r="D15" s="13">
        <f t="shared" si="2"/>
        <v>76677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IFERROR(VLOOKUP(A16,[4]Świętokrzyski!$A$7:$D$100,4,FALSE),0)</f>
        <v>51577</v>
      </c>
      <c r="D16" s="13">
        <f t="shared" si="2"/>
        <v>51577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IFERROR(VLOOKUP(A17,[4]Świętokrzyski!$A$7:$D$100,4,FALSE),0)</f>
        <v>18488</v>
      </c>
      <c r="D17" s="13">
        <f t="shared" si="2"/>
        <v>18488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IFERROR(VLOOKUP(A18,[4]Świętokrzyski!$A$7:$D$100,4,FALSE),0)</f>
        <v>62962</v>
      </c>
      <c r="D18" s="13">
        <f t="shared" si="2"/>
        <v>62962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IFERROR(VLOOKUP(A19,[4]Świętokrzyski!$A$7:$D$100,4,FALSE),0)</f>
        <v>25825</v>
      </c>
      <c r="D19" s="13">
        <f t="shared" si="2"/>
        <v>25825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IFERROR(VLOOKUP(A20,[4]Świętokrzyski!$A$7:$D$100,4,FALSE),0)</f>
        <v>1626</v>
      </c>
      <c r="D20" s="13">
        <f t="shared" si="2"/>
        <v>1626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IFERROR(VLOOKUP(A21,[4]Świętokrzyski!$A$7:$D$100,4,FALSE),0)</f>
        <v>5970</v>
      </c>
      <c r="D21" s="13">
        <f t="shared" si="2"/>
        <v>5970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IFERROR(VLOOKUP(A22,[4]Świętokrzyski!$A$7:$D$100,4,FALSE),0)</f>
        <v>57078</v>
      </c>
      <c r="D22" s="13">
        <f t="shared" si="2"/>
        <v>57078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IFERROR(VLOOKUP(A23,[4]Świętokrzyski!$A$7:$D$100,4,FALSE),0)</f>
        <v>31540</v>
      </c>
      <c r="D23" s="13">
        <f t="shared" si="2"/>
        <v>31540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IFERROR(VLOOKUP(A24,[4]Świętokrzyski!$A$7:$D$100,4,FALSE),0)</f>
        <v>272000</v>
      </c>
      <c r="D24" s="31">
        <f>SUM(D25:D27)</f>
        <v>272000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IFERROR(VLOOKUP(A25,[4]Świętokrzyski!$A$7:$D$100,4,FALSE),0)</f>
        <v>271210</v>
      </c>
      <c r="D25" s="13">
        <f t="shared" si="2"/>
        <v>271210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IFERROR(VLOOKUP(A26,[4]Świętokrzyski!$A$7:$D$100,4,FALSE),0)</f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IFERROR(VLOOKUP(A27,[4]Świętokrzyski!$A$7:$D$100,4,FALSE),0)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IFERROR(VLOOKUP(A28,[4]Świętokrzyski!$A$7:$D$100,4,FALSE),0)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IFERROR(VLOOKUP(A29,[4]Świętokrzyski!$A$7:$D$100,4,FALSE),0)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IFERROR(VLOOKUP(A30,[4]Świętokrzyski!$A$7:$D$100,4,FALSE),0)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IFERROR(VLOOKUP(A31,[4]Świętokrzyski!$A$7:$D$100,4,FALSE),0)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IFERROR(VLOOKUP(A32,[4]Świętokrzyski!$A$7:$D$100,4,FALSE),0)</f>
        <v>52705</v>
      </c>
      <c r="D32" s="13">
        <f t="shared" si="2"/>
        <v>52705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IFERROR(VLOOKUP(A33,[4]Świętokrzyski!$A$7:$D$100,4,FALSE),0)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IFERROR(VLOOKUP(A34,[4]Świętokrzyski!$A$7:$D$100,4,FALSE),0)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IFERROR(VLOOKUP(A35,[4]Świętokrzyski!$A$7:$D$100,4,FALSE),0)</f>
        <v>57193</v>
      </c>
      <c r="D35" s="37">
        <f>C35</f>
        <v>57193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IFERROR(VLOOKUP(A36,[4]Świętokrzyski!$A$7:$D$100,4,FALSE),0)</f>
        <v>4651</v>
      </c>
      <c r="D36" s="37">
        <f>C36</f>
        <v>4651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392374</v>
      </c>
      <c r="D37" s="32">
        <f>D11+D13+D24+D30</f>
        <v>392374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18123</v>
      </c>
      <c r="D38" s="87">
        <f>D39+D40+D41+D49+D51+D57+D58+D56</f>
        <v>18123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IFERROR(VLOOKUP(A39,[4]Świętokrzyski!$A$7:$D$100,4,FALSE),0)</f>
        <v>562</v>
      </c>
      <c r="D39" s="33">
        <f>C39</f>
        <v>562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IFERROR(VLOOKUP(A40,[4]Świętokrzyski!$A$7:$D$100,4,FALSE),0)</f>
        <v>1703</v>
      </c>
      <c r="D40" s="33">
        <f t="shared" ref="D40:D58" si="3">C40</f>
        <v>1703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61</v>
      </c>
      <c r="D41" s="33">
        <f>D42+D44+D45+D46+D47+D48</f>
        <v>61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IFERROR(VLOOKUP(A42,[4]Świętokrzyski!$A$7:$D$100,4,FALSE),0)</f>
        <v>7</v>
      </c>
      <c r="D42" s="33">
        <f t="shared" si="3"/>
        <v>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IFERROR(VLOOKUP(A43,[4]Świętokrzyski!$A$7:$D$100,4,FALSE),0)</f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IFERROR(VLOOKUP(A44,[4]Świętokrzyski!$A$7:$D$100,4,FALSE),0)</f>
        <v>17</v>
      </c>
      <c r="D44" s="33">
        <f t="shared" si="3"/>
        <v>17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IFERROR(VLOOKUP(A45,[4]Świętokrzyski!$A$7:$D$100,4,FALSE),0)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IFERROR(VLOOKUP(A46,[4]Świętokrzyski!$A$7:$D$100,4,FALSE),0)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IFERROR(VLOOKUP(A47,[4]Świętokrzyski!$A$7:$D$100,4,FALSE),0)</f>
        <v>20</v>
      </c>
      <c r="D47" s="33">
        <f t="shared" si="3"/>
        <v>20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IFERROR(VLOOKUP(A48,[4]Świętokrzyski!$A$7:$D$100,4,FALSE),0)</f>
        <v>17</v>
      </c>
      <c r="D48" s="33">
        <f t="shared" si="3"/>
        <v>17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IFERROR(VLOOKUP(A49,[4]Świętokrzyski!$A$7:$D$100,4,FALSE),0)</f>
        <v>11078</v>
      </c>
      <c r="D49" s="33">
        <f t="shared" si="3"/>
        <v>11078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IFERROR(VLOOKUP(A50,[4]Świętokrzyski!$A$7:$D$100,4,FALSE),0)</f>
        <v>35</v>
      </c>
      <c r="D50" s="33">
        <f t="shared" si="3"/>
        <v>35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2490</v>
      </c>
      <c r="D51" s="29">
        <f>D52+D53+D54+D55</f>
        <v>2490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IFERROR(VLOOKUP(A52,[4]Świętokrzyski!$A$7:$D$100,4,FALSE),0)</f>
        <v>1904</v>
      </c>
      <c r="D52" s="33">
        <f t="shared" si="3"/>
        <v>1904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IFERROR(VLOOKUP(A53,[4]Świętokrzyski!$A$7:$D$100,4,FALSE),0)</f>
        <v>271</v>
      </c>
      <c r="D53" s="33">
        <f t="shared" si="3"/>
        <v>271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IFERROR(VLOOKUP(A54,[4]Świętokrzyski!$A$7:$D$100,4,FALSE),0)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IFERROR(VLOOKUP(A55,[4]Świętokrzyski!$A$7:$D$100,4,FALSE),0)</f>
        <v>315</v>
      </c>
      <c r="D55" s="33">
        <f t="shared" si="3"/>
        <v>315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IFERROR(VLOOKUP(A56,[4]Świętokrzyski!$A$7:$D$100,4,FALSE),0)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IFERROR(VLOOKUP(A57,[4]Świętokrzyski!$A$7:$D$100,4,FALSE),0)</f>
        <v>2050</v>
      </c>
      <c r="D57" s="33">
        <f t="shared" si="3"/>
        <v>2050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IFERROR(VLOOKUP(A58,[4]Świętokrzyski!$A$7:$D$100,4,FALSE),0)</f>
        <v>179</v>
      </c>
      <c r="D58" s="33">
        <f t="shared" si="3"/>
        <v>179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10839</v>
      </c>
      <c r="D59" s="107">
        <f>D60+D61+D62+D63</f>
        <v>9100</v>
      </c>
      <c r="E59" s="83">
        <f t="shared" si="0"/>
        <v>-1739</v>
      </c>
      <c r="F59" s="108">
        <f t="shared" si="1"/>
        <v>0.83960000000000001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IFERROR(VLOOKUP(A60,[4]Świętokrzyski!$A$7:$D$100,4,FALSE),0)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IFERROR(VLOOKUP(A61,[4]Świętokrzyski!$A$7:$D$100,4,FALSE),0)</f>
        <v>10239</v>
      </c>
      <c r="D61" s="33">
        <f>C61-6739</f>
        <v>3500</v>
      </c>
      <c r="E61" s="29">
        <f t="shared" si="0"/>
        <v>-6739</v>
      </c>
      <c r="F61" s="39">
        <f t="shared" si="1"/>
        <v>0.34179999999999999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IFERROR(VLOOKUP(A62,[4]Świętokrzyski!$A$7:$D$100,4,FALSE),0)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IFERROR(VLOOKUP(A63,[4]Świętokrzyski!$A$7:$D$100,4,FALSE),0)</f>
        <v>600</v>
      </c>
      <c r="D63" s="33">
        <f>C63+5000</f>
        <v>5600</v>
      </c>
      <c r="E63" s="29">
        <f t="shared" si="0"/>
        <v>5000</v>
      </c>
      <c r="F63" s="39">
        <f t="shared" si="1"/>
        <v>9.3332999999999995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IFERROR(VLOOKUP(A64,[4]Świętokrzyski!$A$7:$D$100,4,FALSE),0)</f>
        <v>3885</v>
      </c>
      <c r="D64" s="107">
        <f>C64-3585</f>
        <v>300</v>
      </c>
      <c r="E64" s="83">
        <f t="shared" si="0"/>
        <v>-3585</v>
      </c>
      <c r="F64" s="108">
        <f t="shared" si="1"/>
        <v>7.7200000000000005E-2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Świętokrzyski!A1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2471663</v>
      </c>
      <c r="D6" s="102">
        <f>D7+D8+D9+D14+D15+D16+D17+D18+D19+D20+D21+D22+D23+D24+D28+D29+D31+D32+D33</f>
        <v>2471663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IFERROR(VLOOKUP(A7,[4]WarmińskoMazurski!$A$7:$D$100,4,FALSE),0)</f>
        <v>343969</v>
      </c>
      <c r="D7" s="13">
        <f>C7</f>
        <v>343969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IFERROR(VLOOKUP(A8,[4]WarmińskoMazurski!$A$7:$D$100,4,FALSE),0)</f>
        <v>206946</v>
      </c>
      <c r="D8" s="13">
        <f>C8</f>
        <v>206946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IFERROR(VLOOKUP(A9,[4]WarmińskoMazurski!$A$7:$D$100,4,FALSE),0)</f>
        <v>1188583</v>
      </c>
      <c r="D9" s="13">
        <f t="shared" ref="D9:D33" si="2">C9</f>
        <v>1188583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IFERROR(VLOOKUP(A10,[4]WarmińskoMazurski!$A$7:$D$100,4,FALSE),0)</f>
        <v>100258</v>
      </c>
      <c r="D10" s="13">
        <f t="shared" si="2"/>
        <v>100258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IFERROR(VLOOKUP(A11,[4]WarmińskoMazurski!$A$7:$D$100,4,FALSE),0)</f>
        <v>90427</v>
      </c>
      <c r="D11" s="13">
        <f t="shared" si="2"/>
        <v>90427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IFERROR(VLOOKUP(A12,[4]WarmińskoMazurski!$A$7:$D$100,4,FALSE),0)</f>
        <v>45913</v>
      </c>
      <c r="D12" s="13">
        <f t="shared" si="2"/>
        <v>45913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IFERROR(VLOOKUP(A13,[4]WarmińskoMazurski!$A$7:$D$100,4,FALSE),0)</f>
        <v>23283</v>
      </c>
      <c r="D13" s="13">
        <f t="shared" si="2"/>
        <v>23283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IFERROR(VLOOKUP(A14,[4]WarmińskoMazurski!$A$7:$D$100,4,FALSE),0)</f>
        <v>91953</v>
      </c>
      <c r="D14" s="13">
        <f t="shared" si="2"/>
        <v>91953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IFERROR(VLOOKUP(A15,[4]WarmińskoMazurski!$A$7:$D$100,4,FALSE),0)</f>
        <v>73998</v>
      </c>
      <c r="D15" s="13">
        <f t="shared" si="2"/>
        <v>73998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IFERROR(VLOOKUP(A16,[4]WarmińskoMazurski!$A$7:$D$100,4,FALSE),0)</f>
        <v>40605</v>
      </c>
      <c r="D16" s="13">
        <f t="shared" si="2"/>
        <v>40605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IFERROR(VLOOKUP(A17,[4]WarmińskoMazurski!$A$7:$D$100,4,FALSE),0)</f>
        <v>16450</v>
      </c>
      <c r="D17" s="13">
        <f t="shared" si="2"/>
        <v>16450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IFERROR(VLOOKUP(A18,[4]WarmińskoMazurski!$A$7:$D$100,4,FALSE),0)</f>
        <v>84160</v>
      </c>
      <c r="D18" s="13">
        <f t="shared" si="2"/>
        <v>84160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IFERROR(VLOOKUP(A19,[4]WarmińskoMazurski!$A$7:$D$100,4,FALSE),0)</f>
        <v>20876</v>
      </c>
      <c r="D19" s="13">
        <f t="shared" si="2"/>
        <v>20876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IFERROR(VLOOKUP(A20,[4]WarmińskoMazurski!$A$7:$D$100,4,FALSE),0)</f>
        <v>2900</v>
      </c>
      <c r="D20" s="13">
        <f t="shared" si="2"/>
        <v>2900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IFERROR(VLOOKUP(A21,[4]WarmińskoMazurski!$A$7:$D$100,4,FALSE),0)</f>
        <v>5524</v>
      </c>
      <c r="D21" s="13">
        <f t="shared" si="2"/>
        <v>5524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IFERROR(VLOOKUP(A22,[4]WarmińskoMazurski!$A$7:$D$100,4,FALSE),0)</f>
        <v>70619</v>
      </c>
      <c r="D22" s="13">
        <f t="shared" si="2"/>
        <v>70619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IFERROR(VLOOKUP(A23,[4]WarmińskoMazurski!$A$7:$D$100,4,FALSE),0)</f>
        <v>33260</v>
      </c>
      <c r="D23" s="13">
        <f t="shared" si="2"/>
        <v>33260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IFERROR(VLOOKUP(A24,[4]WarmińskoMazurski!$A$7:$D$100,4,FALSE),0)</f>
        <v>285702</v>
      </c>
      <c r="D24" s="31">
        <f>SUM(D25:D27)</f>
        <v>285702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IFERROR(VLOOKUP(A25,[4]WarmińskoMazurski!$A$7:$D$100,4,FALSE),0)</f>
        <v>284829</v>
      </c>
      <c r="D25" s="13">
        <f t="shared" si="2"/>
        <v>284829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IFERROR(VLOOKUP(A26,[4]WarmińskoMazurski!$A$7:$D$100,4,FALSE),0)</f>
        <v>723</v>
      </c>
      <c r="D26" s="13">
        <f t="shared" si="2"/>
        <v>723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IFERROR(VLOOKUP(A27,[4]WarmińskoMazurski!$A$7:$D$100,4,FALSE),0)</f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IFERROR(VLOOKUP(A28,[4]WarmińskoMazurski!$A$7:$D$100,4,FALSE),0)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IFERROR(VLOOKUP(A29,[4]WarmińskoMazurski!$A$7:$D$100,4,FALSE),0)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IFERROR(VLOOKUP(A30,[4]WarmińskoMazurski!$A$7:$D$100,4,FALSE),0)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IFERROR(VLOOKUP(A31,[4]WarmińskoMazurski!$A$7:$D$100,4,FALSE),0)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IFERROR(VLOOKUP(A32,[4]WarmińskoMazurski!$A$7:$D$100,4,FALSE),0)</f>
        <v>6118</v>
      </c>
      <c r="D32" s="13">
        <f t="shared" si="2"/>
        <v>6118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IFERROR(VLOOKUP(A33,[4]WarmińskoMazurski!$A$7:$D$100,4,FALSE),0)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IFERROR(VLOOKUP(A34,[4]WarmińskoMazurski!$A$7:$D$100,4,FALSE),0)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IFERROR(VLOOKUP(A35,[4]WarmińskoMazurski!$A$7:$D$100,4,FALSE),0)</f>
        <v>92791</v>
      </c>
      <c r="D35" s="37">
        <f>C35</f>
        <v>92791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IFERROR(VLOOKUP(A36,[4]WarmińskoMazurski!$A$7:$D$100,4,FALSE),0)</f>
        <v>4125</v>
      </c>
      <c r="D36" s="37">
        <f>C36</f>
        <v>4125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399412</v>
      </c>
      <c r="D37" s="32">
        <f>D11+D13+D24+D30</f>
        <v>399412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19628</v>
      </c>
      <c r="D38" s="87">
        <f>D39+D40+D41+D49+D51+D57+D58+D56</f>
        <v>19628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IFERROR(VLOOKUP(A39,[4]WarmińskoMazurski!$A$7:$D$100,4,FALSE),0)</f>
        <v>803</v>
      </c>
      <c r="D39" s="33">
        <f>C39</f>
        <v>803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IFERROR(VLOOKUP(A40,[4]WarmińskoMazurski!$A$7:$D$100,4,FALSE),0)</f>
        <v>2050</v>
      </c>
      <c r="D40" s="33">
        <f t="shared" ref="D40:D58" si="3">C40</f>
        <v>2050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95</v>
      </c>
      <c r="D41" s="33">
        <f>D42+D44+D45+D46+D47+D48</f>
        <v>95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IFERROR(VLOOKUP(A42,[4]WarmińskoMazurski!$A$7:$D$100,4,FALSE),0)</f>
        <v>30</v>
      </c>
      <c r="D42" s="33">
        <f t="shared" si="3"/>
        <v>30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IFERROR(VLOOKUP(A43,[4]WarmińskoMazurski!$A$7:$D$100,4,FALSE),0)</f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IFERROR(VLOOKUP(A44,[4]WarmińskoMazurski!$A$7:$D$100,4,FALSE),0)</f>
        <v>5</v>
      </c>
      <c r="D44" s="33">
        <f t="shared" si="3"/>
        <v>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IFERROR(VLOOKUP(A45,[4]WarmińskoMazurski!$A$7:$D$100,4,FALSE),0)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IFERROR(VLOOKUP(A46,[4]WarmińskoMazurski!$A$7:$D$100,4,FALSE),0)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IFERROR(VLOOKUP(A47,[4]WarmińskoMazurski!$A$7:$D$100,4,FALSE),0)</f>
        <v>57</v>
      </c>
      <c r="D47" s="33">
        <f t="shared" si="3"/>
        <v>57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IFERROR(VLOOKUP(A48,[4]WarmińskoMazurski!$A$7:$D$100,4,FALSE),0)</f>
        <v>3</v>
      </c>
      <c r="D48" s="33">
        <f t="shared" si="3"/>
        <v>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IFERROR(VLOOKUP(A49,[4]WarmińskoMazurski!$A$7:$D$100,4,FALSE),0)</f>
        <v>11603</v>
      </c>
      <c r="D49" s="33">
        <f t="shared" si="3"/>
        <v>11603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IFERROR(VLOOKUP(A50,[4]WarmińskoMazurski!$A$7:$D$100,4,FALSE),0)</f>
        <v>30</v>
      </c>
      <c r="D50" s="33">
        <f t="shared" si="3"/>
        <v>30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2581</v>
      </c>
      <c r="D51" s="29">
        <f>D52+D53+D54+D55</f>
        <v>2581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IFERROR(VLOOKUP(A52,[4]WarmińskoMazurski!$A$7:$D$100,4,FALSE),0)</f>
        <v>1995</v>
      </c>
      <c r="D52" s="33">
        <f t="shared" si="3"/>
        <v>1995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IFERROR(VLOOKUP(A53,[4]WarmińskoMazurski!$A$7:$D$100,4,FALSE),0)</f>
        <v>283</v>
      </c>
      <c r="D53" s="33">
        <f t="shared" si="3"/>
        <v>283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IFERROR(VLOOKUP(A54,[4]WarmińskoMazurski!$A$7:$D$100,4,FALSE),0)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IFERROR(VLOOKUP(A55,[4]WarmińskoMazurski!$A$7:$D$100,4,FALSE),0)</f>
        <v>303</v>
      </c>
      <c r="D55" s="33">
        <f t="shared" si="3"/>
        <v>303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IFERROR(VLOOKUP(A56,[4]WarmińskoMazurski!$A$7:$D$100,4,FALSE),0)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IFERROR(VLOOKUP(A57,[4]WarmińskoMazurski!$A$7:$D$100,4,FALSE),0)</f>
        <v>2333</v>
      </c>
      <c r="D57" s="33">
        <f t="shared" si="3"/>
        <v>2333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IFERROR(VLOOKUP(A58,[4]WarmińskoMazurski!$A$7:$D$100,4,FALSE),0)</f>
        <v>163</v>
      </c>
      <c r="D58" s="33">
        <f t="shared" si="3"/>
        <v>163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946</v>
      </c>
      <c r="D59" s="107">
        <f>D60+D61+D62+D63</f>
        <v>1365</v>
      </c>
      <c r="E59" s="83">
        <f t="shared" si="0"/>
        <v>419</v>
      </c>
      <c r="F59" s="108">
        <f t="shared" si="1"/>
        <v>1.4429000000000001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IFERROR(VLOOKUP(A60,[4]WarmińskoMazurski!$A$7:$D$100,4,FALSE),0)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IFERROR(VLOOKUP(A61,[4]WarmińskoMazurski!$A$7:$D$100,4,FALSE),0)</f>
        <v>209</v>
      </c>
      <c r="D61" s="33">
        <f>C61+556</f>
        <v>765</v>
      </c>
      <c r="E61" s="29">
        <f t="shared" si="0"/>
        <v>556</v>
      </c>
      <c r="F61" s="39">
        <f t="shared" si="1"/>
        <v>3.6602999999999999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IFERROR(VLOOKUP(A62,[4]WarmińskoMazurski!$A$7:$D$100,4,FALSE),0)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IFERROR(VLOOKUP(A63,[4]WarmińskoMazurski!$A$7:$D$100,4,FALSE),0)</f>
        <v>737</v>
      </c>
      <c r="D63" s="33">
        <f>C63-137</f>
        <v>600</v>
      </c>
      <c r="E63" s="29">
        <f t="shared" si="0"/>
        <v>-137</v>
      </c>
      <c r="F63" s="39">
        <f t="shared" si="1"/>
        <v>0.81410000000000005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IFERROR(VLOOKUP(A64,[4]WarmińskoMazurski!$A$7:$D$100,4,FALSE),0)</f>
        <v>45</v>
      </c>
      <c r="D64" s="107">
        <f>C64+113</f>
        <v>158</v>
      </c>
      <c r="E64" s="83">
        <f t="shared" si="0"/>
        <v>113</v>
      </c>
      <c r="F64" s="108">
        <f t="shared" si="1"/>
        <v>3.5110999999999999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WarmińskoMazurski!A1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6283185</v>
      </c>
      <c r="D6" s="102">
        <f>D7+D8+D9+D14+D15+D16+D17+D18+D19+D20+D21+D22+D23+D24+D28+D29+D31+D32+D33</f>
        <v>6283185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IFERROR(VLOOKUP(A7,[4]Wielkopolski!$A$7:$D$100,4,FALSE),0)</f>
        <v>878908</v>
      </c>
      <c r="D7" s="13">
        <f>C7</f>
        <v>878908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IFERROR(VLOOKUP(A8,[4]Wielkopolski!$A$7:$D$100,4,FALSE),0)</f>
        <v>520079</v>
      </c>
      <c r="D8" s="13">
        <f>C8</f>
        <v>520079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IFERROR(VLOOKUP(A9,[4]Wielkopolski!$A$7:$D$100,4,FALSE),0)</f>
        <v>3072615</v>
      </c>
      <c r="D9" s="13">
        <f t="shared" ref="D9:D33" si="2">C9</f>
        <v>3072615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IFERROR(VLOOKUP(A10,[4]Wielkopolski!$A$7:$D$100,4,FALSE),0)</f>
        <v>271097</v>
      </c>
      <c r="D10" s="13">
        <f t="shared" si="2"/>
        <v>271097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IFERROR(VLOOKUP(A11,[4]Wielkopolski!$A$7:$D$100,4,FALSE),0)</f>
        <v>248420</v>
      </c>
      <c r="D11" s="13">
        <f t="shared" si="2"/>
        <v>248420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IFERROR(VLOOKUP(A12,[4]Wielkopolski!$A$7:$D$100,4,FALSE),0)</f>
        <v>127611</v>
      </c>
      <c r="D12" s="13">
        <f t="shared" si="2"/>
        <v>127611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IFERROR(VLOOKUP(A13,[4]Wielkopolski!$A$7:$D$100,4,FALSE),0)</f>
        <v>58498</v>
      </c>
      <c r="D13" s="13">
        <f t="shared" si="2"/>
        <v>58498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IFERROR(VLOOKUP(A14,[4]Wielkopolski!$A$7:$D$100,4,FALSE),0)</f>
        <v>214338</v>
      </c>
      <c r="D14" s="13">
        <f t="shared" si="2"/>
        <v>214338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IFERROR(VLOOKUP(A15,[4]Wielkopolski!$A$7:$D$100,4,FALSE),0)</f>
        <v>176989</v>
      </c>
      <c r="D15" s="13">
        <f t="shared" si="2"/>
        <v>176989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IFERROR(VLOOKUP(A16,[4]Wielkopolski!$A$7:$D$100,4,FALSE),0)</f>
        <v>82364</v>
      </c>
      <c r="D16" s="13">
        <f t="shared" si="2"/>
        <v>82364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IFERROR(VLOOKUP(A17,[4]Wielkopolski!$A$7:$D$100,4,FALSE),0)</f>
        <v>51212</v>
      </c>
      <c r="D17" s="13">
        <f t="shared" si="2"/>
        <v>51212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IFERROR(VLOOKUP(A18,[4]Wielkopolski!$A$7:$D$100,4,FALSE),0)</f>
        <v>149244</v>
      </c>
      <c r="D18" s="13">
        <f t="shared" si="2"/>
        <v>149244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IFERROR(VLOOKUP(A19,[4]Wielkopolski!$A$7:$D$100,4,FALSE),0)</f>
        <v>62910</v>
      </c>
      <c r="D19" s="13">
        <f t="shared" si="2"/>
        <v>62910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IFERROR(VLOOKUP(A20,[4]Wielkopolski!$A$7:$D$100,4,FALSE),0)</f>
        <v>3400</v>
      </c>
      <c r="D20" s="13">
        <f t="shared" si="2"/>
        <v>3400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IFERROR(VLOOKUP(A21,[4]Wielkopolski!$A$7:$D$100,4,FALSE),0)</f>
        <v>17402</v>
      </c>
      <c r="D21" s="13">
        <f t="shared" si="2"/>
        <v>17402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IFERROR(VLOOKUP(A22,[4]Wielkopolski!$A$7:$D$100,4,FALSE),0)</f>
        <v>194387</v>
      </c>
      <c r="D22" s="13">
        <f t="shared" si="2"/>
        <v>194387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IFERROR(VLOOKUP(A23,[4]Wielkopolski!$A$7:$D$100,4,FALSE),0)</f>
        <v>85500</v>
      </c>
      <c r="D23" s="13">
        <f t="shared" si="2"/>
        <v>85500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IFERROR(VLOOKUP(A24,[4]Wielkopolski!$A$7:$D$100,4,FALSE),0)</f>
        <v>769074</v>
      </c>
      <c r="D24" s="31">
        <f>SUM(D25:D27)</f>
        <v>769074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IFERROR(VLOOKUP(A25,[4]Wielkopolski!$A$7:$D$100,4,FALSE),0)</f>
        <v>766574</v>
      </c>
      <c r="D25" s="13">
        <f t="shared" si="2"/>
        <v>766574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IFERROR(VLOOKUP(A26,[4]Wielkopolski!$A$7:$D$100,4,FALSE),0)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IFERROR(VLOOKUP(A27,[4]Wielkopolski!$A$7:$D$100,4,FALSE),0)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IFERROR(VLOOKUP(A28,[4]Wielkopolski!$A$7:$D$100,4,FALSE),0)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IFERROR(VLOOKUP(A29,[4]Wielkopolski!$A$7:$D$100,4,FALSE),0)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IFERROR(VLOOKUP(A30,[4]Wielkopolski!$A$7:$D$100,4,FALSE),0)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IFERROR(VLOOKUP(A31,[4]Wielkopolski!$A$7:$D$100,4,FALSE),0)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IFERROR(VLOOKUP(A32,[4]Wielkopolski!$A$7:$D$100,4,FALSE),0)</f>
        <v>4763</v>
      </c>
      <c r="D32" s="13">
        <f t="shared" si="2"/>
        <v>4763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IFERROR(VLOOKUP(A33,[4]Wielkopolski!$A$7:$D$100,4,FALSE),0)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IFERROR(VLOOKUP(A34,[4]Wielkopolski!$A$7:$D$100,4,FALSE),0)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IFERROR(VLOOKUP(A35,[4]Wielkopolski!$A$7:$D$100,4,FALSE),0)</f>
        <v>147874</v>
      </c>
      <c r="D35" s="37">
        <f>C35</f>
        <v>147874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IFERROR(VLOOKUP(A36,[4]Wielkopolski!$A$7:$D$100,4,FALSE),0)</f>
        <v>9878</v>
      </c>
      <c r="D36" s="37">
        <f>C36</f>
        <v>9878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1075992</v>
      </c>
      <c r="D37" s="32">
        <f>D11+D13+D24+D30</f>
        <v>1075992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44911</v>
      </c>
      <c r="D38" s="87">
        <f>D39+D40+D41+D49+D51+D57+D58+D56</f>
        <v>44911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IFERROR(VLOOKUP(A39,[4]Wielkopolski!$A$7:$D$100,4,FALSE),0)</f>
        <v>2330</v>
      </c>
      <c r="D39" s="33">
        <f>C39</f>
        <v>2330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IFERROR(VLOOKUP(A40,[4]Wielkopolski!$A$7:$D$100,4,FALSE),0)</f>
        <v>6815</v>
      </c>
      <c r="D40" s="33">
        <f t="shared" ref="D40:D58" si="3">C40</f>
        <v>6815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547</v>
      </c>
      <c r="D41" s="33">
        <f>D42+D44+D45+D46+D47+D48</f>
        <v>547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IFERROR(VLOOKUP(A42,[4]Wielkopolski!$A$7:$D$100,4,FALSE),0)</f>
        <v>51</v>
      </c>
      <c r="D42" s="33">
        <f t="shared" si="3"/>
        <v>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IFERROR(VLOOKUP(A43,[4]Wielkopolski!$A$7:$D$100,4,FALSE),0)</f>
        <v>51</v>
      </c>
      <c r="D43" s="33">
        <f t="shared" si="3"/>
        <v>51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IFERROR(VLOOKUP(A44,[4]Wielkopolski!$A$7:$D$100,4,FALSE),0)</f>
        <v>237</v>
      </c>
      <c r="D44" s="33">
        <f t="shared" si="3"/>
        <v>237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IFERROR(VLOOKUP(A45,[4]Wielkopolski!$A$7:$D$100,4,FALSE),0)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IFERROR(VLOOKUP(A46,[4]Wielkopolski!$A$7:$D$100,4,FALSE),0)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IFERROR(VLOOKUP(A47,[4]Wielkopolski!$A$7:$D$100,4,FALSE),0)</f>
        <v>253</v>
      </c>
      <c r="D47" s="33">
        <f t="shared" si="3"/>
        <v>253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IFERROR(VLOOKUP(A48,[4]Wielkopolski!$A$7:$D$100,4,FALSE),0)</f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IFERROR(VLOOKUP(A49,[4]Wielkopolski!$A$7:$D$100,4,FALSE),0)</f>
        <v>24258</v>
      </c>
      <c r="D49" s="33">
        <f t="shared" si="3"/>
        <v>24258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IFERROR(VLOOKUP(A50,[4]Wielkopolski!$A$7:$D$100,4,FALSE),0)</f>
        <v>123</v>
      </c>
      <c r="D50" s="33">
        <f t="shared" si="3"/>
        <v>123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5402</v>
      </c>
      <c r="D51" s="29">
        <f>D52+D53+D54+D55</f>
        <v>5402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IFERROR(VLOOKUP(A52,[4]Wielkopolski!$A$7:$D$100,4,FALSE),0)</f>
        <v>4170</v>
      </c>
      <c r="D52" s="33">
        <f t="shared" si="3"/>
        <v>4170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IFERROR(VLOOKUP(A53,[4]Wielkopolski!$A$7:$D$100,4,FALSE),0)</f>
        <v>593</v>
      </c>
      <c r="D53" s="33">
        <f t="shared" si="3"/>
        <v>593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IFERROR(VLOOKUP(A54,[4]Wielkopolski!$A$7:$D$100,4,FALSE),0)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IFERROR(VLOOKUP(A55,[4]Wielkopolski!$A$7:$D$100,4,FALSE),0)</f>
        <v>639</v>
      </c>
      <c r="D55" s="33">
        <f t="shared" si="3"/>
        <v>639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IFERROR(VLOOKUP(A56,[4]Wielkopolski!$A$7:$D$100,4,FALSE),0)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IFERROR(VLOOKUP(A57,[4]Wielkopolski!$A$7:$D$100,4,FALSE),0)</f>
        <v>5048</v>
      </c>
      <c r="D57" s="33">
        <f t="shared" si="3"/>
        <v>5048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IFERROR(VLOOKUP(A58,[4]Wielkopolski!$A$7:$D$100,4,FALSE),0)</f>
        <v>511</v>
      </c>
      <c r="D58" s="33">
        <f t="shared" si="3"/>
        <v>511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20800</v>
      </c>
      <c r="D59" s="107">
        <f>D60+D61+D62+D63</f>
        <v>16578</v>
      </c>
      <c r="E59" s="83">
        <f t="shared" si="0"/>
        <v>-4222</v>
      </c>
      <c r="F59" s="108">
        <f t="shared" si="1"/>
        <v>0.79700000000000004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IFERROR(VLOOKUP(A60,[4]Wielkopolski!$A$7:$D$100,4,FALSE),0)</f>
        <v>50</v>
      </c>
      <c r="D60" s="33">
        <f>C60</f>
        <v>50</v>
      </c>
      <c r="E60" s="29" t="str">
        <f t="shared" si="0"/>
        <v>-</v>
      </c>
      <c r="F60" s="39">
        <f t="shared" si="1"/>
        <v>1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IFERROR(VLOOKUP(A61,[4]Wielkopolski!$A$7:$D$100,4,FALSE),0)</f>
        <v>20000</v>
      </c>
      <c r="D61" s="33">
        <f>C61-4672</f>
        <v>15328</v>
      </c>
      <c r="E61" s="29">
        <f t="shared" si="0"/>
        <v>-4672</v>
      </c>
      <c r="F61" s="39">
        <f t="shared" si="1"/>
        <v>0.76639999999999997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IFERROR(VLOOKUP(A62,[4]Wielkopolski!$A$7:$D$100,4,FALSE),0)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IFERROR(VLOOKUP(A63,[4]Wielkopolski!$A$7:$D$100,4,FALSE),0)</f>
        <v>750</v>
      </c>
      <c r="D63" s="33">
        <f>C63+450</f>
        <v>1200</v>
      </c>
      <c r="E63" s="29">
        <f t="shared" si="0"/>
        <v>450</v>
      </c>
      <c r="F63" s="39">
        <f t="shared" si="1"/>
        <v>1.6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IFERROR(VLOOKUP(A64,[4]Wielkopolski!$A$7:$D$100,4,FALSE),0)</f>
        <v>3200</v>
      </c>
      <c r="D64" s="107">
        <v>5510</v>
      </c>
      <c r="E64" s="83">
        <f t="shared" si="0"/>
        <v>2310</v>
      </c>
      <c r="F64" s="108">
        <f t="shared" si="1"/>
        <v>1.7219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.28515625" style="1" customWidth="1"/>
    <col min="7" max="16384" width="9.140625" style="1"/>
  </cols>
  <sheetData>
    <row r="1" spans="1:6" s="20" customFormat="1" ht="46.5" customHeight="1" x14ac:dyDescent="0.2">
      <c r="A1" s="111" t="str">
        <f>Wielkopolski!A1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3046485</v>
      </c>
      <c r="D6" s="102">
        <f>D7+D8+D9+D14+D15+D16+D17+D18+D19+D20+D21+D22+D23+D24+D28+D29+D31+D32+D33</f>
        <v>3046485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IFERROR(VLOOKUP(A7,[4]Zachodniopomorski!$A$7:$D$100,4,FALSE),0)</f>
        <v>415236</v>
      </c>
      <c r="D7" s="13">
        <f>C7</f>
        <v>415236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IFERROR(VLOOKUP(A8,[4]Zachodniopomorski!$A$7:$D$100,4,FALSE),0)</f>
        <v>257318</v>
      </c>
      <c r="D8" s="13">
        <f>C8</f>
        <v>257318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IFERROR(VLOOKUP(A9,[4]Zachodniopomorski!$A$7:$D$100,4,FALSE),0)</f>
        <v>1525603</v>
      </c>
      <c r="D9" s="13">
        <f t="shared" ref="D9:D33" si="2">C9</f>
        <v>1525603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IFERROR(VLOOKUP(A10,[4]Zachodniopomorski!$A$7:$D$100,4,FALSE),0)</f>
        <v>133516</v>
      </c>
      <c r="D10" s="13">
        <f t="shared" si="2"/>
        <v>133516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IFERROR(VLOOKUP(A11,[4]Zachodniopomorski!$A$7:$D$100,4,FALSE),0)</f>
        <v>122516</v>
      </c>
      <c r="D11" s="13">
        <f t="shared" si="2"/>
        <v>122516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IFERROR(VLOOKUP(A12,[4]Zachodniopomorski!$A$7:$D$100,4,FALSE),0)</f>
        <v>60500</v>
      </c>
      <c r="D12" s="13">
        <f t="shared" si="2"/>
        <v>60500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IFERROR(VLOOKUP(A13,[4]Zachodniopomorski!$A$7:$D$100,4,FALSE),0)</f>
        <v>27500</v>
      </c>
      <c r="D13" s="13">
        <f t="shared" si="2"/>
        <v>27500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IFERROR(VLOOKUP(A14,[4]Zachodniopomorski!$A$7:$D$100,4,FALSE),0)</f>
        <v>97795</v>
      </c>
      <c r="D14" s="13">
        <f t="shared" si="2"/>
        <v>97795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IFERROR(VLOOKUP(A15,[4]Zachodniopomorski!$A$7:$D$100,4,FALSE),0)</f>
        <v>76786</v>
      </c>
      <c r="D15" s="13">
        <f t="shared" si="2"/>
        <v>76786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IFERROR(VLOOKUP(A16,[4]Zachodniopomorski!$A$7:$D$100,4,FALSE),0)</f>
        <v>41534</v>
      </c>
      <c r="D16" s="13">
        <f t="shared" si="2"/>
        <v>41534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IFERROR(VLOOKUP(A17,[4]Zachodniopomorski!$A$7:$D$100,4,FALSE),0)</f>
        <v>13864</v>
      </c>
      <c r="D17" s="13">
        <f t="shared" si="2"/>
        <v>13864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IFERROR(VLOOKUP(A18,[4]Zachodniopomorski!$A$7:$D$100,4,FALSE),0)</f>
        <v>86702</v>
      </c>
      <c r="D18" s="13">
        <f t="shared" si="2"/>
        <v>86702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IFERROR(VLOOKUP(A19,[4]Zachodniopomorski!$A$7:$D$100,4,FALSE),0)</f>
        <v>24100</v>
      </c>
      <c r="D19" s="13">
        <f t="shared" si="2"/>
        <v>24100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IFERROR(VLOOKUP(A20,[4]Zachodniopomorski!$A$7:$D$100,4,FALSE),0)</f>
        <v>2440</v>
      </c>
      <c r="D20" s="13">
        <f t="shared" si="2"/>
        <v>2440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IFERROR(VLOOKUP(A21,[4]Zachodniopomorski!$A$7:$D$100,4,FALSE),0)</f>
        <v>9487</v>
      </c>
      <c r="D21" s="13">
        <f t="shared" si="2"/>
        <v>9487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IFERROR(VLOOKUP(A22,[4]Zachodniopomorski!$A$7:$D$100,4,FALSE),0)</f>
        <v>89545</v>
      </c>
      <c r="D22" s="13">
        <f t="shared" si="2"/>
        <v>89545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IFERROR(VLOOKUP(A23,[4]Zachodniopomorski!$A$7:$D$100,4,FALSE),0)</f>
        <v>38000</v>
      </c>
      <c r="D23" s="13">
        <f t="shared" si="2"/>
        <v>38000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IFERROR(VLOOKUP(A24,[4]Zachodniopomorski!$A$7:$D$100,4,FALSE),0)</f>
        <v>360511</v>
      </c>
      <c r="D24" s="31">
        <f>SUM(D25:D27)</f>
        <v>360511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IFERROR(VLOOKUP(A25,[4]Zachodniopomorski!$A$7:$D$100,4,FALSE),0)</f>
        <v>359994</v>
      </c>
      <c r="D25" s="13">
        <f t="shared" si="2"/>
        <v>359994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IFERROR(VLOOKUP(A26,[4]Zachodniopomorski!$A$7:$D$100,4,FALSE),0)</f>
        <v>355</v>
      </c>
      <c r="D26" s="13">
        <f t="shared" si="2"/>
        <v>355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IFERROR(VLOOKUP(A27,[4]Zachodniopomorski!$A$7:$D$100,4,FALSE),0)</f>
        <v>162</v>
      </c>
      <c r="D27" s="13">
        <f t="shared" si="2"/>
        <v>162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IFERROR(VLOOKUP(A28,[4]Zachodniopomorski!$A$7:$D$100,4,FALSE),0)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IFERROR(VLOOKUP(A29,[4]Zachodniopomorski!$A$7:$D$100,4,FALSE),0)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IFERROR(VLOOKUP(A30,[4]Zachodniopomorski!$A$7:$D$100,4,FALSE),0)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IFERROR(VLOOKUP(A31,[4]Zachodniopomorski!$A$7:$D$100,4,FALSE),0)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IFERROR(VLOOKUP(A32,[4]Zachodniopomorski!$A$7:$D$100,4,FALSE),0)</f>
        <v>7564</v>
      </c>
      <c r="D32" s="13">
        <f t="shared" si="2"/>
        <v>7564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IFERROR(VLOOKUP(A33,[4]Zachodniopomorski!$A$7:$D$100,4,FALSE),0)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IFERROR(VLOOKUP(A34,[4]Zachodniopomorski!$A$7:$D$100,4,FALSE),0)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IFERROR(VLOOKUP(A35,[4]Zachodniopomorski!$A$7:$D$100,4,FALSE),0)</f>
        <v>101307</v>
      </c>
      <c r="D35" s="37">
        <f>C35</f>
        <v>101307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IFERROR(VLOOKUP(A36,[4]Zachodniopomorski!$A$7:$D$100,4,FALSE),0)</f>
        <v>5102</v>
      </c>
      <c r="D36" s="37">
        <f>C36</f>
        <v>5102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510527</v>
      </c>
      <c r="D37" s="32">
        <f>D11+D13+D24+D30</f>
        <v>510527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21707</v>
      </c>
      <c r="D38" s="87">
        <f>D39+D40+D41+D49+D51+D57+D58+D56</f>
        <v>21707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IFERROR(VLOOKUP(A39,[4]Zachodniopomorski!$A$7:$D$100,4,FALSE),0)</f>
        <v>800</v>
      </c>
      <c r="D39" s="33">
        <f>C39</f>
        <v>800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IFERROR(VLOOKUP(A40,[4]Zachodniopomorski!$A$7:$D$100,4,FALSE),0)</f>
        <v>2690</v>
      </c>
      <c r="D40" s="33">
        <f t="shared" ref="D40:D58" si="3">C40</f>
        <v>2690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203</v>
      </c>
      <c r="D41" s="33">
        <f>D42+D44+D45+D46+D47+D48</f>
        <v>203</v>
      </c>
      <c r="E41" s="38" t="str">
        <f t="shared" si="0"/>
        <v>-</v>
      </c>
      <c r="F41" s="39">
        <f t="shared" si="1"/>
        <v>1</v>
      </c>
    </row>
    <row r="42" spans="1:6" ht="23.25" customHeight="1" x14ac:dyDescent="0.2">
      <c r="A42" s="53" t="s">
        <v>38</v>
      </c>
      <c r="B42" s="46" t="s">
        <v>31</v>
      </c>
      <c r="C42" s="31">
        <f>IFERROR(VLOOKUP(A42,[4]Zachodniopomorski!$A$7:$D$100,4,FALSE),0)</f>
        <v>25</v>
      </c>
      <c r="D42" s="33">
        <f t="shared" si="3"/>
        <v>25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IFERROR(VLOOKUP(A43,[4]Zachodniopomorski!$A$7:$D$100,4,FALSE),0)</f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IFERROR(VLOOKUP(A44,[4]Zachodniopomorski!$A$7:$D$100,4,FALSE),0)</f>
        <v>18</v>
      </c>
      <c r="D44" s="33">
        <f t="shared" si="3"/>
        <v>18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IFERROR(VLOOKUP(A45,[4]Zachodniopomorski!$A$7:$D$100,4,FALSE),0)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IFERROR(VLOOKUP(A46,[4]Zachodniopomorski!$A$7:$D$100,4,FALSE),0)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IFERROR(VLOOKUP(A47,[4]Zachodniopomorski!$A$7:$D$100,4,FALSE),0)</f>
        <v>135</v>
      </c>
      <c r="D47" s="33">
        <f t="shared" si="3"/>
        <v>135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IFERROR(VLOOKUP(A48,[4]Zachodniopomorski!$A$7:$D$100,4,FALSE),0)</f>
        <v>25</v>
      </c>
      <c r="D48" s="33">
        <f t="shared" si="3"/>
        <v>25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IFERROR(VLOOKUP(A49,[4]Zachodniopomorski!$A$7:$D$100,4,FALSE),0)</f>
        <v>13626</v>
      </c>
      <c r="D49" s="33">
        <f t="shared" si="3"/>
        <v>13626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IFERROR(VLOOKUP(A50,[4]Zachodniopomorski!$A$7:$D$100,4,FALSE),0)</f>
        <v>50</v>
      </c>
      <c r="D50" s="33">
        <f t="shared" si="3"/>
        <v>50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3043</v>
      </c>
      <c r="D51" s="29">
        <f>D52+D53+D54+D55</f>
        <v>3043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IFERROR(VLOOKUP(A52,[4]Zachodniopomorski!$A$7:$D$100,4,FALSE),0)</f>
        <v>2342</v>
      </c>
      <c r="D52" s="33">
        <f t="shared" si="3"/>
        <v>2342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IFERROR(VLOOKUP(A53,[4]Zachodniopomorski!$A$7:$D$100,4,FALSE),0)</f>
        <v>334</v>
      </c>
      <c r="D53" s="33">
        <f t="shared" si="3"/>
        <v>334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IFERROR(VLOOKUP(A54,[4]Zachodniopomorski!$A$7:$D$100,4,FALSE),0)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IFERROR(VLOOKUP(A55,[4]Zachodniopomorski!$A$7:$D$100,4,FALSE),0)</f>
        <v>367</v>
      </c>
      <c r="D55" s="33">
        <f t="shared" si="3"/>
        <v>367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IFERROR(VLOOKUP(A56,[4]Zachodniopomorski!$A$7:$D$100,4,FALSE),0)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IFERROR(VLOOKUP(A57,[4]Zachodniopomorski!$A$7:$D$100,4,FALSE),0)</f>
        <v>1200</v>
      </c>
      <c r="D57" s="33">
        <f t="shared" si="3"/>
        <v>1200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IFERROR(VLOOKUP(A58,[4]Zachodniopomorski!$A$7:$D$100,4,FALSE),0)</f>
        <v>145</v>
      </c>
      <c r="D58" s="33">
        <f t="shared" si="3"/>
        <v>145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1099</v>
      </c>
      <c r="D59" s="107">
        <f>D60+D61+D62+D63</f>
        <v>1613</v>
      </c>
      <c r="E59" s="83">
        <f t="shared" si="0"/>
        <v>514</v>
      </c>
      <c r="F59" s="108">
        <f t="shared" si="1"/>
        <v>1.4677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IFERROR(VLOOKUP(A60,[4]Zachodniopomorski!$A$7:$D$100,4,FALSE),0)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IFERROR(VLOOKUP(A61,[4]Zachodniopomorski!$A$7:$D$100,4,FALSE),0)</f>
        <v>688</v>
      </c>
      <c r="D61" s="33">
        <f>C61+112</f>
        <v>800</v>
      </c>
      <c r="E61" s="29">
        <f t="shared" si="0"/>
        <v>112</v>
      </c>
      <c r="F61" s="39">
        <f t="shared" si="1"/>
        <v>1.1628000000000001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IFERROR(VLOOKUP(A62,[4]Zachodniopomorski!$A$7:$D$100,4,FALSE),0)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IFERROR(VLOOKUP(A63,[4]Zachodniopomorski!$A$7:$D$100,4,FALSE),0)</f>
        <v>411</v>
      </c>
      <c r="D63" s="33">
        <f>C63+412-10</f>
        <v>813</v>
      </c>
      <c r="E63" s="29">
        <f t="shared" si="0"/>
        <v>402</v>
      </c>
      <c r="F63" s="39">
        <f t="shared" si="1"/>
        <v>1.9781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IFERROR(VLOOKUP(A64,[4]Zachodniopomorski!$A$7:$D$100,4,FALSE),0)</f>
        <v>183</v>
      </c>
      <c r="D64" s="107">
        <f>C64-112+10</f>
        <v>81</v>
      </c>
      <c r="E64" s="83">
        <f t="shared" si="0"/>
        <v>-102</v>
      </c>
      <c r="F64" s="108">
        <f t="shared" si="1"/>
        <v>0.44259999999999999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B56" sqref="B56"/>
      <selection pane="topRight" activeCell="B56" sqref="B56"/>
      <selection pane="bottomLeft" activeCell="B56" sqref="B56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920939</v>
      </c>
      <c r="D6" s="102">
        <f>D7+D8+D9+D14+D15+D16+D17+D18+D19+D20+D21+D22+D23+D24+D28+D29+D31+D32+D33</f>
        <v>920939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IFERROR(VLOOKUP(A7,[4]CENTRALA!$A$7:$D$100,4,FALSE),0)</f>
        <v>0</v>
      </c>
      <c r="D7" s="13">
        <f>C7</f>
        <v>0</v>
      </c>
      <c r="E7" s="38" t="str">
        <f t="shared" ref="E7:E64" si="0">IF(C7=D7,"-",D7-C7)</f>
        <v>-</v>
      </c>
      <c r="F7" s="39" t="str">
        <f t="shared" ref="F7:F64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f>IFERROR(VLOOKUP(A8,[4]CENTRALA!$A$7:$D$100,4,FALSE),0)</f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f>IFERROR(VLOOKUP(A9,[4]CENTRALA!$A$7:$D$100,4,FALSE),0)</f>
        <v>0</v>
      </c>
      <c r="D9" s="13">
        <f t="shared" ref="D9:D33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IFERROR(VLOOKUP(A10,[4]CENTRALA!$A$7:$D$100,4,FALSE),0)</f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IFERROR(VLOOKUP(A11,[4]CENTRALA!$A$7:$D$100,4,FALSE),0)</f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IFERROR(VLOOKUP(A12,[4]CENTRALA!$A$7:$D$100,4,FALSE),0)</f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IFERROR(VLOOKUP(A13,[4]CENTRALA!$A$7:$D$100,4,FALSE),0)</f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IFERROR(VLOOKUP(A14,[4]CENTRALA!$A$7:$D$100,4,FALSE),0)</f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IFERROR(VLOOKUP(A15,[4]CENTRALA!$A$7:$D$100,4,FALSE),0)</f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IFERROR(VLOOKUP(A16,[4]CENTRALA!$A$7:$D$100,4,FALSE),0)</f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IFERROR(VLOOKUP(A17,[4]CENTRALA!$A$7:$D$100,4,FALSE),0)</f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IFERROR(VLOOKUP(A18,[4]CENTRALA!$A$7:$D$100,4,FALSE),0)</f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IFERROR(VLOOKUP(A19,[4]CENTRALA!$A$7:$D$100,4,FALSE),0)</f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IFERROR(VLOOKUP(A20,[4]CENTRALA!$A$7:$D$100,4,FALSE),0)</f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IFERROR(VLOOKUP(A21,[4]CENTRALA!$A$7:$D$100,4,FALSE),0)</f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IFERROR(VLOOKUP(A22,[4]CENTRALA!$A$7:$D$100,4,FALSE),0)</f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IFERROR(VLOOKUP(A23,[4]CENTRALA!$A$7:$D$100,4,FALSE),0)</f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IFERROR(VLOOKUP(A24,[4]CENTRALA!$A$7:$D$100,4,FALSE),0)</f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f>IFERROR(VLOOKUP(A25,[4]CENTRALA!$A$7:$D$100,4,FALSE),0)</f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IFERROR(VLOOKUP(A26,[4]CENTRALA!$A$7:$D$100,4,FALSE),0)</f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f>IFERROR(VLOOKUP(A27,[4]CENTRALA!$A$7:$D$100,4,FALSE),0)</f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IFERROR(VLOOKUP(A28,[4]CENTRALA!$A$7:$D$100,4,FALSE),0)</f>
        <v>535079</v>
      </c>
      <c r="D28" s="13">
        <f t="shared" si="2"/>
        <v>535079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IFERROR(VLOOKUP(A29,[4]CENTRALA!$A$7:$D$100,4,FALSE),0)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IFERROR(VLOOKUP(A30,[4]CENTRALA!$A$7:$D$100,4,FALSE),0)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IFERROR(VLOOKUP(A31,[4]CENTRALA!$A$7:$D$100,4,FALSE),0)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IFERROR(VLOOKUP(A32,[4]CENTRALA!$A$7:$D$100,4,FALSE),0)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IFERROR(VLOOKUP(A33,[4]CENTRALA!$A$7:$D$100,4,FALSE),0)</f>
        <v>385860</v>
      </c>
      <c r="D33" s="13">
        <f t="shared" si="2"/>
        <v>385860</v>
      </c>
      <c r="E33" s="38" t="str">
        <f>IF(C33=D33,"-",D33-C33)</f>
        <v>-</v>
      </c>
      <c r="F33" s="39">
        <f>IF(C33=0,"-",D33/C33)</f>
        <v>1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IFERROR(VLOOKUP(A34,[4]CENTRALA!$A$7:$D$100,4,FALSE),0)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IFERROR(VLOOKUP(A35,[4]CENTRALA!$A$7:$D$100,4,FALSE),0)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IFERROR(VLOOKUP(A36,[4]CENTRALA!$A$7:$D$100,4,FALSE),0)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0</v>
      </c>
      <c r="D37" s="32">
        <f>D11+D13+D24+D30</f>
        <v>0</v>
      </c>
      <c r="E37" s="7" t="str">
        <f t="shared" si="0"/>
        <v>-</v>
      </c>
      <c r="F37" s="40" t="str">
        <f t="shared" si="1"/>
        <v>-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220067</v>
      </c>
      <c r="D38" s="87">
        <f>D39+D40+D41+D49+D51+D57+D58+D56</f>
        <v>220067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IFERROR(VLOOKUP(A39,[4]CENTRALA!$A$7:$D$100,4,FALSE),0)</f>
        <v>5208</v>
      </c>
      <c r="D39" s="33">
        <f>C39</f>
        <v>5208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IFERROR(VLOOKUP(A40,[4]CENTRALA!$A$7:$D$100,4,FALSE),0)</f>
        <v>106612</v>
      </c>
      <c r="D40" s="33">
        <f t="shared" ref="D40:D58" si="3">C40</f>
        <v>106612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728</v>
      </c>
      <c r="D41" s="33">
        <f>D42+D44+D45+D46+D47+D48</f>
        <v>728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IFERROR(VLOOKUP(A42,[4]CENTRALA!$A$7:$D$100,4,FALSE),0)</f>
        <v>100</v>
      </c>
      <c r="D42" s="33">
        <f t="shared" si="3"/>
        <v>100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IFERROR(VLOOKUP(A43,[4]CENTRALA!$A$7:$D$100,4,FALSE),0)</f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IFERROR(VLOOKUP(A44,[4]CENTRALA!$A$7:$D$100,4,FALSE),0)</f>
        <v>94</v>
      </c>
      <c r="D44" s="33">
        <f t="shared" si="3"/>
        <v>94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IFERROR(VLOOKUP(A45,[4]CENTRALA!$A$7:$D$100,4,FALSE),0)</f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IFERROR(VLOOKUP(A46,[4]CENTRALA!$A$7:$D$100,4,FALSE),0)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IFERROR(VLOOKUP(A47,[4]CENTRALA!$A$7:$D$100,4,FALSE),0)</f>
        <v>402</v>
      </c>
      <c r="D47" s="33">
        <f t="shared" si="3"/>
        <v>402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IFERROR(VLOOKUP(A48,[4]CENTRALA!$A$7:$D$100,4,FALSE),0)</f>
        <v>115</v>
      </c>
      <c r="D48" s="33">
        <f t="shared" si="3"/>
        <v>115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IFERROR(VLOOKUP(A49,[4]CENTRALA!$A$7:$D$100,4,FALSE),0)</f>
        <v>36255</v>
      </c>
      <c r="D49" s="33">
        <f t="shared" si="3"/>
        <v>36255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IFERROR(VLOOKUP(A50,[4]CENTRALA!$A$7:$D$100,4,FALSE),0)</f>
        <v>526</v>
      </c>
      <c r="D50" s="33">
        <f t="shared" si="3"/>
        <v>526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9004</v>
      </c>
      <c r="D51" s="29">
        <f>D52+D53+D54+D55</f>
        <v>9004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IFERROR(VLOOKUP(A52,[4]CENTRALA!$A$7:$D$100,4,FALSE),0)</f>
        <v>6237</v>
      </c>
      <c r="D52" s="33">
        <f t="shared" si="3"/>
        <v>6237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IFERROR(VLOOKUP(A53,[4]CENTRALA!$A$7:$D$100,4,FALSE),0)</f>
        <v>889</v>
      </c>
      <c r="D53" s="33">
        <f t="shared" si="3"/>
        <v>889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IFERROR(VLOOKUP(A54,[4]CENTRALA!$A$7:$D$100,4,FALSE),0)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IFERROR(VLOOKUP(A55,[4]CENTRALA!$A$7:$D$100,4,FALSE),0)</f>
        <v>1878</v>
      </c>
      <c r="D55" s="33">
        <f t="shared" si="3"/>
        <v>1878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IFERROR(VLOOKUP(A56,[4]CENTRALA!$A$7:$D$100,4,FALSE),0)</f>
        <v>50</v>
      </c>
      <c r="D56" s="33">
        <f t="shared" si="3"/>
        <v>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IFERROR(VLOOKUP(A57,[4]CENTRALA!$A$7:$D$100,4,FALSE),0)</f>
        <v>60022</v>
      </c>
      <c r="D57" s="33">
        <f t="shared" si="3"/>
        <v>60022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IFERROR(VLOOKUP(A58,[4]CENTRALA!$A$7:$D$100,4,FALSE),0)</f>
        <v>2188</v>
      </c>
      <c r="D58" s="33">
        <f t="shared" si="3"/>
        <v>2188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66174</v>
      </c>
      <c r="D59" s="107">
        <f>D60+D61+D62+D63</f>
        <v>81147</v>
      </c>
      <c r="E59" s="83">
        <f t="shared" si="0"/>
        <v>14973</v>
      </c>
      <c r="F59" s="108">
        <f t="shared" si="1"/>
        <v>1.2262999999999999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IFERROR(VLOOKUP(A60,[4]CENTRALA!$A$7:$D$100,4,FALSE),0)</f>
        <v>625</v>
      </c>
      <c r="D60" s="33">
        <f>C60-162</f>
        <v>463</v>
      </c>
      <c r="E60" s="29">
        <f t="shared" si="0"/>
        <v>-162</v>
      </c>
      <c r="F60" s="39">
        <f t="shared" si="1"/>
        <v>0.74080000000000001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IFERROR(VLOOKUP(A61,[4]CENTRALA!$A$7:$D$100,4,FALSE),0)</f>
        <v>1182</v>
      </c>
      <c r="D61" s="33">
        <f>C61</f>
        <v>1182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IFERROR(VLOOKUP(A62,[4]CENTRALA!$A$7:$D$100,4,FALSE),0)</f>
        <v>64045</v>
      </c>
      <c r="D62" s="33">
        <f>C62-64045</f>
        <v>0</v>
      </c>
      <c r="E62" s="29">
        <f t="shared" si="0"/>
        <v>-64045</v>
      </c>
      <c r="F62" s="39">
        <f t="shared" si="1"/>
        <v>0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IFERROR(VLOOKUP(A63,[4]CENTRALA!$A$7:$D$100,4,FALSE),0)</f>
        <v>322</v>
      </c>
      <c r="D63" s="33">
        <f>C63+79180</f>
        <v>79502</v>
      </c>
      <c r="E63" s="29">
        <f t="shared" si="0"/>
        <v>79180</v>
      </c>
      <c r="F63" s="39">
        <f t="shared" si="1"/>
        <v>246.9006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IFERROR(VLOOKUP(A64,[4]CENTRALA!$A$7:$D$100,4,FALSE),0)</f>
        <v>30182</v>
      </c>
      <c r="D64" s="107">
        <f>C64-10000</f>
        <v>20182</v>
      </c>
      <c r="E64" s="83">
        <f t="shared" si="0"/>
        <v>-10000</v>
      </c>
      <c r="F64" s="108">
        <f t="shared" si="1"/>
        <v>0.66869999999999996</v>
      </c>
    </row>
    <row r="70" spans="3:3" x14ac:dyDescent="0.2">
      <c r="C70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view="pageBreakPreview" zoomScale="55" zoomScaleNormal="60" zoomScaleSheetLayoutView="55" workbookViewId="0">
      <pane xSplit="2" ySplit="6" topLeftCell="C40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CENTRALA!A1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70093186</v>
      </c>
      <c r="D6" s="102">
        <f>D7+D8+D9+D14+D15+D16+D17+D18+D19+D20+D21+D22+D23+D24+D28+D29+D31+D32+D33</f>
        <v>70093186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9465686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9465686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5749505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5749505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34379582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34379582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3270118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3270118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2979758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2979758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1425552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1425552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659948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659948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2494456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2494456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2222847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2222847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1291868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1291868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455583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455583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1820715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1820715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648357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648357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46699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46699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183294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183294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1935478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1935478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929044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929044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8181865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8181865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8150761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8150761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19388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19388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11716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11716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288207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288207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7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0</v>
      </c>
      <c r="D34" s="37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1870561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1870561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125000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125000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11821571</v>
      </c>
      <c r="D37" s="32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11821571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517355</v>
      </c>
      <c r="D38" s="87">
        <f>D39+D40+D41+D49+D51+D57+D58+D56</f>
        <v>517355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20883</v>
      </c>
      <c r="D39" s="33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20883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66574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66574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3859</v>
      </c>
      <c r="D41" s="33">
        <f>D42+D44+D45+D46+D47+D48</f>
        <v>3859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519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519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516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559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559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3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0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2528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2528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250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300681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300681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1080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1080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67114</v>
      </c>
      <c r="D51" s="29">
        <f>D52+D53+D54+D55</f>
        <v>67114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51473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51473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7185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7185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0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8456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8456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53839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53839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4405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4405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227184</v>
      </c>
      <c r="D59" s="107">
        <f>D60+D61+D62+D63</f>
        <v>296314</v>
      </c>
      <c r="E59" s="83">
        <f t="shared" si="0"/>
        <v>69130</v>
      </c>
      <c r="F59" s="108">
        <f t="shared" si="1"/>
        <v>1.3043</v>
      </c>
    </row>
    <row r="60" spans="1:6" ht="42" customHeight="1" x14ac:dyDescent="0.2">
      <c r="A60" s="51" t="s">
        <v>100</v>
      </c>
      <c r="B60" s="18" t="s">
        <v>113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327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332</v>
      </c>
      <c r="E60" s="29">
        <f t="shared" si="0"/>
        <v>5</v>
      </c>
      <c r="F60" s="39">
        <f t="shared" si="1"/>
        <v>1.0153000000000001</v>
      </c>
    </row>
    <row r="61" spans="1:6" ht="31.5" customHeight="1" x14ac:dyDescent="0.2">
      <c r="A61" s="51" t="s">
        <v>29</v>
      </c>
      <c r="B61" s="18" t="s">
        <v>54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204386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261161</v>
      </c>
      <c r="E61" s="29">
        <f t="shared" si="0"/>
        <v>56775</v>
      </c>
      <c r="F61" s="39">
        <f t="shared" si="1"/>
        <v>1.2778</v>
      </c>
    </row>
    <row r="62" spans="1:6" ht="31.5" customHeight="1" x14ac:dyDescent="0.2">
      <c r="A62" s="51" t="s">
        <v>30</v>
      </c>
      <c r="B62" s="18" t="s">
        <v>102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0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22471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34821</v>
      </c>
      <c r="E63" s="29">
        <f t="shared" si="0"/>
        <v>12350</v>
      </c>
      <c r="F63" s="39">
        <f t="shared" si="1"/>
        <v>1.5496000000000001</v>
      </c>
    </row>
    <row r="64" spans="1:6" ht="32.25" customHeight="1" x14ac:dyDescent="0.2">
      <c r="A64" s="94" t="s">
        <v>135</v>
      </c>
      <c r="B64" s="95" t="s">
        <v>114</v>
      </c>
      <c r="C64" s="107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60084</v>
      </c>
      <c r="D64" s="107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90242</v>
      </c>
      <c r="E64" s="83">
        <f t="shared" si="0"/>
        <v>30158</v>
      </c>
      <c r="F64" s="108">
        <f t="shared" si="1"/>
        <v>1.5019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  <ignoredErrors>
    <ignoredError sqref="C57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4"/>
  <sheetViews>
    <sheetView showGridLines="0" view="pageBreakPreview" zoomScale="55" zoomScaleNormal="70" zoomScaleSheetLayoutView="55" workbookViewId="0">
      <pane ySplit="6" topLeftCell="A40" activePane="bottomLeft" state="frozen"/>
      <selection activeCell="B56" sqref="B56"/>
      <selection pane="bottomLef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'Razem OW'!A1:F1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5264257</v>
      </c>
      <c r="D6" s="102">
        <f>D7+D8+D9+D14+D15+D16+D17+D18+D19+D20+D21+D22+D23+D24+D28+D29+D31+D32+D33</f>
        <v>5264257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IFERROR(VLOOKUP(A7,[4]Dolnośląski!$A$7:$D$100,4,FALSE),0)</f>
        <v>705500</v>
      </c>
      <c r="D7" s="13">
        <f>C7</f>
        <v>705500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IFERROR(VLOOKUP(A8,[4]Dolnośląski!$A$7:$D$100,4,FALSE),0)</f>
        <v>429721</v>
      </c>
      <c r="D8" s="13">
        <f>C8</f>
        <v>429721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IFERROR(VLOOKUP(A9,[4]Dolnośląski!$A$7:$D$100,4,FALSE),0)</f>
        <v>2585707</v>
      </c>
      <c r="D9" s="13">
        <f t="shared" ref="D9:D12" si="2">C9</f>
        <v>2585707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IFERROR(VLOOKUP(A10,[4]Dolnośląski!$A$7:$D$100,4,FALSE),0)</f>
        <v>258085</v>
      </c>
      <c r="D10" s="13">
        <f t="shared" si="2"/>
        <v>258085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IFERROR(VLOOKUP(A11,[4]Dolnośląski!$A$7:$D$100,4,FALSE),0)</f>
        <v>233654</v>
      </c>
      <c r="D11" s="13">
        <f t="shared" si="2"/>
        <v>233654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IFERROR(VLOOKUP(A12,[4]Dolnośląski!$A$7:$D$100,4,FALSE),0)</f>
        <v>114610</v>
      </c>
      <c r="D12" s="13">
        <f t="shared" si="2"/>
        <v>114610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IFERROR(VLOOKUP(A13,[4]Dolnośląski!$A$7:$D$100,4,FALSE),0)</f>
        <v>53319</v>
      </c>
      <c r="D13" s="13">
        <f t="shared" ref="D13:D33" si="3">C13</f>
        <v>53319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IFERROR(VLOOKUP(A14,[4]Dolnośląski!$A$7:$D$100,4,FALSE),0)</f>
        <v>194083</v>
      </c>
      <c r="D14" s="13">
        <f t="shared" si="3"/>
        <v>194083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IFERROR(VLOOKUP(A15,[4]Dolnośląski!$A$7:$D$100,4,FALSE),0)</f>
        <v>172388</v>
      </c>
      <c r="D15" s="13">
        <f t="shared" si="3"/>
        <v>172388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IFERROR(VLOOKUP(A16,[4]Dolnośląski!$A$7:$D$100,4,FALSE),0)</f>
        <v>106353</v>
      </c>
      <c r="D16" s="13">
        <f t="shared" si="3"/>
        <v>106353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IFERROR(VLOOKUP(A17,[4]Dolnośląski!$A$7:$D$100,4,FALSE),0)</f>
        <v>38980</v>
      </c>
      <c r="D17" s="13">
        <f t="shared" si="3"/>
        <v>38980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IFERROR(VLOOKUP(A18,[4]Dolnośląski!$A$7:$D$100,4,FALSE),0)</f>
        <v>124687</v>
      </c>
      <c r="D18" s="13">
        <f t="shared" si="3"/>
        <v>124687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IFERROR(VLOOKUP(A19,[4]Dolnośląski!$A$7:$D$100,4,FALSE),0)</f>
        <v>62862</v>
      </c>
      <c r="D19" s="13">
        <f t="shared" si="3"/>
        <v>62862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IFERROR(VLOOKUP(A20,[4]Dolnośląski!$A$7:$D$100,4,FALSE),0)</f>
        <v>4526</v>
      </c>
      <c r="D20" s="13">
        <f t="shared" si="3"/>
        <v>4526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IFERROR(VLOOKUP(A21,[4]Dolnośląski!$A$7:$D$100,4,FALSE),0)</f>
        <v>14480</v>
      </c>
      <c r="D21" s="13">
        <f t="shared" si="3"/>
        <v>14480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IFERROR(VLOOKUP(A22,[4]Dolnośląski!$A$7:$D$100,4,FALSE),0)</f>
        <v>139540</v>
      </c>
      <c r="D22" s="13">
        <f t="shared" si="3"/>
        <v>139540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IFERROR(VLOOKUP(A23,[4]Dolnośląski!$A$7:$D$100,4,FALSE),0)</f>
        <v>71300</v>
      </c>
      <c r="D23" s="13">
        <f t="shared" si="3"/>
        <v>71300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IFERROR(VLOOKUP(A24,[4]Dolnośląski!$A$7:$D$100,4,FALSE),0)</f>
        <v>607020</v>
      </c>
      <c r="D24" s="31">
        <f>SUM(D25:D27)</f>
        <v>607020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IFERROR(VLOOKUP(A25,[4]Dolnośląski!$A$7:$D$100,4,FALSE),0)</f>
        <v>605020</v>
      </c>
      <c r="D25" s="13">
        <f t="shared" si="3"/>
        <v>605020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IFERROR(VLOOKUP(A26,[4]Dolnośląski!$A$7:$D$100,4,FALSE),0)</f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IFERROR(VLOOKUP(A27,[4]Dolnośląski!$A$7:$D$100,4,FALSE),0)</f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IFERROR(VLOOKUP(A28,[4]Dolnośląski!$A$7:$D$100,4,FALSE),0)</f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IFERROR(VLOOKUP(A29,[4]Dolnośląski!$A$7:$D$100,4,FALSE),0)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IFERROR(VLOOKUP(A30,[4]Dolnośląski!$A$7:$D$100,4,FALSE),0)</f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IFERROR(VLOOKUP(A31,[4]Dolnośląski!$A$7:$D$100,4,FALSE),0)</f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IFERROR(VLOOKUP(A32,[4]Dolnośląski!$A$7:$D$100,4,FALSE),0)</f>
        <v>7110</v>
      </c>
      <c r="D32" s="13">
        <f t="shared" si="3"/>
        <v>7110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IFERROR(VLOOKUP(A33,[4]Dolnośląski!$A$7:$D$100,4,FALSE),0)</f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IFERROR(VLOOKUP(A34,[4]Dolnośląski!$A$7:$D$100,4,FALSE),0)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IFERROR(VLOOKUP(A35,[4]Dolnośląski!$A$7:$D$100,4,FALSE),0)</f>
        <v>141685</v>
      </c>
      <c r="D35" s="37">
        <f>C35</f>
        <v>141685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IFERROR(VLOOKUP(A36,[4]Dolnośląski!$A$7:$D$100,4,FALSE),0)</f>
        <v>9576</v>
      </c>
      <c r="D36" s="37">
        <f>C36</f>
        <v>9576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893993</v>
      </c>
      <c r="D37" s="32">
        <f>D11+D13+D24+D30</f>
        <v>893993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37585</v>
      </c>
      <c r="D38" s="87">
        <f>D39+D40+D41+D49+D51+D57+D58+D56</f>
        <v>37585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IFERROR(VLOOKUP(A39,[4]Dolnośląski!$A$7:$D$100,4,FALSE),0)</f>
        <v>1572</v>
      </c>
      <c r="D39" s="33">
        <f>C39</f>
        <v>1572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IFERROR(VLOOKUP(A40,[4]Dolnośląski!$A$7:$D$100,4,FALSE),0)</f>
        <v>3919</v>
      </c>
      <c r="D40" s="33">
        <f t="shared" ref="D40:D58" si="4">C40</f>
        <v>3919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346</v>
      </c>
      <c r="D41" s="33">
        <f>D42+D44+D45+D46+D47+D48</f>
        <v>346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IFERROR(VLOOKUP(A42,[4]Dolnośląski!$A$7:$D$100,4,FALSE),0)</f>
        <v>53</v>
      </c>
      <c r="D42" s="33">
        <f t="shared" si="4"/>
        <v>53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IFERROR(VLOOKUP(A43,[4]Dolnośląski!$A$7:$D$100,4,FALSE),0)</f>
        <v>53</v>
      </c>
      <c r="D43" s="33">
        <f t="shared" si="4"/>
        <v>53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IFERROR(VLOOKUP(A44,[4]Dolnośląski!$A$7:$D$100,4,FALSE),0)</f>
        <v>65</v>
      </c>
      <c r="D44" s="33">
        <f t="shared" si="4"/>
        <v>65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IFERROR(VLOOKUP(A45,[4]Dolnośląski!$A$7:$D$100,4,FALSE),0)</f>
        <v>1</v>
      </c>
      <c r="D45" s="33">
        <f t="shared" si="4"/>
        <v>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IFERROR(VLOOKUP(A46,[4]Dolnośląski!$A$7:$D$100,4,FALSE),0)</f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IFERROR(VLOOKUP(A47,[4]Dolnośląski!$A$7:$D$100,4,FALSE),0)</f>
        <v>226</v>
      </c>
      <c r="D47" s="33">
        <f t="shared" si="4"/>
        <v>226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IFERROR(VLOOKUP(A48,[4]Dolnośląski!$A$7:$D$100,4,FALSE),0)</f>
        <v>1</v>
      </c>
      <c r="D48" s="33">
        <f t="shared" si="4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IFERROR(VLOOKUP(A49,[4]Dolnośląski!$A$7:$D$100,4,FALSE),0)</f>
        <v>21733</v>
      </c>
      <c r="D49" s="33">
        <f t="shared" si="4"/>
        <v>21733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IFERROR(VLOOKUP(A50,[4]Dolnośląski!$A$7:$D$100,4,FALSE),0)</f>
        <v>100</v>
      </c>
      <c r="D50" s="33">
        <f t="shared" si="4"/>
        <v>100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4848</v>
      </c>
      <c r="D51" s="29">
        <f>D52+D53+D54+D55</f>
        <v>4848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IFERROR(VLOOKUP(A52,[4]Dolnośląski!$A$7:$D$100,4,FALSE),0)</f>
        <v>3593</v>
      </c>
      <c r="D52" s="33">
        <f t="shared" si="4"/>
        <v>3593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IFERROR(VLOOKUP(A53,[4]Dolnośląski!$A$7:$D$100,4,FALSE),0)</f>
        <v>439</v>
      </c>
      <c r="D53" s="33">
        <f t="shared" si="4"/>
        <v>439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IFERROR(VLOOKUP(A54,[4]Dolnośląski!$A$7:$D$100,4,FALSE),0)</f>
        <v>0</v>
      </c>
      <c r="D54" s="33">
        <f t="shared" si="4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IFERROR(VLOOKUP(A55,[4]Dolnośląski!$A$7:$D$100,4,FALSE),0)</f>
        <v>816</v>
      </c>
      <c r="D55" s="33">
        <f t="shared" si="4"/>
        <v>816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IFERROR(VLOOKUP(A56,[4]Dolnośląski!$A$7:$D$100,4,FALSE),0)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IFERROR(VLOOKUP(A57,[4]Dolnośląski!$A$7:$D$100,4,FALSE),0)</f>
        <v>4925</v>
      </c>
      <c r="D57" s="33">
        <f t="shared" si="4"/>
        <v>4925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IFERROR(VLOOKUP(A58,[4]Dolnośląski!$A$7:$D$100,4,FALSE),0)</f>
        <v>242</v>
      </c>
      <c r="D58" s="33">
        <f t="shared" si="4"/>
        <v>242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17712</v>
      </c>
      <c r="D59" s="107">
        <f>D60+D61+D62+D63</f>
        <v>7879</v>
      </c>
      <c r="E59" s="83">
        <f t="shared" si="0"/>
        <v>-9833</v>
      </c>
      <c r="F59" s="108">
        <f t="shared" si="1"/>
        <v>0.44479999999999997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IFERROR(VLOOKUP(A60,[4]Dolnośląski!$A$7:$D$100,4,FALSE),0)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IFERROR(VLOOKUP(A61,[4]Dolnośląski!$A$7:$D$100,4,FALSE),0)</f>
        <v>16052</v>
      </c>
      <c r="D61" s="33">
        <f>C61-12141</f>
        <v>3911</v>
      </c>
      <c r="E61" s="29">
        <f t="shared" si="0"/>
        <v>-12141</v>
      </c>
      <c r="F61" s="39">
        <f t="shared" si="1"/>
        <v>0.24360000000000001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IFERROR(VLOOKUP(A62,[4]Dolnośląski!$A$7:$D$100,4,FALSE),0)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IFERROR(VLOOKUP(A63,[4]Dolnośląski!$A$7:$D$100,4,FALSE),0)</f>
        <v>1660</v>
      </c>
      <c r="D63" s="33">
        <f>C63+2308</f>
        <v>3968</v>
      </c>
      <c r="E63" s="29">
        <f t="shared" si="0"/>
        <v>2308</v>
      </c>
      <c r="F63" s="39">
        <f t="shared" si="1"/>
        <v>2.3904000000000001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IFERROR(VLOOKUP(A64,[4]Dolnośląski!$A$7:$D$100,4,FALSE),0)</f>
        <v>1981</v>
      </c>
      <c r="D64" s="107">
        <f>C64+867</f>
        <v>2848</v>
      </c>
      <c r="E64" s="83">
        <f t="shared" si="0"/>
        <v>867</v>
      </c>
      <c r="F64" s="108">
        <f t="shared" si="1"/>
        <v>1.4377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Dolnośląski!A1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3768274</v>
      </c>
      <c r="D6" s="102">
        <f>D7+D8+D9+D14+D15+D16+D17+D18+D19+D20+D21+D22+D23+D24+D28+D29+D31+D32+D33</f>
        <v>3768274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IFERROR(VLOOKUP(A7,[4]KujawskoPomorski!$A$7:$D$100,4,FALSE),0)</f>
        <v>511745</v>
      </c>
      <c r="D7" s="13">
        <f>C7</f>
        <v>511745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IFERROR(VLOOKUP(A8,[4]KujawskoPomorski!$A$7:$D$100,4,FALSE),0)</f>
        <v>294929</v>
      </c>
      <c r="D8" s="13">
        <f>C8</f>
        <v>294929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IFERROR(VLOOKUP(A9,[4]KujawskoPomorski!$A$7:$D$100,4,FALSE),0)</f>
        <v>1860580</v>
      </c>
      <c r="D9" s="13">
        <f t="shared" ref="D9:D33" si="2">C9</f>
        <v>1860580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IFERROR(VLOOKUP(A10,[4]KujawskoPomorski!$A$7:$D$100,4,FALSE),0)</f>
        <v>163118</v>
      </c>
      <c r="D10" s="13">
        <f t="shared" si="2"/>
        <v>163118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IFERROR(VLOOKUP(A11,[4]KujawskoPomorski!$A$7:$D$100,4,FALSE),0)</f>
        <v>146776</v>
      </c>
      <c r="D11" s="13">
        <f t="shared" si="2"/>
        <v>146776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IFERROR(VLOOKUP(A12,[4]KujawskoPomorski!$A$7:$D$100,4,FALSE),0)</f>
        <v>72829</v>
      </c>
      <c r="D12" s="13">
        <f t="shared" si="2"/>
        <v>72829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IFERROR(VLOOKUP(A13,[4]KujawskoPomorski!$A$7:$D$100,4,FALSE),0)</f>
        <v>37467</v>
      </c>
      <c r="D13" s="13">
        <f t="shared" si="2"/>
        <v>37467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IFERROR(VLOOKUP(A14,[4]KujawskoPomorski!$A$7:$D$100,4,FALSE),0)</f>
        <v>129507</v>
      </c>
      <c r="D14" s="13">
        <f t="shared" si="2"/>
        <v>129507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IFERROR(VLOOKUP(A15,[4]KujawskoPomorski!$A$7:$D$100,4,FALSE),0)</f>
        <v>100705</v>
      </c>
      <c r="D15" s="13">
        <f t="shared" si="2"/>
        <v>100705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IFERROR(VLOOKUP(A16,[4]KujawskoPomorski!$A$7:$D$100,4,FALSE),0)</f>
        <v>57588</v>
      </c>
      <c r="D16" s="13">
        <f t="shared" si="2"/>
        <v>57588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IFERROR(VLOOKUP(A17,[4]KujawskoPomorski!$A$7:$D$100,4,FALSE),0)</f>
        <v>31067</v>
      </c>
      <c r="D17" s="13">
        <f t="shared" si="2"/>
        <v>31067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IFERROR(VLOOKUP(A18,[4]KujawskoPomorski!$A$7:$D$100,4,FALSE),0)</f>
        <v>97854</v>
      </c>
      <c r="D18" s="13">
        <f t="shared" si="2"/>
        <v>97854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IFERROR(VLOOKUP(A19,[4]KujawskoPomorski!$A$7:$D$100,4,FALSE),0)</f>
        <v>34000</v>
      </c>
      <c r="D19" s="13">
        <f t="shared" si="2"/>
        <v>34000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IFERROR(VLOOKUP(A20,[4]KujawskoPomorski!$A$7:$D$100,4,FALSE),0)</f>
        <v>2763</v>
      </c>
      <c r="D20" s="13">
        <f t="shared" si="2"/>
        <v>2763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IFERROR(VLOOKUP(A21,[4]KujawskoPomorski!$A$7:$D$100,4,FALSE),0)</f>
        <v>10557</v>
      </c>
      <c r="D21" s="13">
        <f t="shared" si="2"/>
        <v>10557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IFERROR(VLOOKUP(A22,[4]KujawskoPomorski!$A$7:$D$100,4,FALSE),0)</f>
        <v>112165</v>
      </c>
      <c r="D22" s="13">
        <f t="shared" si="2"/>
        <v>112165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IFERROR(VLOOKUP(A23,[4]KujawskoPomorski!$A$7:$D$100,4,FALSE),0)</f>
        <v>50543</v>
      </c>
      <c r="D23" s="13">
        <f t="shared" si="2"/>
        <v>50543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IFERROR(VLOOKUP(A24,[4]KujawskoPomorski!$A$7:$D$100,4,FALSE),0)</f>
        <v>469389</v>
      </c>
      <c r="D24" s="31">
        <f>SUM(D25:D27)</f>
        <v>469389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IFERROR(VLOOKUP(A25,[4]KujawskoPomorski!$A$7:$D$100,4,FALSE),0)</f>
        <v>468563</v>
      </c>
      <c r="D25" s="13">
        <f t="shared" si="2"/>
        <v>468563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IFERROR(VLOOKUP(A26,[4]KujawskoPomorski!$A$7:$D$100,4,FALSE),0)</f>
        <v>559</v>
      </c>
      <c r="D26" s="13">
        <f t="shared" si="2"/>
        <v>559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IFERROR(VLOOKUP(A27,[4]KujawskoPomorski!$A$7:$D$100,4,FALSE),0)</f>
        <v>267</v>
      </c>
      <c r="D27" s="13">
        <f t="shared" si="2"/>
        <v>267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IFERROR(VLOOKUP(A28,[4]KujawskoPomorski!$A$7:$D$100,4,FALSE),0)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IFERROR(VLOOKUP(A29,[4]KujawskoPomorski!$A$7:$D$100,4,FALSE),0)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IFERROR(VLOOKUP(A30,[4]KujawskoPomorski!$A$7:$D$100,4,FALSE),0)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IFERROR(VLOOKUP(A31,[4]KujawskoPomorski!$A$7:$D$100,4,FALSE),0)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IFERROR(VLOOKUP(A32,[4]KujawskoPomorski!$A$7:$D$100,4,FALSE),0)</f>
        <v>4882</v>
      </c>
      <c r="D32" s="13">
        <f t="shared" si="2"/>
        <v>4882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IFERROR(VLOOKUP(A33,[4]KujawskoPomorski!$A$7:$D$100,4,FALSE),0)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IFERROR(VLOOKUP(A34,[4]KujawskoPomorski!$A$7:$D$100,4,FALSE),0)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IFERROR(VLOOKUP(A35,[4]KujawskoPomorski!$A$7:$D$100,4,FALSE),0)</f>
        <v>111000</v>
      </c>
      <c r="D35" s="37">
        <f>C35</f>
        <v>111000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IFERROR(VLOOKUP(A36,[4]KujawskoPomorski!$A$7:$D$100,4,FALSE),0)</f>
        <v>6290</v>
      </c>
      <c r="D36" s="37">
        <f>C36</f>
        <v>6290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653632</v>
      </c>
      <c r="D37" s="32">
        <f>D11+D13+D24+D30</f>
        <v>653632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29370</v>
      </c>
      <c r="D38" s="87">
        <f>D39+D40+D41+D49+D51+D57+D58+D56</f>
        <v>29370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IFERROR(VLOOKUP(A39,[4]KujawskoPomorski!$A$7:$D$100,4,FALSE),0)</f>
        <v>1151</v>
      </c>
      <c r="D39" s="33">
        <f>C39</f>
        <v>1151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IFERROR(VLOOKUP(A40,[4]KujawskoPomorski!$A$7:$D$100,4,FALSE),0)</f>
        <v>3995</v>
      </c>
      <c r="D40" s="33">
        <f t="shared" ref="D40:D58" si="3">C40</f>
        <v>3995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233</v>
      </c>
      <c r="D41" s="33">
        <f>D42+D44+D45+D46+D47+D48</f>
        <v>233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IFERROR(VLOOKUP(A42,[4]KujawskoPomorski!$A$7:$D$100,4,FALSE),0)</f>
        <v>43</v>
      </c>
      <c r="D42" s="33">
        <f t="shared" si="3"/>
        <v>43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IFERROR(VLOOKUP(A43,[4]KujawskoPomorski!$A$7:$D$100,4,FALSE),0)</f>
        <v>43</v>
      </c>
      <c r="D43" s="33">
        <f t="shared" si="3"/>
        <v>43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IFERROR(VLOOKUP(A44,[4]KujawskoPomorski!$A$7:$D$100,4,FALSE),0)</f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IFERROR(VLOOKUP(A45,[4]KujawskoPomorski!$A$7:$D$100,4,FALSE),0)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IFERROR(VLOOKUP(A46,[4]KujawskoPomorski!$A$7:$D$100,4,FALSE),0)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IFERROR(VLOOKUP(A47,[4]KujawskoPomorski!$A$7:$D$100,4,FALSE),0)</f>
        <v>160</v>
      </c>
      <c r="D47" s="33">
        <f t="shared" si="3"/>
        <v>160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IFERROR(VLOOKUP(A48,[4]KujawskoPomorski!$A$7:$D$100,4,FALSE),0)</f>
        <v>10</v>
      </c>
      <c r="D48" s="33">
        <f t="shared" si="3"/>
        <v>10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IFERROR(VLOOKUP(A49,[4]KujawskoPomorski!$A$7:$D$100,4,FALSE),0)</f>
        <v>15258</v>
      </c>
      <c r="D49" s="33">
        <f t="shared" si="3"/>
        <v>15258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IFERROR(VLOOKUP(A50,[4]KujawskoPomorski!$A$7:$D$100,4,FALSE),0)</f>
        <v>0</v>
      </c>
      <c r="D50" s="33">
        <f t="shared" si="3"/>
        <v>0</v>
      </c>
      <c r="E50" s="38" t="str">
        <f t="shared" si="0"/>
        <v>-</v>
      </c>
      <c r="F50" s="39" t="str">
        <f t="shared" si="1"/>
        <v>-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3403</v>
      </c>
      <c r="D51" s="29">
        <f>D52+D53+D54+D55</f>
        <v>3403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IFERROR(VLOOKUP(A52,[4]KujawskoPomorski!$A$7:$D$100,4,FALSE),0)</f>
        <v>2552</v>
      </c>
      <c r="D52" s="33">
        <f t="shared" si="3"/>
        <v>2552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IFERROR(VLOOKUP(A53,[4]KujawskoPomorski!$A$7:$D$100,4,FALSE),0)</f>
        <v>292</v>
      </c>
      <c r="D53" s="33">
        <f t="shared" si="3"/>
        <v>292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IFERROR(VLOOKUP(A54,[4]KujawskoPomorski!$A$7:$D$100,4,FALSE),0)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IFERROR(VLOOKUP(A55,[4]KujawskoPomorski!$A$7:$D$100,4,FALSE),0)</f>
        <v>559</v>
      </c>
      <c r="D55" s="33">
        <f t="shared" si="3"/>
        <v>559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IFERROR(VLOOKUP(A56,[4]KujawskoPomorski!$A$7:$D$100,4,FALSE),0)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IFERROR(VLOOKUP(A57,[4]KujawskoPomorski!$A$7:$D$100,4,FALSE),0)</f>
        <v>5005</v>
      </c>
      <c r="D57" s="33">
        <f t="shared" si="3"/>
        <v>5005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IFERROR(VLOOKUP(A58,[4]KujawskoPomorski!$A$7:$D$100,4,FALSE),0)</f>
        <v>325</v>
      </c>
      <c r="D58" s="33">
        <f t="shared" si="3"/>
        <v>325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40101</v>
      </c>
      <c r="D59" s="107">
        <f>D60+D61+D62+D63</f>
        <v>79532</v>
      </c>
      <c r="E59" s="83">
        <f t="shared" si="0"/>
        <v>39431</v>
      </c>
      <c r="F59" s="108">
        <f t="shared" si="1"/>
        <v>1.9833000000000001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IFERROR(VLOOKUP(A60,[4]KujawskoPomorski!$A$7:$D$100,4,FALSE),0)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IFERROR(VLOOKUP(A61,[4]KujawskoPomorski!$A$7:$D$100,4,FALSE),0)</f>
        <v>38601</v>
      </c>
      <c r="D61" s="33">
        <f>C61+40431</f>
        <v>79032</v>
      </c>
      <c r="E61" s="29">
        <f t="shared" si="0"/>
        <v>40431</v>
      </c>
      <c r="F61" s="39">
        <f t="shared" si="1"/>
        <v>2.0474000000000001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IFERROR(VLOOKUP(A62,[4]KujawskoPomorski!$A$7:$D$100,4,FALSE),0)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IFERROR(VLOOKUP(A63,[4]KujawskoPomorski!$A$7:$D$100,4,FALSE),0)</f>
        <v>1500</v>
      </c>
      <c r="D63" s="33">
        <f>C63-1000</f>
        <v>500</v>
      </c>
      <c r="E63" s="29">
        <f t="shared" si="0"/>
        <v>-1000</v>
      </c>
      <c r="F63" s="39">
        <f t="shared" si="1"/>
        <v>0.33329999999999999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IFERROR(VLOOKUP(A64,[4]KujawskoPomorski!$A$7:$D$100,4,FALSE),0)</f>
        <v>19735</v>
      </c>
      <c r="D64" s="107">
        <v>35083</v>
      </c>
      <c r="E64" s="83">
        <f t="shared" si="0"/>
        <v>15348</v>
      </c>
      <c r="F64" s="108">
        <f t="shared" si="1"/>
        <v>1.7777000000000001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KujawskoPomorski!A1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3953500</v>
      </c>
      <c r="D6" s="102">
        <f>D7+D8+D9+D14+D15+D16+D17+D18+D19+D20+D21+D22+D23+D24+D28+D29+D31+D32+D33</f>
        <v>3953500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IFERROR(VLOOKUP(A7,[4]Lubelski!$A$7:$D$100,4,FALSE),0)</f>
        <v>526900</v>
      </c>
      <c r="D7" s="13">
        <f>C7</f>
        <v>526900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IFERROR(VLOOKUP(A8,[4]Lubelski!$A$7:$D$100,4,FALSE),0)</f>
        <v>304669</v>
      </c>
      <c r="D8" s="13">
        <f>C8</f>
        <v>304669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IFERROR(VLOOKUP(A9,[4]Lubelski!$A$7:$D$100,4,FALSE),0)</f>
        <v>1966218</v>
      </c>
      <c r="D9" s="13">
        <f t="shared" ref="D9:D33" si="2">C9</f>
        <v>1966218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IFERROR(VLOOKUP(A10,[4]Lubelski!$A$7:$D$100,4,FALSE),0)</f>
        <v>173263</v>
      </c>
      <c r="D10" s="13">
        <f t="shared" si="2"/>
        <v>173263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IFERROR(VLOOKUP(A11,[4]Lubelski!$A$7:$D$100,4,FALSE),0)</f>
        <v>157836</v>
      </c>
      <c r="D11" s="13">
        <f t="shared" si="2"/>
        <v>157836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IFERROR(VLOOKUP(A12,[4]Lubelski!$A$7:$D$100,4,FALSE),0)</f>
        <v>88423</v>
      </c>
      <c r="D12" s="13">
        <f t="shared" si="2"/>
        <v>88423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IFERROR(VLOOKUP(A13,[4]Lubelski!$A$7:$D$100,4,FALSE),0)</f>
        <v>38541</v>
      </c>
      <c r="D13" s="13">
        <f t="shared" si="2"/>
        <v>38541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IFERROR(VLOOKUP(A14,[4]Lubelski!$A$7:$D$100,4,FALSE),0)</f>
        <v>146638</v>
      </c>
      <c r="D14" s="13">
        <f t="shared" si="2"/>
        <v>146638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IFERROR(VLOOKUP(A15,[4]Lubelski!$A$7:$D$100,4,FALSE),0)</f>
        <v>120702</v>
      </c>
      <c r="D15" s="13">
        <f t="shared" si="2"/>
        <v>120702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IFERROR(VLOOKUP(A16,[4]Lubelski!$A$7:$D$100,4,FALSE),0)</f>
        <v>70133</v>
      </c>
      <c r="D16" s="13">
        <f t="shared" si="2"/>
        <v>70133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IFERROR(VLOOKUP(A17,[4]Lubelski!$A$7:$D$100,4,FALSE),0)</f>
        <v>19103</v>
      </c>
      <c r="D17" s="13">
        <f t="shared" si="2"/>
        <v>19103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IFERROR(VLOOKUP(A18,[4]Lubelski!$A$7:$D$100,4,FALSE),0)</f>
        <v>127759</v>
      </c>
      <c r="D18" s="13">
        <f t="shared" si="2"/>
        <v>127759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IFERROR(VLOOKUP(A19,[4]Lubelski!$A$7:$D$100,4,FALSE),0)</f>
        <v>41200</v>
      </c>
      <c r="D19" s="13">
        <f t="shared" si="2"/>
        <v>41200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IFERROR(VLOOKUP(A20,[4]Lubelski!$A$7:$D$100,4,FALSE),0)</f>
        <v>3300</v>
      </c>
      <c r="D20" s="13">
        <f t="shared" si="2"/>
        <v>3300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IFERROR(VLOOKUP(A21,[4]Lubelski!$A$7:$D$100,4,FALSE),0)</f>
        <v>9679</v>
      </c>
      <c r="D21" s="13">
        <f t="shared" si="2"/>
        <v>9679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IFERROR(VLOOKUP(A22,[4]Lubelski!$A$7:$D$100,4,FALSE),0)</f>
        <v>111595</v>
      </c>
      <c r="D22" s="13">
        <f t="shared" si="2"/>
        <v>111595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IFERROR(VLOOKUP(A23,[4]Lubelski!$A$7:$D$100,4,FALSE),0)</f>
        <v>49000</v>
      </c>
      <c r="D23" s="13">
        <f t="shared" si="2"/>
        <v>49000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IFERROR(VLOOKUP(A24,[4]Lubelski!$A$7:$D$100,4,FALSE),0)</f>
        <v>447782</v>
      </c>
      <c r="D24" s="31">
        <f>SUM(D25:D27)</f>
        <v>447782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IFERROR(VLOOKUP(A25,[4]Lubelski!$A$7:$D$100,4,FALSE),0)</f>
        <v>444982</v>
      </c>
      <c r="D25" s="13">
        <f t="shared" si="2"/>
        <v>444982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IFERROR(VLOOKUP(A26,[4]Lubelski!$A$7:$D$100,4,FALSE),0)</f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IFERROR(VLOOKUP(A27,[4]Lubelski!$A$7:$D$100,4,FALSE),0)</f>
        <v>600</v>
      </c>
      <c r="D27" s="13">
        <f t="shared" si="2"/>
        <v>600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IFERROR(VLOOKUP(A28,[4]Lubelski!$A$7:$D$100,4,FALSE),0)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IFERROR(VLOOKUP(A29,[4]Lubelski!$A$7:$D$100,4,FALSE),0)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IFERROR(VLOOKUP(A30,[4]Lubelski!$A$7:$D$100,4,FALSE),0)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IFERROR(VLOOKUP(A31,[4]Lubelski!$A$7:$D$100,4,FALSE),0)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IFERROR(VLOOKUP(A32,[4]Lubelski!$A$7:$D$100,4,FALSE),0)</f>
        <v>8822</v>
      </c>
      <c r="D32" s="13">
        <f t="shared" si="2"/>
        <v>8822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IFERROR(VLOOKUP(A33,[4]Lubelski!$A$7:$D$100,4,FALSE),0)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IFERROR(VLOOKUP(A34,[4]Lubelski!$A$7:$D$100,4,FALSE),0)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IFERROR(VLOOKUP(A35,[4]Lubelski!$A$7:$D$100,4,FALSE),0)</f>
        <v>114605</v>
      </c>
      <c r="D35" s="37">
        <f>C35</f>
        <v>114605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IFERROR(VLOOKUP(A36,[4]Lubelski!$A$7:$D$100,4,FALSE),0)</f>
        <v>7505</v>
      </c>
      <c r="D36" s="37">
        <f>C36</f>
        <v>7505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644159</v>
      </c>
      <c r="D37" s="32">
        <f>D11+D13+D24+D30</f>
        <v>644159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25424</v>
      </c>
      <c r="D38" s="87">
        <f>D39+D40+D41+D49+D51+D57+D58+D56</f>
        <v>25424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IFERROR(VLOOKUP(A39,[4]Lubelski!$A$7:$D$100,4,FALSE),0)</f>
        <v>862</v>
      </c>
      <c r="D39" s="33">
        <f>C39</f>
        <v>862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IFERROR(VLOOKUP(A40,[4]Lubelski!$A$7:$D$100,4,FALSE),0)</f>
        <v>2773</v>
      </c>
      <c r="D40" s="33">
        <f t="shared" ref="D40:D58" si="3">C40</f>
        <v>2773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256</v>
      </c>
      <c r="D41" s="33">
        <f>D42+D44+D45+D46+D47+D48</f>
        <v>256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IFERROR(VLOOKUP(A42,[4]Lubelski!$A$7:$D$100,4,FALSE),0)</f>
        <v>31</v>
      </c>
      <c r="D42" s="33">
        <f t="shared" si="3"/>
        <v>31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IFERROR(VLOOKUP(A43,[4]Lubelski!$A$7:$D$100,4,FALSE),0)</f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IFERROR(VLOOKUP(A44,[4]Lubelski!$A$7:$D$100,4,FALSE),0)</f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IFERROR(VLOOKUP(A45,[4]Lubelski!$A$7:$D$100,4,FALSE),0)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IFERROR(VLOOKUP(A46,[4]Lubelski!$A$7:$D$100,4,FALSE),0)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IFERROR(VLOOKUP(A47,[4]Lubelski!$A$7:$D$100,4,FALSE),0)</f>
        <v>217</v>
      </c>
      <c r="D47" s="33">
        <f t="shared" si="3"/>
        <v>217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IFERROR(VLOOKUP(A48,[4]Lubelski!$A$7:$D$100,4,FALSE),0)</f>
        <v>8</v>
      </c>
      <c r="D48" s="33">
        <f t="shared" si="3"/>
        <v>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IFERROR(VLOOKUP(A49,[4]Lubelski!$A$7:$D$100,4,FALSE),0)</f>
        <v>15939</v>
      </c>
      <c r="D49" s="33">
        <f t="shared" si="3"/>
        <v>15939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IFERROR(VLOOKUP(A50,[4]Lubelski!$A$7:$D$100,4,FALSE),0)</f>
        <v>144</v>
      </c>
      <c r="D50" s="33">
        <f t="shared" si="3"/>
        <v>144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3554</v>
      </c>
      <c r="D51" s="29">
        <f>D52+D53+D54+D55</f>
        <v>3554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IFERROR(VLOOKUP(A52,[4]Lubelski!$A$7:$D$100,4,FALSE),0)</f>
        <v>2741</v>
      </c>
      <c r="D52" s="33">
        <f t="shared" si="3"/>
        <v>2741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IFERROR(VLOOKUP(A53,[4]Lubelski!$A$7:$D$100,4,FALSE),0)</f>
        <v>391</v>
      </c>
      <c r="D53" s="33">
        <f t="shared" si="3"/>
        <v>391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IFERROR(VLOOKUP(A54,[4]Lubelski!$A$7:$D$100,4,FALSE),0)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IFERROR(VLOOKUP(A55,[4]Lubelski!$A$7:$D$100,4,FALSE),0)</f>
        <v>422</v>
      </c>
      <c r="D55" s="33">
        <f t="shared" si="3"/>
        <v>422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IFERROR(VLOOKUP(A56,[4]Lubelski!$A$7:$D$100,4,FALSE),0)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IFERROR(VLOOKUP(A57,[4]Lubelski!$A$7:$D$100,4,FALSE),0)</f>
        <v>1670</v>
      </c>
      <c r="D57" s="33">
        <f t="shared" si="3"/>
        <v>1670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IFERROR(VLOOKUP(A58,[4]Lubelski!$A$7:$D$100,4,FALSE),0)</f>
        <v>370</v>
      </c>
      <c r="D58" s="33">
        <f t="shared" si="3"/>
        <v>370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41705</v>
      </c>
      <c r="D59" s="107">
        <f>D60+D61+D62+D63</f>
        <v>46505</v>
      </c>
      <c r="E59" s="83">
        <f t="shared" si="0"/>
        <v>4800</v>
      </c>
      <c r="F59" s="108">
        <f t="shared" si="1"/>
        <v>1.1151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IFERROR(VLOOKUP(A60,[4]Lubelski!$A$7:$D$100,4,FALSE),0)</f>
        <v>5</v>
      </c>
      <c r="D60" s="33">
        <f>C60-5</f>
        <v>0</v>
      </c>
      <c r="E60" s="29">
        <f t="shared" si="0"/>
        <v>-5</v>
      </c>
      <c r="F60" s="39">
        <f t="shared" si="1"/>
        <v>0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IFERROR(VLOOKUP(A61,[4]Lubelski!$A$7:$D$100,4,FALSE),0)</f>
        <v>40500</v>
      </c>
      <c r="D61" s="33">
        <f>C61+5505</f>
        <v>46005</v>
      </c>
      <c r="E61" s="29">
        <f t="shared" si="0"/>
        <v>5505</v>
      </c>
      <c r="F61" s="39">
        <f t="shared" si="1"/>
        <v>1.1358999999999999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IFERROR(VLOOKUP(A62,[4]Lubelski!$A$7:$D$100,4,FALSE),0)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IFERROR(VLOOKUP(A63,[4]Lubelski!$A$7:$D$100,4,FALSE),0)</f>
        <v>1200</v>
      </c>
      <c r="D63" s="33">
        <f>C63-700</f>
        <v>500</v>
      </c>
      <c r="E63" s="29">
        <f t="shared" si="0"/>
        <v>-700</v>
      </c>
      <c r="F63" s="39">
        <f t="shared" si="1"/>
        <v>0.41670000000000001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IFERROR(VLOOKUP(A64,[4]Lubelski!$A$7:$D$100,4,FALSE),0)</f>
        <v>5000</v>
      </c>
      <c r="D64" s="107">
        <f>C64-4800</f>
        <v>200</v>
      </c>
      <c r="E64" s="83">
        <f t="shared" si="0"/>
        <v>-4800</v>
      </c>
      <c r="F64" s="108">
        <f t="shared" si="1"/>
        <v>0.04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Lubelski!A1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1811284</v>
      </c>
      <c r="D6" s="102">
        <f>D7+D8+D9+D14+D15+D16+D17+D18+D19+D20+D21+D22+D23+D24+D28+D29+D31+D32+D33</f>
        <v>1811284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IFERROR(VLOOKUP(A7,[4]Lubuski!$A$7:$D$100,4,FALSE),0)</f>
        <v>246200</v>
      </c>
      <c r="D7" s="13">
        <f>C7</f>
        <v>246200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IFERROR(VLOOKUP(A8,[4]Lubuski!$A$7:$D$100,4,FALSE),0)</f>
        <v>152804</v>
      </c>
      <c r="D8" s="13">
        <f>C8</f>
        <v>152804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IFERROR(VLOOKUP(A9,[4]Lubuski!$A$7:$D$100,4,FALSE),0)</f>
        <v>875853</v>
      </c>
      <c r="D9" s="13">
        <f t="shared" ref="D9:D33" si="2">C9</f>
        <v>875853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IFERROR(VLOOKUP(A10,[4]Lubuski!$A$7:$D$100,4,FALSE),0)</f>
        <v>76244</v>
      </c>
      <c r="D10" s="13">
        <f t="shared" si="2"/>
        <v>76244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IFERROR(VLOOKUP(A11,[4]Lubuski!$A$7:$D$100,4,FALSE),0)</f>
        <v>70071</v>
      </c>
      <c r="D11" s="13">
        <f t="shared" si="2"/>
        <v>70071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IFERROR(VLOOKUP(A12,[4]Lubuski!$A$7:$D$100,4,FALSE),0)</f>
        <v>35478</v>
      </c>
      <c r="D12" s="13">
        <f t="shared" si="2"/>
        <v>35478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IFERROR(VLOOKUP(A13,[4]Lubuski!$A$7:$D$100,4,FALSE),0)</f>
        <v>12318</v>
      </c>
      <c r="D13" s="13">
        <f t="shared" si="2"/>
        <v>12318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IFERROR(VLOOKUP(A14,[4]Lubuski!$A$7:$D$100,4,FALSE),0)</f>
        <v>94181</v>
      </c>
      <c r="D14" s="13">
        <f t="shared" si="2"/>
        <v>94181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IFERROR(VLOOKUP(A15,[4]Lubuski!$A$7:$D$100,4,FALSE),0)</f>
        <v>53682</v>
      </c>
      <c r="D15" s="13">
        <f t="shared" si="2"/>
        <v>53682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IFERROR(VLOOKUP(A16,[4]Lubuski!$A$7:$D$100,4,FALSE),0)</f>
        <v>25928</v>
      </c>
      <c r="D16" s="13">
        <f t="shared" si="2"/>
        <v>25928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IFERROR(VLOOKUP(A17,[4]Lubuski!$A$7:$D$100,4,FALSE),0)</f>
        <v>12124</v>
      </c>
      <c r="D17" s="13">
        <f t="shared" si="2"/>
        <v>12124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IFERROR(VLOOKUP(A18,[4]Lubuski!$A$7:$D$100,4,FALSE),0)</f>
        <v>42036</v>
      </c>
      <c r="D18" s="13">
        <f t="shared" si="2"/>
        <v>42036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IFERROR(VLOOKUP(A19,[4]Lubuski!$A$7:$D$100,4,FALSE),0)</f>
        <v>14200</v>
      </c>
      <c r="D19" s="13">
        <f t="shared" si="2"/>
        <v>14200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IFERROR(VLOOKUP(A20,[4]Lubuski!$A$7:$D$100,4,FALSE),0)</f>
        <v>1634</v>
      </c>
      <c r="D20" s="13">
        <f t="shared" si="2"/>
        <v>1634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IFERROR(VLOOKUP(A21,[4]Lubuski!$A$7:$D$100,4,FALSE),0)</f>
        <v>5639</v>
      </c>
      <c r="D21" s="13">
        <f t="shared" si="2"/>
        <v>5639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IFERROR(VLOOKUP(A22,[4]Lubuski!$A$7:$D$100,4,FALSE),0)</f>
        <v>52871</v>
      </c>
      <c r="D22" s="13">
        <f t="shared" si="2"/>
        <v>52871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IFERROR(VLOOKUP(A23,[4]Lubuski!$A$7:$D$100,4,FALSE),0)</f>
        <v>26000</v>
      </c>
      <c r="D23" s="13">
        <f t="shared" si="2"/>
        <v>26000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IFERROR(VLOOKUP(A24,[4]Lubuski!$A$7:$D$100,4,FALSE),0)</f>
        <v>199901</v>
      </c>
      <c r="D24" s="31">
        <f>SUM(D25:D27)</f>
        <v>199901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IFERROR(VLOOKUP(A25,[4]Lubuski!$A$7:$D$100,4,FALSE),0)</f>
        <v>199401</v>
      </c>
      <c r="D25" s="13">
        <f t="shared" si="2"/>
        <v>199401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IFERROR(VLOOKUP(A26,[4]Lubuski!$A$7:$D$100,4,FALSE),0)</f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IFERROR(VLOOKUP(A27,[4]Lubuski!$A$7:$D$100,4,FALSE),0)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IFERROR(VLOOKUP(A28,[4]Lubuski!$A$7:$D$100,4,FALSE),0)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IFERROR(VLOOKUP(A29,[4]Lubuski!$A$7:$D$100,4,FALSE),0)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IFERROR(VLOOKUP(A30,[4]Lubuski!$A$7:$D$100,4,FALSE),0)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IFERROR(VLOOKUP(A31,[4]Lubuski!$A$7:$D$100,4,FALSE),0)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IFERROR(VLOOKUP(A32,[4]Lubuski!$A$7:$D$100,4,FALSE),0)</f>
        <v>8231</v>
      </c>
      <c r="D32" s="13">
        <f t="shared" si="2"/>
        <v>8231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IFERROR(VLOOKUP(A33,[4]Lubuski!$A$7:$D$100,4,FALSE),0)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IFERROR(VLOOKUP(A34,[4]Lubuski!$A$7:$D$100,4,FALSE),0)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IFERROR(VLOOKUP(A35,[4]Lubuski!$A$7:$D$100,4,FALSE),0)</f>
        <v>66351</v>
      </c>
      <c r="D35" s="37">
        <f>C35</f>
        <v>66351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IFERROR(VLOOKUP(A36,[4]Lubuski!$A$7:$D$100,4,FALSE),0)</f>
        <v>2892</v>
      </c>
      <c r="D36" s="37">
        <f>C36</f>
        <v>2892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282290</v>
      </c>
      <c r="D37" s="32">
        <f>D11+D13+D24+D30</f>
        <v>282290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18027</v>
      </c>
      <c r="D38" s="87">
        <f>D39+D40+D41+D49+D51+D57+D58+D56</f>
        <v>18027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IFERROR(VLOOKUP(A39,[4]Lubuski!$A$7:$D$100,4,FALSE),0)</f>
        <v>750</v>
      </c>
      <c r="D39" s="33">
        <f>C39</f>
        <v>750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IFERROR(VLOOKUP(A40,[4]Lubuski!$A$7:$D$100,4,FALSE),0)</f>
        <v>2185</v>
      </c>
      <c r="D40" s="33">
        <f t="shared" ref="D40:D58" si="3">C40</f>
        <v>2185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83</v>
      </c>
      <c r="D41" s="33">
        <f>D42+D44+D45+D46+D47+D48</f>
        <v>83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IFERROR(VLOOKUP(A42,[4]Lubuski!$A$7:$D$100,4,FALSE),0)</f>
        <v>14</v>
      </c>
      <c r="D42" s="33">
        <f t="shared" si="3"/>
        <v>14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IFERROR(VLOOKUP(A43,[4]Lubuski!$A$7:$D$100,4,FALSE),0)</f>
        <v>14</v>
      </c>
      <c r="D43" s="33">
        <f t="shared" si="3"/>
        <v>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IFERROR(VLOOKUP(A44,[4]Lubuski!$A$7:$D$100,4,FALSE),0)</f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IFERROR(VLOOKUP(A45,[4]Lubuski!$A$7:$D$100,4,FALSE),0)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IFERROR(VLOOKUP(A46,[4]Lubuski!$A$7:$D$100,4,FALSE),0)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IFERROR(VLOOKUP(A47,[4]Lubuski!$A$7:$D$100,4,FALSE),0)</f>
        <v>46</v>
      </c>
      <c r="D47" s="33">
        <f t="shared" si="3"/>
        <v>46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IFERROR(VLOOKUP(A48,[4]Lubuski!$A$7:$D$100,4,FALSE),0)</f>
        <v>23</v>
      </c>
      <c r="D48" s="33">
        <f t="shared" si="3"/>
        <v>23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IFERROR(VLOOKUP(A49,[4]Lubuski!$A$7:$D$100,4,FALSE),0)</f>
        <v>9027</v>
      </c>
      <c r="D49" s="33">
        <f t="shared" si="3"/>
        <v>9027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IFERROR(VLOOKUP(A50,[4]Lubuski!$A$7:$D$100,4,FALSE),0)</f>
        <v>32</v>
      </c>
      <c r="D50" s="33">
        <f t="shared" si="3"/>
        <v>32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2079</v>
      </c>
      <c r="D51" s="29">
        <f>D52+D53+D54+D55</f>
        <v>2079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IFERROR(VLOOKUP(A52,[4]Lubuski!$A$7:$D$100,4,FALSE),0)</f>
        <v>1552</v>
      </c>
      <c r="D52" s="33">
        <f t="shared" si="3"/>
        <v>1552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IFERROR(VLOOKUP(A53,[4]Lubuski!$A$7:$D$100,4,FALSE),0)</f>
        <v>220</v>
      </c>
      <c r="D53" s="33">
        <f t="shared" si="3"/>
        <v>220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IFERROR(VLOOKUP(A54,[4]Lubuski!$A$7:$D$100,4,FALSE),0)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IFERROR(VLOOKUP(A55,[4]Lubuski!$A$7:$D$100,4,FALSE),0)</f>
        <v>307</v>
      </c>
      <c r="D55" s="33">
        <f t="shared" si="3"/>
        <v>307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IFERROR(VLOOKUP(A56,[4]Lubuski!$A$7:$D$100,4,FALSE),0)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IFERROR(VLOOKUP(A57,[4]Lubuski!$A$7:$D$100,4,FALSE),0)</f>
        <v>3600</v>
      </c>
      <c r="D57" s="33">
        <f t="shared" si="3"/>
        <v>3600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IFERROR(VLOOKUP(A58,[4]Lubuski!$A$7:$D$100,4,FALSE),0)</f>
        <v>303</v>
      </c>
      <c r="D58" s="33">
        <f t="shared" si="3"/>
        <v>303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4280</v>
      </c>
      <c r="D59" s="107">
        <f>D60+D61+D62+D63</f>
        <v>1300</v>
      </c>
      <c r="E59" s="83">
        <f t="shared" si="0"/>
        <v>-2980</v>
      </c>
      <c r="F59" s="108">
        <f t="shared" si="1"/>
        <v>0.30370000000000003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IFERROR(VLOOKUP(A60,[4]Lubuski!$A$7:$D$100,4,FALSE),0)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IFERROR(VLOOKUP(A61,[4]Lubuski!$A$7:$D$100,4,FALSE),0)</f>
        <v>3730</v>
      </c>
      <c r="D61" s="33">
        <f>C61-3630</f>
        <v>100</v>
      </c>
      <c r="E61" s="29">
        <f t="shared" si="0"/>
        <v>-3630</v>
      </c>
      <c r="F61" s="39">
        <f t="shared" si="1"/>
        <v>2.6800000000000001E-2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IFERROR(VLOOKUP(A62,[4]Lubuski!$A$7:$D$100,4,FALSE),0)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IFERROR(VLOOKUP(A63,[4]Lubuski!$A$7:$D$100,4,FALSE),0)</f>
        <v>550</v>
      </c>
      <c r="D63" s="33">
        <f>C63+650</f>
        <v>1200</v>
      </c>
      <c r="E63" s="29">
        <f t="shared" si="0"/>
        <v>650</v>
      </c>
      <c r="F63" s="39">
        <f t="shared" si="1"/>
        <v>2.1818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IFERROR(VLOOKUP(A64,[4]Lubuski!$A$7:$D$100,4,FALSE),0)</f>
        <v>750</v>
      </c>
      <c r="D64" s="107">
        <f>C64+850</f>
        <v>1600</v>
      </c>
      <c r="E64" s="83">
        <f t="shared" si="0"/>
        <v>850</v>
      </c>
      <c r="F64" s="108">
        <f t="shared" si="1"/>
        <v>2.1333000000000002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Lubuski!A1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4783862</v>
      </c>
      <c r="D6" s="102">
        <f>D7+D8+D9+D14+D15+D16+D17+D18+D19+D20+D21+D22+D23+D24+D28+D29+D31+D32+D33</f>
        <v>4783862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IFERROR(VLOOKUP(A7,[4]Łódzki!$A$7:$D$100,4,FALSE),0)</f>
        <v>626353</v>
      </c>
      <c r="D7" s="13">
        <f>C7</f>
        <v>626353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IFERROR(VLOOKUP(A8,[4]Łódzki!$A$7:$D$100,4,FALSE),0)</f>
        <v>352542</v>
      </c>
      <c r="D8" s="13">
        <f>C8</f>
        <v>352542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IFERROR(VLOOKUP(A9,[4]Łódzki!$A$7:$D$100,4,FALSE),0)</f>
        <v>2437841</v>
      </c>
      <c r="D9" s="13">
        <f t="shared" ref="D9:D33" si="2">C9</f>
        <v>2437841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IFERROR(VLOOKUP(A10,[4]Łódzki!$A$7:$D$100,4,FALSE),0)</f>
        <v>226115</v>
      </c>
      <c r="D10" s="13">
        <f t="shared" si="2"/>
        <v>226115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IFERROR(VLOOKUP(A11,[4]Łódzki!$A$7:$D$100,4,FALSE),0)</f>
        <v>204587</v>
      </c>
      <c r="D11" s="13">
        <f t="shared" si="2"/>
        <v>204587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IFERROR(VLOOKUP(A12,[4]Łódzki!$A$7:$D$100,4,FALSE),0)</f>
        <v>86960</v>
      </c>
      <c r="D12" s="13">
        <f t="shared" si="2"/>
        <v>86960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IFERROR(VLOOKUP(A13,[4]Łódzki!$A$7:$D$100,4,FALSE),0)</f>
        <v>34828</v>
      </c>
      <c r="D13" s="13">
        <f t="shared" si="2"/>
        <v>34828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IFERROR(VLOOKUP(A14,[4]Łódzki!$A$7:$D$100,4,FALSE),0)</f>
        <v>172778</v>
      </c>
      <c r="D14" s="13">
        <f t="shared" si="2"/>
        <v>172778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IFERROR(VLOOKUP(A15,[4]Łódzki!$A$7:$D$100,4,FALSE),0)</f>
        <v>130355</v>
      </c>
      <c r="D15" s="13">
        <f t="shared" si="2"/>
        <v>130355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IFERROR(VLOOKUP(A16,[4]Łódzki!$A$7:$D$100,4,FALSE),0)</f>
        <v>59045</v>
      </c>
      <c r="D16" s="13">
        <f t="shared" si="2"/>
        <v>59045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IFERROR(VLOOKUP(A17,[4]Łódzki!$A$7:$D$100,4,FALSE),0)</f>
        <v>24403</v>
      </c>
      <c r="D17" s="13">
        <f t="shared" si="2"/>
        <v>24403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IFERROR(VLOOKUP(A18,[4]Łódzki!$A$7:$D$100,4,FALSE),0)</f>
        <v>115741</v>
      </c>
      <c r="D18" s="13">
        <f t="shared" si="2"/>
        <v>115741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IFERROR(VLOOKUP(A19,[4]Łódzki!$A$7:$D$100,4,FALSE),0)</f>
        <v>43000</v>
      </c>
      <c r="D19" s="13">
        <f t="shared" si="2"/>
        <v>43000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IFERROR(VLOOKUP(A20,[4]Łódzki!$A$7:$D$100,4,FALSE),0)</f>
        <v>2420</v>
      </c>
      <c r="D20" s="13">
        <f t="shared" si="2"/>
        <v>2420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IFERROR(VLOOKUP(A21,[4]Łódzki!$A$7:$D$100,4,FALSE),0)</f>
        <v>11304</v>
      </c>
      <c r="D21" s="13">
        <f t="shared" si="2"/>
        <v>11304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IFERROR(VLOOKUP(A22,[4]Łódzki!$A$7:$D$100,4,FALSE),0)</f>
        <v>135119</v>
      </c>
      <c r="D22" s="13">
        <f t="shared" si="2"/>
        <v>135119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IFERROR(VLOOKUP(A23,[4]Łódzki!$A$7:$D$100,4,FALSE),0)</f>
        <v>62891</v>
      </c>
      <c r="D23" s="13">
        <f t="shared" si="2"/>
        <v>62891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IFERROR(VLOOKUP(A24,[4]Łódzki!$A$7:$D$100,4,FALSE),0)</f>
        <v>590923</v>
      </c>
      <c r="D24" s="31">
        <f>SUM(D25:D27)</f>
        <v>590923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IFERROR(VLOOKUP(A25,[4]Łódzki!$A$7:$D$100,4,FALSE),0)</f>
        <v>589420</v>
      </c>
      <c r="D25" s="13">
        <f t="shared" si="2"/>
        <v>589420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IFERROR(VLOOKUP(A26,[4]Łódzki!$A$7:$D$100,4,FALSE),0)</f>
        <v>945</v>
      </c>
      <c r="D26" s="13">
        <f t="shared" si="2"/>
        <v>945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IFERROR(VLOOKUP(A27,[4]Łódzki!$A$7:$D$100,4,FALSE),0)</f>
        <v>558</v>
      </c>
      <c r="D27" s="13">
        <f t="shared" si="2"/>
        <v>558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IFERROR(VLOOKUP(A28,[4]Łódzki!$A$7:$D$100,4,FALSE),0)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IFERROR(VLOOKUP(A29,[4]Łódzki!$A$7:$D$100,4,FALSE),0)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IFERROR(VLOOKUP(A30,[4]Łódzki!$A$7:$D$100,4,FALSE),0)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IFERROR(VLOOKUP(A31,[4]Łódzki!$A$7:$D$100,4,FALSE),0)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IFERROR(VLOOKUP(A32,[4]Łódzki!$A$7:$D$100,4,FALSE),0)</f>
        <v>19147</v>
      </c>
      <c r="D32" s="13">
        <f t="shared" si="2"/>
        <v>19147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IFERROR(VLOOKUP(A33,[4]Łódzki!$A$7:$D$100,4,FALSE),0)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IFERROR(VLOOKUP(A34,[4]Łódzki!$A$7:$D$100,4,FALSE),0)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IFERROR(VLOOKUP(A35,[4]Łódzki!$A$7:$D$100,4,FALSE),0)</f>
        <v>122746</v>
      </c>
      <c r="D35" s="37">
        <f>C35</f>
        <v>122746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IFERROR(VLOOKUP(A36,[4]Łódzki!$A$7:$D$100,4,FALSE),0)</f>
        <v>8930</v>
      </c>
      <c r="D36" s="37">
        <f>C36</f>
        <v>8930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830338</v>
      </c>
      <c r="D37" s="32">
        <f>D11+D13+D24+D30</f>
        <v>830338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31129</v>
      </c>
      <c r="D38" s="87">
        <f>D39+D40+D41+D49+D51+D57+D58+D56</f>
        <v>31129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IFERROR(VLOOKUP(A39,[4]Łódzki!$A$7:$D$100,4,FALSE),0)</f>
        <v>1216</v>
      </c>
      <c r="D39" s="33">
        <f>C39</f>
        <v>1216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IFERROR(VLOOKUP(A40,[4]Łódzki!$A$7:$D$100,4,FALSE),0)</f>
        <v>5223</v>
      </c>
      <c r="D40" s="33">
        <f t="shared" ref="D40:D58" si="3">C40</f>
        <v>5223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251</v>
      </c>
      <c r="D41" s="33">
        <f>D42+D44+D45+D46+D47+D48</f>
        <v>251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IFERROR(VLOOKUP(A42,[4]Łódzki!$A$7:$D$100,4,FALSE),0)</f>
        <v>11</v>
      </c>
      <c r="D42" s="33">
        <f t="shared" si="3"/>
        <v>11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IFERROR(VLOOKUP(A43,[4]Łódzki!$A$7:$D$100,4,FALSE),0)</f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IFERROR(VLOOKUP(A44,[4]Łódzki!$A$7:$D$100,4,FALSE),0)</f>
        <v>18</v>
      </c>
      <c r="D44" s="33">
        <f t="shared" si="3"/>
        <v>18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IFERROR(VLOOKUP(A45,[4]Łódzki!$A$7:$D$100,4,FALSE),0)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IFERROR(VLOOKUP(A46,[4]Łódzki!$A$7:$D$100,4,FALSE),0)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IFERROR(VLOOKUP(A47,[4]Łódzki!$A$7:$D$100,4,FALSE),0)</f>
        <v>218</v>
      </c>
      <c r="D47" s="33">
        <f t="shared" si="3"/>
        <v>218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IFERROR(VLOOKUP(A48,[4]Łódzki!$A$7:$D$100,4,FALSE),0)</f>
        <v>4</v>
      </c>
      <c r="D48" s="33">
        <f t="shared" si="3"/>
        <v>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IFERROR(VLOOKUP(A49,[4]Łódzki!$A$7:$D$100,4,FALSE),0)</f>
        <v>18571</v>
      </c>
      <c r="D49" s="33">
        <f t="shared" si="3"/>
        <v>18571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IFERROR(VLOOKUP(A50,[4]Łódzki!$A$7:$D$100,4,FALSE),0)</f>
        <v>90</v>
      </c>
      <c r="D50" s="33">
        <f t="shared" si="3"/>
        <v>90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4140</v>
      </c>
      <c r="D51" s="29">
        <f>D52+D53+D54+D55</f>
        <v>4140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IFERROR(VLOOKUP(A52,[4]Łódzki!$A$7:$D$100,4,FALSE),0)</f>
        <v>3192</v>
      </c>
      <c r="D52" s="33">
        <f t="shared" si="3"/>
        <v>3192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IFERROR(VLOOKUP(A53,[4]Łódzki!$A$7:$D$100,4,FALSE),0)</f>
        <v>455</v>
      </c>
      <c r="D53" s="33">
        <f t="shared" si="3"/>
        <v>455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IFERROR(VLOOKUP(A54,[4]Łódzki!$A$7:$D$100,4,FALSE),0)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IFERROR(VLOOKUP(A55,[4]Łódzki!$A$7:$D$100,4,FALSE),0)</f>
        <v>493</v>
      </c>
      <c r="D55" s="33">
        <f t="shared" si="3"/>
        <v>493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IFERROR(VLOOKUP(A56,[4]Łódzki!$A$7:$D$100,4,FALSE),0)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IFERROR(VLOOKUP(A57,[4]Łódzki!$A$7:$D$100,4,FALSE),0)</f>
        <v>1442</v>
      </c>
      <c r="D57" s="33">
        <f t="shared" si="3"/>
        <v>1442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IFERROR(VLOOKUP(A58,[4]Łódzki!$A$7:$D$100,4,FALSE),0)</f>
        <v>286</v>
      </c>
      <c r="D58" s="33">
        <f t="shared" si="3"/>
        <v>286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15800</v>
      </c>
      <c r="D59" s="107">
        <f>D60+D61+D62+D63</f>
        <v>11250</v>
      </c>
      <c r="E59" s="83">
        <f t="shared" si="0"/>
        <v>-4550</v>
      </c>
      <c r="F59" s="108">
        <f t="shared" si="1"/>
        <v>0.71199999999999997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IFERROR(VLOOKUP(A60,[4]Łódzki!$A$7:$D$100,4,FALSE),0)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IFERROR(VLOOKUP(A61,[4]Łódzki!$A$7:$D$100,4,FALSE),0)</f>
        <v>15000</v>
      </c>
      <c r="D61" s="33">
        <f>C61-5070</f>
        <v>9930</v>
      </c>
      <c r="E61" s="29">
        <f t="shared" si="0"/>
        <v>-5070</v>
      </c>
      <c r="F61" s="39">
        <f t="shared" si="1"/>
        <v>0.66200000000000003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IFERROR(VLOOKUP(A62,[4]Łódzki!$A$7:$D$100,4,FALSE),0)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IFERROR(VLOOKUP(A63,[4]Łódzki!$A$7:$D$100,4,FALSE),0)</f>
        <v>800</v>
      </c>
      <c r="D63" s="33">
        <f>C63+520</f>
        <v>1320</v>
      </c>
      <c r="E63" s="29">
        <f t="shared" si="0"/>
        <v>520</v>
      </c>
      <c r="F63" s="39">
        <f t="shared" si="1"/>
        <v>1.65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IFERROR(VLOOKUP(A64,[4]Łódzki!$A$7:$D$100,4,FALSE),0)</f>
        <v>5000</v>
      </c>
      <c r="D64" s="107">
        <f>C64-1700</f>
        <v>3300</v>
      </c>
      <c r="E64" s="83">
        <f t="shared" si="0"/>
        <v>-1700</v>
      </c>
      <c r="F64" s="108">
        <f t="shared" si="1"/>
        <v>0.66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4"/>
  <sheetViews>
    <sheetView showGridLines="0" view="pageBreakPreview" zoomScale="55" zoomScaleNormal="70" zoomScaleSheetLayoutView="55" workbookViewId="0">
      <pane xSplit="1" ySplit="6" topLeftCell="B40" activePane="bottomRight" state="frozen"/>
      <selection activeCell="B56" sqref="B56"/>
      <selection pane="topRight" activeCell="B56" sqref="B56"/>
      <selection pane="bottomLeft" activeCell="B56" sqref="B56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Łódzki!A1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6016210</v>
      </c>
      <c r="D6" s="102">
        <f>D7+D8+D9+D14+D15+D16+D17+D18+D19+D20+D21+D22+D23+D24+D28+D29+D31+D32+D33</f>
        <v>6016210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IFERROR(VLOOKUP(A7,[4]Małopolski!$A$7:$D$100,4,FALSE),0)</f>
        <v>832002</v>
      </c>
      <c r="D7" s="13">
        <f>C7</f>
        <v>832002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IFERROR(VLOOKUP(A8,[4]Małopolski!$A$7:$D$100,4,FALSE),0)</f>
        <v>504947</v>
      </c>
      <c r="D8" s="13">
        <f>C8</f>
        <v>504947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IFERROR(VLOOKUP(A9,[4]Małopolski!$A$7:$D$100,4,FALSE),0)</f>
        <v>2944926</v>
      </c>
      <c r="D9" s="13">
        <f t="shared" ref="D9:D33" si="2">C9</f>
        <v>2944926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IFERROR(VLOOKUP(A10,[4]Małopolski!$A$7:$D$100,4,FALSE),0)</f>
        <v>320551</v>
      </c>
      <c r="D10" s="13">
        <f t="shared" si="2"/>
        <v>320551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IFERROR(VLOOKUP(A11,[4]Małopolski!$A$7:$D$100,4,FALSE),0)</f>
        <v>291369</v>
      </c>
      <c r="D11" s="13">
        <f t="shared" si="2"/>
        <v>291369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IFERROR(VLOOKUP(A12,[4]Małopolski!$A$7:$D$100,4,FALSE),0)</f>
        <v>117593</v>
      </c>
      <c r="D12" s="13">
        <f t="shared" si="2"/>
        <v>117593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IFERROR(VLOOKUP(A13,[4]Małopolski!$A$7:$D$100,4,FALSE),0)</f>
        <v>58839</v>
      </c>
      <c r="D13" s="13">
        <f t="shared" si="2"/>
        <v>58839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IFERROR(VLOOKUP(A14,[4]Małopolski!$A$7:$D$100,4,FALSE),0)</f>
        <v>181715</v>
      </c>
      <c r="D14" s="13">
        <f t="shared" si="2"/>
        <v>181715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IFERROR(VLOOKUP(A15,[4]Małopolski!$A$7:$D$100,4,FALSE),0)</f>
        <v>189400</v>
      </c>
      <c r="D15" s="13">
        <f t="shared" si="2"/>
        <v>189400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IFERROR(VLOOKUP(A16,[4]Małopolski!$A$7:$D$100,4,FALSE),0)</f>
        <v>134400</v>
      </c>
      <c r="D16" s="13">
        <f t="shared" si="2"/>
        <v>134400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IFERROR(VLOOKUP(A17,[4]Małopolski!$A$7:$D$100,4,FALSE),0)</f>
        <v>40858</v>
      </c>
      <c r="D17" s="13">
        <f t="shared" si="2"/>
        <v>40858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IFERROR(VLOOKUP(A18,[4]Małopolski!$A$7:$D$100,4,FALSE),0)</f>
        <v>191785</v>
      </c>
      <c r="D18" s="13">
        <f t="shared" si="2"/>
        <v>191785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IFERROR(VLOOKUP(A19,[4]Małopolski!$A$7:$D$100,4,FALSE),0)</f>
        <v>51000</v>
      </c>
      <c r="D19" s="13">
        <f t="shared" si="2"/>
        <v>51000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IFERROR(VLOOKUP(A20,[4]Małopolski!$A$7:$D$100,4,FALSE),0)</f>
        <v>1701</v>
      </c>
      <c r="D20" s="13">
        <f t="shared" si="2"/>
        <v>1701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IFERROR(VLOOKUP(A21,[4]Małopolski!$A$7:$D$100,4,FALSE),0)</f>
        <v>14503</v>
      </c>
      <c r="D21" s="13">
        <f t="shared" si="2"/>
        <v>14503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IFERROR(VLOOKUP(A22,[4]Małopolski!$A$7:$D$100,4,FALSE),0)</f>
        <v>155662</v>
      </c>
      <c r="D22" s="13">
        <f t="shared" si="2"/>
        <v>155662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IFERROR(VLOOKUP(A23,[4]Małopolski!$A$7:$D$100,4,FALSE),0)</f>
        <v>76000</v>
      </c>
      <c r="D23" s="13">
        <f t="shared" si="2"/>
        <v>76000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IFERROR(VLOOKUP(A24,[4]Małopolski!$A$7:$D$100,4,FALSE),0)</f>
        <v>682300</v>
      </c>
      <c r="D24" s="31">
        <f>SUM(D25:D27)</f>
        <v>682300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IFERROR(VLOOKUP(A25,[4]Małopolski!$A$7:$D$100,4,FALSE),0)</f>
        <v>678300</v>
      </c>
      <c r="D25" s="13">
        <f t="shared" si="2"/>
        <v>678300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IFERROR(VLOOKUP(A26,[4]Małopolski!$A$7:$D$100,4,FALSE),0)</f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IFERROR(VLOOKUP(A27,[4]Małopolski!$A$7:$D$100,4,FALSE),0)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IFERROR(VLOOKUP(A28,[4]Małopolski!$A$7:$D$100,4,FALSE),0)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IFERROR(VLOOKUP(A29,[4]Małopolski!$A$7:$D$100,4,FALSE),0)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IFERROR(VLOOKUP(A30,[4]Małopolski!$A$7:$D$100,4,FALSE),0)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IFERROR(VLOOKUP(A31,[4]Małopolski!$A$7:$D$100,4,FALSE),0)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IFERROR(VLOOKUP(A32,[4]Małopolski!$A$7:$D$100,4,FALSE),0)</f>
        <v>15011</v>
      </c>
      <c r="D32" s="13">
        <f t="shared" si="2"/>
        <v>15011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IFERROR(VLOOKUP(A33,[4]Małopolski!$A$7:$D$100,4,FALSE),0)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f>IFERROR(VLOOKUP(A34,[4]Małopolski!$A$7:$D$100,4,FALSE),0)</f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f>IFERROR(VLOOKUP(A35,[4]Małopolski!$A$7:$D$100,4,FALSE),0)</f>
        <v>146114</v>
      </c>
      <c r="D35" s="37">
        <f>C35</f>
        <v>146114</v>
      </c>
      <c r="E35" s="7" t="str">
        <f t="shared" si="0"/>
        <v>-</v>
      </c>
      <c r="F35" s="40">
        <f t="shared" si="1"/>
        <v>1</v>
      </c>
    </row>
    <row r="36" spans="1:6" s="2" customFormat="1" ht="60.75" x14ac:dyDescent="0.2">
      <c r="A36" s="52" t="s">
        <v>188</v>
      </c>
      <c r="B36" s="17" t="s">
        <v>189</v>
      </c>
      <c r="C36" s="32">
        <f>IFERROR(VLOOKUP(A36,[4]Małopolski!$A$7:$D$100,4,FALSE),0)</f>
        <v>11131</v>
      </c>
      <c r="D36" s="37">
        <f>C36</f>
        <v>11131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1032508</v>
      </c>
      <c r="D37" s="32">
        <f>D11+D13+D24+D30</f>
        <v>1032508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43721</v>
      </c>
      <c r="D38" s="87">
        <f>D39+D40+D41+D49+D51+D57+D58+D56</f>
        <v>43721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IFERROR(VLOOKUP(A39,[4]Małopolski!$A$7:$D$100,4,FALSE),0)</f>
        <v>1728</v>
      </c>
      <c r="D39" s="33">
        <f>C39</f>
        <v>1728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IFERROR(VLOOKUP(A40,[4]Małopolski!$A$7:$D$100,4,FALSE),0)</f>
        <v>5673</v>
      </c>
      <c r="D40" s="33">
        <f t="shared" ref="D40:D58" si="3">C40</f>
        <v>5673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286</v>
      </c>
      <c r="D41" s="33">
        <f>D42+D44+D45+D46+D47+D48</f>
        <v>286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IFERROR(VLOOKUP(A42,[4]Małopolski!$A$7:$D$100,4,FALSE),0)</f>
        <v>24</v>
      </c>
      <c r="D42" s="33">
        <f t="shared" si="3"/>
        <v>24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IFERROR(VLOOKUP(A43,[4]Małopolski!$A$7:$D$100,4,FALSE),0)</f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IFERROR(VLOOKUP(A44,[4]Małopolski!$A$7:$D$100,4,FALSE),0)</f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IFERROR(VLOOKUP(A45,[4]Małopolski!$A$7:$D$100,4,FALSE),0)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f>IFERROR(VLOOKUP(A46,[4]Małopolski!$A$7:$D$100,4,FALSE),0)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IFERROR(VLOOKUP(A47,[4]Małopolski!$A$7:$D$100,4,FALSE),0)</f>
        <v>150</v>
      </c>
      <c r="D47" s="33">
        <f t="shared" si="3"/>
        <v>150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IFERROR(VLOOKUP(A48,[4]Małopolski!$A$7:$D$100,4,FALSE),0)</f>
        <v>59</v>
      </c>
      <c r="D48" s="33">
        <f t="shared" si="3"/>
        <v>59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IFERROR(VLOOKUP(A49,[4]Małopolski!$A$7:$D$100,4,FALSE),0)</f>
        <v>23528</v>
      </c>
      <c r="D49" s="33">
        <f t="shared" si="3"/>
        <v>23528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IFERROR(VLOOKUP(A50,[4]Małopolski!$A$7:$D$100,4,FALSE),0)</f>
        <v>24</v>
      </c>
      <c r="D50" s="33">
        <f t="shared" si="3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5251</v>
      </c>
      <c r="D51" s="29">
        <f>D52+D53+D54+D55</f>
        <v>5251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IFERROR(VLOOKUP(A52,[4]Małopolski!$A$7:$D$100,4,FALSE),0)</f>
        <v>4044</v>
      </c>
      <c r="D52" s="33">
        <f t="shared" si="3"/>
        <v>4044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IFERROR(VLOOKUP(A53,[4]Małopolski!$A$7:$D$100,4,FALSE),0)</f>
        <v>576</v>
      </c>
      <c r="D53" s="33">
        <f t="shared" si="3"/>
        <v>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IFERROR(VLOOKUP(A54,[4]Małopolski!$A$7:$D$100,4,FALSE),0)</f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IFERROR(VLOOKUP(A55,[4]Małopolski!$A$7:$D$100,4,FALSE),0)</f>
        <v>631</v>
      </c>
      <c r="D55" s="33">
        <f t="shared" si="3"/>
        <v>631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IFERROR(VLOOKUP(A56,[4]Małopolski!$A$7:$D$100,4,FALSE),0)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IFERROR(VLOOKUP(A57,[4]Małopolski!$A$7:$D$100,4,FALSE),0)</f>
        <v>6950</v>
      </c>
      <c r="D57" s="33">
        <f t="shared" si="3"/>
        <v>6950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IFERROR(VLOOKUP(A58,[4]Małopolski!$A$7:$D$100,4,FALSE),0)</f>
        <v>305</v>
      </c>
      <c r="D58" s="33">
        <f t="shared" si="3"/>
        <v>305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19360</v>
      </c>
      <c r="D59" s="107">
        <f>D60+D61+D62+D63</f>
        <v>12765</v>
      </c>
      <c r="E59" s="83">
        <f t="shared" si="0"/>
        <v>-6595</v>
      </c>
      <c r="F59" s="108">
        <f t="shared" si="1"/>
        <v>0.6593</v>
      </c>
    </row>
    <row r="60" spans="1:6" ht="42" customHeight="1" x14ac:dyDescent="0.2">
      <c r="A60" s="51" t="s">
        <v>100</v>
      </c>
      <c r="B60" s="18" t="s">
        <v>113</v>
      </c>
      <c r="C60" s="31">
        <f>IFERROR(VLOOKUP(A60,[4]Małopolski!$A$7:$D$100,4,FALSE),0)</f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f>IFERROR(VLOOKUP(A61,[4]Małopolski!$A$7:$D$100,4,FALSE),0)</f>
        <v>16095</v>
      </c>
      <c r="D61" s="33">
        <f>C61-6595</f>
        <v>9500</v>
      </c>
      <c r="E61" s="29">
        <f t="shared" si="0"/>
        <v>-6595</v>
      </c>
      <c r="F61" s="39">
        <f t="shared" si="1"/>
        <v>0.59019999999999995</v>
      </c>
    </row>
    <row r="62" spans="1:6" ht="31.5" customHeight="1" x14ac:dyDescent="0.2">
      <c r="A62" s="51" t="s">
        <v>30</v>
      </c>
      <c r="B62" s="18" t="s">
        <v>102</v>
      </c>
      <c r="C62" s="31">
        <f>IFERROR(VLOOKUP(A62,[4]Małopolski!$A$7:$D$100,4,FALSE),0)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IFERROR(VLOOKUP(A63,[4]Małopolski!$A$7:$D$100,4,FALSE),0)</f>
        <v>3265</v>
      </c>
      <c r="D63" s="33">
        <f>C63</f>
        <v>3265</v>
      </c>
      <c r="E63" s="29" t="str">
        <f t="shared" si="0"/>
        <v>-</v>
      </c>
      <c r="F63" s="39">
        <f t="shared" si="1"/>
        <v>1</v>
      </c>
    </row>
    <row r="64" spans="1:6" ht="32.25" customHeight="1" x14ac:dyDescent="0.2">
      <c r="A64" s="94" t="s">
        <v>135</v>
      </c>
      <c r="B64" s="95" t="s">
        <v>114</v>
      </c>
      <c r="C64" s="107">
        <f>IFERROR(VLOOKUP(A64,[4]Małopolski!$A$7:$D$100,4,FALSE),0)</f>
        <v>300</v>
      </c>
      <c r="D64" s="107">
        <f>C64+6595</f>
        <v>6895</v>
      </c>
      <c r="E64" s="83">
        <f t="shared" si="0"/>
        <v>6595</v>
      </c>
      <c r="F64" s="108">
        <f t="shared" si="1"/>
        <v>22.9833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Szeligowska Elżbieta</dc:creator>
  <cp:lastModifiedBy>Wodzynska Ewelina</cp:lastModifiedBy>
  <cp:lastPrinted>2016-12-08T10:02:40Z</cp:lastPrinted>
  <dcterms:created xsi:type="dcterms:W3CDTF">2005-07-21T09:51:05Z</dcterms:created>
  <dcterms:modified xsi:type="dcterms:W3CDTF">2017-10-24T10:46:31Z</dcterms:modified>
</cp:coreProperties>
</file>