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gpspgovpl-my.sharepoint.com/personal/khejduk_kg_straz_gov_pl/Documents/KG PSP/Płace/2023 rok/"/>
    </mc:Choice>
  </mc:AlternateContent>
  <xr:revisionPtr revIDLastSave="195" documentId="8_{A4FC3E4D-0BE2-5141-A4C8-E8CC626C1F56}" xr6:coauthVersionLast="47" xr6:coauthVersionMax="47" xr10:uidLastSave="{88CA614B-5B7E-1B46-ADEC-4E31067B710C}"/>
  <bookViews>
    <workbookView xWindow="0" yWindow="500" windowWidth="40960" windowHeight="21260" xr2:uid="{DE5FA656-267F-472B-BBE8-4E3FB8828A7F}"/>
  </bookViews>
  <sheets>
    <sheet name="Kalkulator" sheetId="22" r:id="rId1"/>
    <sheet name="Grupa" sheetId="4" state="hidden" r:id="rId2"/>
    <sheet name="Stopień" sheetId="3" state="hidden" r:id="rId3"/>
    <sheet name="Wysługa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2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5" i="4"/>
  <c r="F13" i="4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5" i="4"/>
  <c r="F5" i="4" s="1"/>
  <c r="K33" i="22"/>
  <c r="H30" i="22"/>
  <c r="H31" i="22" s="1"/>
  <c r="H22" i="22"/>
  <c r="H6" i="22" s="1"/>
  <c r="J14" i="22"/>
  <c r="K14" i="22" s="1"/>
  <c r="J12" i="22"/>
  <c r="J10" i="22"/>
  <c r="K10" i="22" s="1"/>
  <c r="J8" i="22"/>
  <c r="I8" i="22"/>
  <c r="I4" i="22"/>
  <c r="K8" i="22" l="1"/>
  <c r="L4" i="22"/>
  <c r="H23" i="22"/>
  <c r="J6" i="22"/>
  <c r="I6" i="22"/>
  <c r="I18" i="22" s="1"/>
  <c r="K4" i="22"/>
  <c r="K12" i="22"/>
  <c r="D26" i="4"/>
  <c r="L10" i="22" l="1"/>
  <c r="L12" i="22"/>
  <c r="K25" i="22"/>
  <c r="K6" i="22"/>
  <c r="J16" i="22" s="1"/>
  <c r="L6" i="22"/>
  <c r="W2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5" i="4"/>
  <c r="U12" i="4"/>
  <c r="P24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5" i="4"/>
  <c r="O23" i="4"/>
  <c r="O24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5" i="4"/>
  <c r="D29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6" i="4"/>
  <c r="M6" i="4"/>
  <c r="V6" i="4" s="1"/>
  <c r="M7" i="4"/>
  <c r="V7" i="4" s="1"/>
  <c r="M8" i="4"/>
  <c r="V8" i="4" s="1"/>
  <c r="M9" i="4"/>
  <c r="V9" i="4" s="1"/>
  <c r="M10" i="4"/>
  <c r="V10" i="4" s="1"/>
  <c r="M11" i="4"/>
  <c r="V11" i="4" s="1"/>
  <c r="M12" i="4"/>
  <c r="V12" i="4" s="1"/>
  <c r="M13" i="4"/>
  <c r="U13" i="4" s="1"/>
  <c r="M14" i="4"/>
  <c r="V14" i="4" s="1"/>
  <c r="M15" i="4"/>
  <c r="V15" i="4" s="1"/>
  <c r="M16" i="4"/>
  <c r="V16" i="4" s="1"/>
  <c r="M17" i="4"/>
  <c r="V17" i="4" s="1"/>
  <c r="M18" i="4"/>
  <c r="V18" i="4" s="1"/>
  <c r="M19" i="4"/>
  <c r="V19" i="4" s="1"/>
  <c r="M20" i="4"/>
  <c r="V20" i="4" s="1"/>
  <c r="M21" i="4"/>
  <c r="V21" i="4" s="1"/>
  <c r="M22" i="4"/>
  <c r="V22" i="4" s="1"/>
  <c r="M23" i="4"/>
  <c r="V23" i="4" s="1"/>
  <c r="M24" i="4"/>
  <c r="U24" i="4" s="1"/>
  <c r="M5" i="4"/>
  <c r="V5" i="4" s="1"/>
  <c r="K16" i="22" l="1"/>
  <c r="J18" i="22"/>
  <c r="K18" i="22" s="1"/>
  <c r="U9" i="4"/>
  <c r="U8" i="4"/>
  <c r="U5" i="4"/>
  <c r="U11" i="4"/>
  <c r="U16" i="4"/>
  <c r="U10" i="4"/>
  <c r="U19" i="4"/>
  <c r="U20" i="4"/>
  <c r="U18" i="4"/>
  <c r="U17" i="4"/>
  <c r="U23" i="4"/>
  <c r="U15" i="4"/>
  <c r="U7" i="4"/>
  <c r="U22" i="4"/>
  <c r="U14" i="4"/>
  <c r="U6" i="4"/>
  <c r="V13" i="4"/>
  <c r="U21" i="4"/>
  <c r="V24" i="4"/>
  <c r="L25" i="22" l="1"/>
  <c r="L18" i="22"/>
  <c r="K36" i="22"/>
  <c r="J36" i="22"/>
  <c r="L36" i="22" s="1"/>
</calcChain>
</file>

<file path=xl/sharedStrings.xml><?xml version="1.0" encoding="utf-8"?>
<sst xmlns="http://schemas.openxmlformats.org/spreadsheetml/2006/main" count="125" uniqueCount="100">
  <si>
    <t>Dodatek za stopień</t>
  </si>
  <si>
    <t>Grupa uposażenia zasadniczego</t>
  </si>
  <si>
    <t>Nr grupy</t>
  </si>
  <si>
    <t>Kwota w grupie 2022 rok</t>
  </si>
  <si>
    <t>Mnożnik w grupie</t>
  </si>
  <si>
    <t>Różnica pomiędzy grupą wyższą i niższą</t>
  </si>
  <si>
    <t>NOWY mnożnik w grupie od 2023 r.</t>
  </si>
  <si>
    <t>Kwota w grupie 2023 rok (zaokrąglenie)</t>
  </si>
  <si>
    <t>Generał brygadier</t>
  </si>
  <si>
    <t>gen.brygadier</t>
  </si>
  <si>
    <t>Nadbrygadier</t>
  </si>
  <si>
    <t>nadbryg.</t>
  </si>
  <si>
    <t>Starszy brygadier</t>
  </si>
  <si>
    <t>st.bryg.</t>
  </si>
  <si>
    <t>Brygadier</t>
  </si>
  <si>
    <t>bryg.</t>
  </si>
  <si>
    <t>Młodszy brygadier</t>
  </si>
  <si>
    <t>mł.bryg.</t>
  </si>
  <si>
    <t>Starszy kapitan</t>
  </si>
  <si>
    <t>st.kpt.</t>
  </si>
  <si>
    <t>Kapitan</t>
  </si>
  <si>
    <t>kpt.</t>
  </si>
  <si>
    <t>Młodszy kapitan</t>
  </si>
  <si>
    <t>mł.kpt.</t>
  </si>
  <si>
    <t>Aspirant sztabowy</t>
  </si>
  <si>
    <t>asp.sztab.</t>
  </si>
  <si>
    <t>Starszy aspirant</t>
  </si>
  <si>
    <t>st.asp.</t>
  </si>
  <si>
    <t>Aspirant</t>
  </si>
  <si>
    <t>asp.</t>
  </si>
  <si>
    <t>Młodszy aspirant</t>
  </si>
  <si>
    <t>mł.asp.</t>
  </si>
  <si>
    <t>Starszy ogniomistrz</t>
  </si>
  <si>
    <t>st.ogn.</t>
  </si>
  <si>
    <t>Ogniomistrz</t>
  </si>
  <si>
    <t>ogn.</t>
  </si>
  <si>
    <t>Młodszy ogniomistrz</t>
  </si>
  <si>
    <t>mł.ogn.</t>
  </si>
  <si>
    <t>Starszy sekcyjny</t>
  </si>
  <si>
    <t>st.sekc.</t>
  </si>
  <si>
    <t>Sekcyjny</t>
  </si>
  <si>
    <t>sekc.</t>
  </si>
  <si>
    <t>Starszy strażak</t>
  </si>
  <si>
    <t>st.str.</t>
  </si>
  <si>
    <t>Strażak</t>
  </si>
  <si>
    <t>str.</t>
  </si>
  <si>
    <t>Różnica</t>
  </si>
  <si>
    <t>Dodatek motywacyjny</t>
  </si>
  <si>
    <t>Kwota w grupie 2024 rok (zaokrąglenie)</t>
  </si>
  <si>
    <t>NOWY mnożnik w grupie od 2024 r.</t>
  </si>
  <si>
    <t>Różnica 2024-2023</t>
  </si>
  <si>
    <t>% wzrostu uposażenia zasadniczego</t>
  </si>
  <si>
    <t>Uposażenie</t>
  </si>
  <si>
    <t>Świadczenie za długoletnią służbę</t>
  </si>
  <si>
    <t>% świadczenia</t>
  </si>
  <si>
    <t>Różnica pomiędzy grupą wyższą i niższą 2023</t>
  </si>
  <si>
    <t>Podwyżka 2023</t>
  </si>
  <si>
    <t>% wzrostu</t>
  </si>
  <si>
    <t>Wyliczenie 15+</t>
  </si>
  <si>
    <t>Kwota bazowa 2023</t>
  </si>
  <si>
    <t>Dod.Stołeczny</t>
  </si>
  <si>
    <t>Dodatek stołeczny</t>
  </si>
  <si>
    <t>Tak</t>
  </si>
  <si>
    <t>Nie</t>
  </si>
  <si>
    <t>Data przeliczeniowa dd-mm-rrrr</t>
  </si>
  <si>
    <t>Kwota bazowa 2022</t>
  </si>
  <si>
    <t>Podwyżka 2023 
gr+sł.</t>
  </si>
  <si>
    <t>Podwyżka 2023 
grupa</t>
  </si>
  <si>
    <t>% wzrostu w grupie</t>
  </si>
  <si>
    <t>Średnia podwyżka (7,8%)</t>
  </si>
  <si>
    <t>% wzrostu grupa + staż</t>
  </si>
  <si>
    <t>Średnia podwyżka do 8% służb.</t>
  </si>
  <si>
    <t>Podwyżka służb.
(bez stażu)</t>
  </si>
  <si>
    <t>Średnia podwyżka dod.służb. I stażu</t>
  </si>
  <si>
    <t>Średnia</t>
  </si>
  <si>
    <t>2012 (I)</t>
  </si>
  <si>
    <t>2012 (X)</t>
  </si>
  <si>
    <t>2018 (I)</t>
  </si>
  <si>
    <t>2018 (V)</t>
  </si>
  <si>
    <t>Lata</t>
  </si>
  <si>
    <t>Proszę wybrać z listy</t>
  </si>
  <si>
    <t>Wzrost uposażenia zasadniczego 
z tytułu wysługi lat %</t>
  </si>
  <si>
    <t>Data na jaką liczymy wysługę 
(dd-mm-rrrr)</t>
  </si>
  <si>
    <t>% dod.sł.</t>
  </si>
  <si>
    <t>% dod.fun.</t>
  </si>
  <si>
    <t>nadbryg.Krzysztof Hejduk, Stanisław Rybicki</t>
  </si>
  <si>
    <r>
      <t xml:space="preserve">Liczymy tylko </t>
    </r>
    <r>
      <rPr>
        <b/>
        <u/>
        <sz val="11"/>
        <color theme="1"/>
        <rFont val="Calibri (Tekst podstawowy)"/>
        <charset val="238"/>
      </rPr>
      <t>lata służby</t>
    </r>
  </si>
  <si>
    <t>RAZEM BRUTTO :</t>
  </si>
  <si>
    <t xml:space="preserve">Razem brutto :  </t>
  </si>
  <si>
    <r>
      <t xml:space="preserve">Liczba wysługi lat zaliczanych 
do </t>
    </r>
    <r>
      <rPr>
        <b/>
        <u/>
        <sz val="11"/>
        <color theme="1"/>
        <rFont val="Calibri (Tekst podstawowy)"/>
        <charset val="238"/>
      </rPr>
      <t>pracy i służby</t>
    </r>
  </si>
  <si>
    <r>
      <t xml:space="preserve">Liczba wysługi </t>
    </r>
    <r>
      <rPr>
        <b/>
        <u/>
        <sz val="11"/>
        <color theme="1"/>
        <rFont val="Calibri (Tekst podstawowy)"/>
        <charset val="238"/>
      </rPr>
      <t>lat służby</t>
    </r>
  </si>
  <si>
    <t xml:space="preserve">Szablon opracował: </t>
  </si>
  <si>
    <r>
      <t xml:space="preserve">Kalkulator uposażeń PSP w 2023 roku </t>
    </r>
    <r>
      <rPr>
        <sz val="18"/>
        <color theme="1"/>
        <rFont val="Calibri"/>
        <family val="2"/>
        <scheme val="minor"/>
      </rPr>
      <t>*</t>
    </r>
  </si>
  <si>
    <t xml:space="preserve"> * kalkulacja poglądowa</t>
  </si>
  <si>
    <t>Kwota w grupie 2023 rok (mnoznik 2022 kw.bazowa 2023)</t>
  </si>
  <si>
    <t>Wzrost z tytułu zmiany kw.bazowej</t>
  </si>
  <si>
    <t>Wzrost z tytułu zmiany mnożnika</t>
  </si>
  <si>
    <t>Dodatek służbowy</t>
  </si>
  <si>
    <t>Dodatek funkcyjny</t>
  </si>
  <si>
    <r>
      <t xml:space="preserve">Zwiększenie uposażenia o </t>
    </r>
    <r>
      <rPr>
        <b/>
        <sz val="12"/>
        <color theme="1"/>
        <rFont val="Calibri (Tekst podstawowy)"/>
        <charset val="238"/>
      </rPr>
      <t>1/5</t>
    </r>
    <r>
      <rPr>
        <sz val="11"/>
        <color theme="1"/>
        <rFont val="Calibri"/>
        <family val="2"/>
        <charset val="238"/>
        <scheme val="minor"/>
      </rPr>
      <t xml:space="preserve"> (od grupy 
i wysługi) od 1.03 do 31.12.2023r. zgodnie z art. 41 "ustawy okołobudżetowej na 2023 r."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</si>
</sst>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>
    <font>
      <sz val="11"/>
      <color theme="1"/>
      <name val="Calibri"/>
      <family val="2"/>
      <charset val="238"/>
      <scheme val="minor"/>
    </font>
    <font>
      <b/>
      <sz val="12"/>
      <color indexed="8"/>
      <name val="Arial CE"/>
      <family val="2"/>
      <charset val="238"/>
    </font>
    <font>
      <sz val="12"/>
      <color indexed="8"/>
      <name val="Arial CE"/>
    </font>
    <font>
      <b/>
      <sz val="12"/>
      <color indexed="10"/>
      <name val="Arial CE"/>
      <family val="2"/>
      <charset val="238"/>
    </font>
    <font>
      <sz val="12"/>
      <color indexed="8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 (Tekst podstawowy)"/>
      <charset val="238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2"/>
      <color theme="1"/>
      <name val="Calibri (Tekst podstawowy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4FF6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2" borderId="3" xfId="0" applyNumberFormat="1" applyFont="1" applyFill="1" applyBorder="1"/>
    <xf numFmtId="4" fontId="3" fillId="2" borderId="4" xfId="0" applyNumberFormat="1" applyFont="1" applyFill="1" applyBorder="1"/>
    <xf numFmtId="164" fontId="2" fillId="2" borderId="5" xfId="0" applyNumberFormat="1" applyFont="1" applyFill="1" applyBorder="1"/>
    <xf numFmtId="4" fontId="2" fillId="2" borderId="6" xfId="0" applyNumberFormat="1" applyFont="1" applyFill="1" applyBorder="1"/>
    <xf numFmtId="164" fontId="4" fillId="2" borderId="4" xfId="0" applyNumberFormat="1" applyFont="1" applyFill="1" applyBorder="1"/>
    <xf numFmtId="4" fontId="3" fillId="2" borderId="4" xfId="0" quotePrefix="1" applyNumberFormat="1" applyFont="1" applyFill="1" applyBorder="1"/>
    <xf numFmtId="1" fontId="2" fillId="2" borderId="7" xfId="0" applyNumberFormat="1" applyFont="1" applyFill="1" applyBorder="1"/>
    <xf numFmtId="4" fontId="2" fillId="2" borderId="5" xfId="0" applyNumberFormat="1" applyFont="1" applyFill="1" applyBorder="1"/>
    <xf numFmtId="1" fontId="2" fillId="0" borderId="7" xfId="0" applyNumberFormat="1" applyFont="1" applyBorder="1"/>
    <xf numFmtId="164" fontId="2" fillId="0" borderId="5" xfId="0" applyNumberFormat="1" applyFont="1" applyBorder="1"/>
    <xf numFmtId="4" fontId="2" fillId="0" borderId="5" xfId="0" applyNumberFormat="1" applyFont="1" applyBorder="1"/>
    <xf numFmtId="1" fontId="2" fillId="0" borderId="8" xfId="0" applyNumberFormat="1" applyFont="1" applyBorder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" fontId="0" fillId="0" borderId="0" xfId="0" quotePrefix="1" applyNumberFormat="1"/>
    <xf numFmtId="10" fontId="0" fillId="0" borderId="0" xfId="0" applyNumberFormat="1"/>
    <xf numFmtId="2" fontId="0" fillId="0" borderId="0" xfId="0" applyNumberFormat="1"/>
    <xf numFmtId="4" fontId="1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/>
    <xf numFmtId="4" fontId="8" fillId="0" borderId="5" xfId="0" applyNumberFormat="1" applyFont="1" applyBorder="1"/>
    <xf numFmtId="2" fontId="8" fillId="0" borderId="5" xfId="0" applyNumberFormat="1" applyFont="1" applyBorder="1"/>
    <xf numFmtId="4" fontId="2" fillId="2" borderId="5" xfId="0" quotePrefix="1" applyNumberFormat="1" applyFont="1" applyFill="1" applyBorder="1"/>
    <xf numFmtId="0" fontId="0" fillId="0" borderId="5" xfId="0" applyBorder="1"/>
    <xf numFmtId="3" fontId="0" fillId="0" borderId="0" xfId="0" applyNumberFormat="1"/>
    <xf numFmtId="0" fontId="10" fillId="0" borderId="0" xfId="1"/>
    <xf numFmtId="0" fontId="13" fillId="0" borderId="0" xfId="0" applyFont="1"/>
    <xf numFmtId="1" fontId="0" fillId="0" borderId="0" xfId="0" quotePrefix="1" applyNumberFormat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1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14" fontId="0" fillId="0" borderId="5" xfId="0" applyNumberFormat="1" applyBorder="1" applyAlignment="1">
      <alignment vertical="center"/>
    </xf>
    <xf numFmtId="1" fontId="0" fillId="0" borderId="5" xfId="0" quotePrefix="1" applyNumberFormat="1" applyBorder="1"/>
    <xf numFmtId="4" fontId="0" fillId="0" borderId="20" xfId="0" quotePrefix="1" applyNumberFormat="1" applyBorder="1"/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1" fontId="0" fillId="0" borderId="5" xfId="0" quotePrefix="1" applyNumberFormat="1" applyBorder="1" applyAlignment="1">
      <alignment vertical="center"/>
    </xf>
    <xf numFmtId="2" fontId="14" fillId="0" borderId="1" xfId="0" applyNumberFormat="1" applyFont="1" applyBorder="1" applyAlignment="1">
      <alignment horizontal="right" vertical="center"/>
    </xf>
    <xf numFmtId="1" fontId="0" fillId="0" borderId="21" xfId="0" quotePrefix="1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right" vertical="center"/>
    </xf>
    <xf numFmtId="4" fontId="0" fillId="0" borderId="23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4" fontId="14" fillId="0" borderId="24" xfId="0" applyNumberFormat="1" applyFont="1" applyBorder="1" applyAlignment="1">
      <alignment horizontal="right" vertical="center"/>
    </xf>
    <xf numFmtId="4" fontId="0" fillId="0" borderId="22" xfId="0" applyNumberFormat="1" applyBorder="1" applyAlignment="1">
      <alignment vertical="center"/>
    </xf>
    <xf numFmtId="4" fontId="0" fillId="0" borderId="23" xfId="0" quotePrefix="1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0" fontId="16" fillId="0" borderId="0" xfId="0" applyFont="1" applyAlignment="1">
      <alignment wrapText="1"/>
    </xf>
    <xf numFmtId="4" fontId="0" fillId="0" borderId="25" xfId="0" applyNumberForma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3" xfId="0" quotePrefix="1" applyFont="1" applyBorder="1" applyAlignment="1">
      <alignment horizontal="right" vertical="center"/>
    </xf>
    <xf numFmtId="2" fontId="6" fillId="0" borderId="25" xfId="0" applyNumberFormat="1" applyFon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2" fontId="6" fillId="0" borderId="22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9" fillId="0" borderId="0" xfId="0" quotePrefix="1" applyFont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/>
    <xf numFmtId="164" fontId="2" fillId="3" borderId="4" xfId="0" applyNumberFormat="1" applyFont="1" applyFill="1" applyBorder="1"/>
    <xf numFmtId="4" fontId="3" fillId="3" borderId="4" xfId="0" quotePrefix="1" applyNumberFormat="1" applyFont="1" applyFill="1" applyBorder="1"/>
    <xf numFmtId="4" fontId="3" fillId="3" borderId="4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4" fontId="2" fillId="4" borderId="4" xfId="0" quotePrefix="1" applyNumberFormat="1" applyFont="1" applyFill="1" applyBorder="1"/>
    <xf numFmtId="4" fontId="0" fillId="0" borderId="23" xfId="0" applyNumberFormat="1" applyBorder="1" applyAlignment="1" applyProtection="1">
      <alignment vertical="center"/>
      <protection locked="0"/>
    </xf>
    <xf numFmtId="0" fontId="15" fillId="0" borderId="0" xfId="0" applyFont="1"/>
    <xf numFmtId="2" fontId="14" fillId="0" borderId="24" xfId="0" applyNumberFormat="1" applyFont="1" applyBorder="1" applyAlignment="1">
      <alignment horizontal="right" vertical="center"/>
    </xf>
    <xf numFmtId="0" fontId="0" fillId="5" borderId="21" xfId="0" applyFill="1" applyBorder="1" applyAlignment="1" applyProtection="1">
      <alignment horizontal="center" vertical="center"/>
      <protection locked="0"/>
    </xf>
    <xf numFmtId="4" fontId="0" fillId="5" borderId="22" xfId="0" applyNumberFormat="1" applyFill="1" applyBorder="1" applyAlignment="1" applyProtection="1">
      <alignment vertical="center"/>
      <protection locked="0"/>
    </xf>
    <xf numFmtId="14" fontId="0" fillId="5" borderId="5" xfId="0" applyNumberFormat="1" applyFill="1" applyBorder="1" applyAlignment="1" applyProtection="1">
      <alignment vertical="center"/>
      <protection locked="0"/>
    </xf>
    <xf numFmtId="4" fontId="0" fillId="5" borderId="17" xfId="0" quotePrefix="1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B4FF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37E0-FECA-D34D-9CD9-DA52CBAF7CA2}">
  <dimension ref="A1:R66"/>
  <sheetViews>
    <sheetView tabSelected="1" topLeftCell="G1" zoomScale="210" zoomScaleNormal="210" workbookViewId="0">
      <selection activeCell="G6" sqref="G6"/>
    </sheetView>
  </sheetViews>
  <sheetFormatPr baseColWidth="10" defaultColWidth="8.83203125" defaultRowHeight="15"/>
  <cols>
    <col min="1" max="5" width="8.83203125" hidden="1" customWidth="1"/>
    <col min="6" max="6" width="1.33203125" hidden="1" customWidth="1"/>
    <col min="7" max="7" width="31" style="18" customWidth="1"/>
    <col min="8" max="8" width="15" customWidth="1"/>
    <col min="9" max="10" width="11.83203125" customWidth="1"/>
    <col min="11" max="11" width="10.83203125" customWidth="1"/>
    <col min="12" max="12" width="7.6640625" customWidth="1"/>
  </cols>
  <sheetData>
    <row r="1" spans="7:17" ht="24">
      <c r="G1" s="88" t="s">
        <v>92</v>
      </c>
      <c r="H1" s="88"/>
      <c r="I1" s="88"/>
      <c r="J1" s="88"/>
      <c r="K1" s="88"/>
      <c r="L1" s="88"/>
    </row>
    <row r="2" spans="7:17" ht="16" thickBot="1"/>
    <row r="3" spans="7:17" ht="33" thickBot="1">
      <c r="G3" s="32"/>
      <c r="H3" s="33"/>
      <c r="I3" s="63">
        <v>44927</v>
      </c>
      <c r="J3" s="63">
        <v>44986</v>
      </c>
      <c r="K3" s="64" t="s">
        <v>46</v>
      </c>
      <c r="L3" s="64" t="s">
        <v>57</v>
      </c>
    </row>
    <row r="4" spans="7:17" ht="16">
      <c r="G4" s="34" t="s">
        <v>1</v>
      </c>
      <c r="H4" s="83">
        <v>5</v>
      </c>
      <c r="I4" s="62">
        <f>VLOOKUP($H$4,Grupa!$A$5:$M$24,2,1)</f>
        <v>3060</v>
      </c>
      <c r="J4" s="62">
        <f>VLOOKUP($H$4,Grupa!$A$5:$M$24,8,1)</f>
        <v>3370</v>
      </c>
      <c r="K4" s="62">
        <f>J4-I4</f>
        <v>310</v>
      </c>
      <c r="L4" s="66">
        <f>ROUND(J4/I4%-100,2)</f>
        <v>10.130000000000001</v>
      </c>
      <c r="N4" s="16"/>
    </row>
    <row r="5" spans="7:17">
      <c r="G5" s="35"/>
      <c r="I5" s="55"/>
      <c r="J5" s="55"/>
      <c r="K5" s="55"/>
      <c r="L5" s="67"/>
    </row>
    <row r="6" spans="7:17" ht="32">
      <c r="G6" s="34" t="s">
        <v>81</v>
      </c>
      <c r="H6" s="53">
        <f>IF(VLOOKUP($H$22,Wysługa!$A$2:$B$37,2,1)&gt;=2,VLOOKUP($H$22,Wysługa!$A$2:$B$37,2,1),0)</f>
        <v>24</v>
      </c>
      <c r="I6" s="54">
        <f>ROUND(I4*$H$6/100,2)</f>
        <v>734.4</v>
      </c>
      <c r="J6" s="54">
        <f>ROUND(J4*$H$6/100,2)</f>
        <v>808.8</v>
      </c>
      <c r="K6" s="54">
        <f>J6-I6</f>
        <v>74.399999999999977</v>
      </c>
      <c r="L6" s="68">
        <f>ROUND(J6/I6%-100,2)</f>
        <v>10.130000000000001</v>
      </c>
      <c r="N6" s="16"/>
    </row>
    <row r="7" spans="7:17">
      <c r="G7" s="35"/>
      <c r="H7" s="16"/>
      <c r="I7" s="55"/>
      <c r="J7" s="55"/>
      <c r="K7" s="55"/>
      <c r="L7" s="56"/>
    </row>
    <row r="8" spans="7:17" ht="16">
      <c r="G8" s="70" t="s">
        <v>0</v>
      </c>
      <c r="H8" s="83" t="s">
        <v>35</v>
      </c>
      <c r="I8" s="54">
        <f>VLOOKUP($H$8,Stopień!$C$1:$D$19,2,0)</f>
        <v>1732</v>
      </c>
      <c r="J8" s="54">
        <f>VLOOKUP($H$8,Stopień!$C$1:$D$19,2,0)</f>
        <v>1732</v>
      </c>
      <c r="K8" s="54">
        <f>J8-I8</f>
        <v>0</v>
      </c>
      <c r="L8" s="56"/>
      <c r="O8" s="29"/>
    </row>
    <row r="9" spans="7:17">
      <c r="G9" s="35"/>
      <c r="H9" s="17"/>
      <c r="I9" s="55"/>
      <c r="J9" s="55"/>
      <c r="K9" s="55"/>
      <c r="L9" s="65" t="s">
        <v>83</v>
      </c>
    </row>
    <row r="10" spans="7:17" ht="16">
      <c r="G10" s="70" t="s">
        <v>97</v>
      </c>
      <c r="I10" s="84">
        <v>450</v>
      </c>
      <c r="J10" s="58">
        <f>I10</f>
        <v>450</v>
      </c>
      <c r="K10" s="58">
        <f>J10-I10</f>
        <v>0</v>
      </c>
      <c r="L10" s="60">
        <f>ROUND(J10/(J4+J6+J8)%,2)</f>
        <v>7.61</v>
      </c>
    </row>
    <row r="11" spans="7:17">
      <c r="G11" s="71"/>
      <c r="I11" s="55"/>
      <c r="J11" s="59"/>
      <c r="K11" s="55"/>
      <c r="L11" s="65" t="s">
        <v>84</v>
      </c>
    </row>
    <row r="12" spans="7:17" ht="16" customHeight="1">
      <c r="G12" s="70" t="s">
        <v>98</v>
      </c>
      <c r="I12" s="84">
        <v>0</v>
      </c>
      <c r="J12" s="58">
        <f>I12</f>
        <v>0</v>
      </c>
      <c r="K12" s="58">
        <f t="shared" ref="K12:K18" si="0">J12-I12</f>
        <v>0</v>
      </c>
      <c r="L12" s="60">
        <f>ROUND(J12/(J4+J6+J8)%,2)</f>
        <v>0</v>
      </c>
    </row>
    <row r="13" spans="7:17">
      <c r="G13" s="35"/>
      <c r="I13" s="55"/>
      <c r="J13" s="59"/>
      <c r="K13" s="55"/>
      <c r="L13" s="56"/>
      <c r="Q13" s="87"/>
    </row>
    <row r="14" spans="7:17" s="30" customFormat="1" ht="16" customHeight="1">
      <c r="G14" s="70" t="s">
        <v>47</v>
      </c>
      <c r="H14"/>
      <c r="I14" s="84">
        <v>0</v>
      </c>
      <c r="J14" s="58">
        <f>I14</f>
        <v>0</v>
      </c>
      <c r="K14" s="58">
        <f t="shared" si="0"/>
        <v>0</v>
      </c>
      <c r="L14" s="56"/>
    </row>
    <row r="15" spans="7:17" s="30" customFormat="1" ht="15" customHeight="1">
      <c r="G15" s="71"/>
      <c r="H15"/>
      <c r="I15" s="80"/>
      <c r="J15" s="55"/>
      <c r="K15" s="55"/>
      <c r="L15" s="56"/>
    </row>
    <row r="16" spans="7:17" s="30" customFormat="1" ht="60" customHeight="1">
      <c r="G16" s="70" t="s">
        <v>99</v>
      </c>
      <c r="H16"/>
      <c r="I16" s="80"/>
      <c r="J16" s="58">
        <f>ROUND((K4+K6)/5,2)</f>
        <v>76.88</v>
      </c>
      <c r="K16" s="58">
        <f t="shared" si="0"/>
        <v>76.88</v>
      </c>
      <c r="L16" s="56"/>
    </row>
    <row r="17" spans="7:18">
      <c r="G17" s="36"/>
      <c r="I17" s="56"/>
      <c r="J17" s="56"/>
      <c r="K17" s="56"/>
      <c r="L17" s="56"/>
    </row>
    <row r="18" spans="7:18" ht="20" thickBot="1">
      <c r="G18" s="91" t="s">
        <v>88</v>
      </c>
      <c r="H18" s="92"/>
      <c r="I18" s="57">
        <f>SUM(I4:I17)</f>
        <v>5976.4</v>
      </c>
      <c r="J18" s="57">
        <f>J4+J6+J8+J14+J10+J12+J16</f>
        <v>6437.68</v>
      </c>
      <c r="K18" s="57">
        <f t="shared" si="0"/>
        <v>461.28000000000065</v>
      </c>
      <c r="L18" s="82">
        <f>ROUND(J18/I18%-100,2)</f>
        <v>7.72</v>
      </c>
    </row>
    <row r="19" spans="7:18">
      <c r="G19" s="36"/>
      <c r="L19" s="37"/>
    </row>
    <row r="20" spans="7:18" ht="17" customHeight="1">
      <c r="G20" s="70" t="s">
        <v>64</v>
      </c>
      <c r="H20" s="85">
        <v>35639</v>
      </c>
      <c r="L20" s="37"/>
    </row>
    <row r="21" spans="7:18" ht="32">
      <c r="G21" s="70" t="s">
        <v>82</v>
      </c>
      <c r="H21" s="44">
        <v>44986</v>
      </c>
      <c r="L21" s="37"/>
    </row>
    <row r="22" spans="7:18" ht="32" customHeight="1">
      <c r="G22" s="70" t="s">
        <v>89</v>
      </c>
      <c r="H22" s="51">
        <f>(YEAR(H21)-YEAR(H20))-IF(OR(MONTH(H21)&lt;MONTH(H20),AND(MONTH(H21)=MONTH(H20),DAY(H21)&lt;DAY(H20))),1,0)</f>
        <v>25</v>
      </c>
      <c r="I22" s="31"/>
      <c r="J22" s="31"/>
      <c r="L22" s="37"/>
    </row>
    <row r="23" spans="7:18" ht="17" customHeight="1" thickBot="1">
      <c r="G23" s="69" t="s">
        <v>51</v>
      </c>
      <c r="H23" s="46">
        <f>IF(VLOOKUP($H$22,Wysługa!$A$2:$B$37,2,1)&gt;=2,VLOOKUP($H$22,Wysługa!$A$2:$B$37,2,1),0)</f>
        <v>24</v>
      </c>
      <c r="I23" s="38"/>
      <c r="J23" s="38"/>
      <c r="K23" s="38"/>
      <c r="L23" s="39"/>
    </row>
    <row r="24" spans="7:18" ht="10" customHeight="1" thickBot="1"/>
    <row r="25" spans="7:18" ht="21" thickBot="1">
      <c r="G25" s="40" t="s">
        <v>58</v>
      </c>
      <c r="H25" s="33"/>
      <c r="I25" s="33"/>
      <c r="J25" s="33"/>
      <c r="K25" s="49">
        <f>ROUND((J4+J6)*$H$31/100,2)</f>
        <v>459.67</v>
      </c>
      <c r="L25" s="52">
        <f>ROUND((J18+K25)/I18%-100,2)</f>
        <v>15.41</v>
      </c>
    </row>
    <row r="26" spans="7:18" ht="16">
      <c r="G26" s="36" t="s">
        <v>53</v>
      </c>
      <c r="L26" s="37"/>
    </row>
    <row r="27" spans="7:18" ht="16">
      <c r="G27" s="36" t="s">
        <v>86</v>
      </c>
      <c r="L27" s="37"/>
    </row>
    <row r="28" spans="7:18" ht="17" customHeight="1">
      <c r="G28" s="70" t="s">
        <v>64</v>
      </c>
      <c r="H28" s="85">
        <v>37170</v>
      </c>
      <c r="L28" s="37"/>
      <c r="R28" s="16"/>
    </row>
    <row r="29" spans="7:18" ht="32">
      <c r="G29" s="70" t="s">
        <v>82</v>
      </c>
      <c r="H29" s="44">
        <v>44986</v>
      </c>
      <c r="L29" s="37"/>
    </row>
    <row r="30" spans="7:18" ht="16">
      <c r="G30" s="70" t="s">
        <v>90</v>
      </c>
      <c r="H30" s="45">
        <f>(YEAR(H29)-YEAR(H28))-IF(OR(MONTH(H29)&lt;MONTH(H28),AND(MONTH(H29)=MONTH(H28),DAY(H29)&lt;DAY(H28))),1,0)</f>
        <v>21</v>
      </c>
      <c r="L30" s="37"/>
    </row>
    <row r="31" spans="7:18" ht="17" thickBot="1">
      <c r="G31" s="69" t="s">
        <v>54</v>
      </c>
      <c r="H31" s="46">
        <f>VLOOKUP($H$30,Wysługa!$D$2:$E$27,2,1)</f>
        <v>11</v>
      </c>
      <c r="I31" s="38"/>
      <c r="J31" s="38"/>
      <c r="K31" s="38"/>
      <c r="L31" s="39"/>
    </row>
    <row r="32" spans="7:18" ht="10" customHeight="1" thickBot="1">
      <c r="H32" s="19"/>
    </row>
    <row r="33" spans="1:12" ht="21" thickBot="1">
      <c r="G33" s="41" t="s">
        <v>61</v>
      </c>
      <c r="H33" s="86" t="s">
        <v>63</v>
      </c>
      <c r="I33" s="42"/>
      <c r="J33" s="42"/>
      <c r="K33" s="52">
        <f>IF(H33="Tak",Grupa!D29,0)</f>
        <v>0</v>
      </c>
      <c r="L33" s="43"/>
    </row>
    <row r="34" spans="1:12" ht="4" customHeight="1">
      <c r="H34" s="19"/>
    </row>
    <row r="35" spans="1:12" ht="16" thickBot="1"/>
    <row r="36" spans="1:12" s="47" customFormat="1" ht="30" customHeight="1" thickBot="1">
      <c r="G36" s="48"/>
      <c r="H36" s="90" t="s">
        <v>87</v>
      </c>
      <c r="I36" s="90"/>
      <c r="J36" s="49">
        <f>I18+K18+K25+K33</f>
        <v>6897.35</v>
      </c>
      <c r="K36" s="49">
        <f>K18+K25+K33</f>
        <v>920.95000000000073</v>
      </c>
      <c r="L36" s="50">
        <f>ROUND(J36/I18%-100,2)</f>
        <v>15.41</v>
      </c>
    </row>
    <row r="37" spans="1:12" ht="27" customHeight="1">
      <c r="G37" s="72" t="s">
        <v>93</v>
      </c>
    </row>
    <row r="38" spans="1:12">
      <c r="G38" s="61" t="s">
        <v>91</v>
      </c>
    </row>
    <row r="39" spans="1:12" ht="15" customHeight="1">
      <c r="G39" s="89" t="s">
        <v>85</v>
      </c>
      <c r="H39" s="89"/>
      <c r="I39" s="89"/>
    </row>
    <row r="41" spans="1:12">
      <c r="A41" s="81" t="s">
        <v>80</v>
      </c>
      <c r="B41" s="81"/>
      <c r="C41" s="81" t="s">
        <v>80</v>
      </c>
      <c r="D41" s="81"/>
    </row>
    <row r="42" spans="1:12">
      <c r="A42" s="81">
        <v>1</v>
      </c>
      <c r="B42" s="81"/>
      <c r="C42" s="81" t="s">
        <v>45</v>
      </c>
      <c r="D42" s="81"/>
    </row>
    <row r="43" spans="1:12">
      <c r="A43" s="81">
        <v>2</v>
      </c>
      <c r="B43" s="81"/>
      <c r="C43" s="81" t="s">
        <v>43</v>
      </c>
      <c r="D43" s="81"/>
    </row>
    <row r="44" spans="1:12">
      <c r="A44" s="81">
        <v>3</v>
      </c>
      <c r="B44" s="81"/>
      <c r="C44" s="81" t="s">
        <v>41</v>
      </c>
      <c r="D44" s="81"/>
    </row>
    <row r="45" spans="1:12">
      <c r="A45" s="81">
        <v>4</v>
      </c>
      <c r="B45" s="81"/>
      <c r="C45" s="81" t="s">
        <v>39</v>
      </c>
      <c r="D45" s="81"/>
    </row>
    <row r="46" spans="1:12">
      <c r="A46" s="81">
        <v>5</v>
      </c>
      <c r="B46" s="81"/>
      <c r="C46" s="81" t="s">
        <v>37</v>
      </c>
      <c r="D46" s="81"/>
    </row>
    <row r="47" spans="1:12">
      <c r="A47" s="81">
        <v>6</v>
      </c>
      <c r="B47" s="81"/>
      <c r="C47" s="81" t="s">
        <v>35</v>
      </c>
      <c r="D47" s="81"/>
    </row>
    <row r="48" spans="1:12">
      <c r="A48" s="81">
        <v>7</v>
      </c>
      <c r="B48" s="81"/>
      <c r="C48" s="81" t="s">
        <v>33</v>
      </c>
      <c r="D48" s="81"/>
    </row>
    <row r="49" spans="1:4">
      <c r="A49" s="81">
        <v>8</v>
      </c>
      <c r="B49" s="81"/>
      <c r="C49" s="81" t="s">
        <v>31</v>
      </c>
      <c r="D49" s="81"/>
    </row>
    <row r="50" spans="1:4">
      <c r="A50" s="81">
        <v>9</v>
      </c>
      <c r="B50" s="81"/>
      <c r="C50" s="81" t="s">
        <v>29</v>
      </c>
      <c r="D50" s="81"/>
    </row>
    <row r="51" spans="1:4">
      <c r="A51" s="81">
        <v>10</v>
      </c>
      <c r="B51" s="81"/>
      <c r="C51" s="81" t="s">
        <v>27</v>
      </c>
      <c r="D51" s="81"/>
    </row>
    <row r="52" spans="1:4">
      <c r="A52" s="81">
        <v>11</v>
      </c>
      <c r="B52" s="81"/>
      <c r="C52" s="81" t="s">
        <v>25</v>
      </c>
      <c r="D52" s="81"/>
    </row>
    <row r="53" spans="1:4">
      <c r="A53" s="81">
        <v>12</v>
      </c>
      <c r="B53" s="81"/>
      <c r="C53" s="81" t="s">
        <v>23</v>
      </c>
      <c r="D53" s="81"/>
    </row>
    <row r="54" spans="1:4">
      <c r="A54" s="81">
        <v>13</v>
      </c>
      <c r="B54" s="81"/>
      <c r="C54" s="81" t="s">
        <v>21</v>
      </c>
      <c r="D54" s="81"/>
    </row>
    <row r="55" spans="1:4">
      <c r="A55" s="81">
        <v>14</v>
      </c>
      <c r="B55" s="81"/>
      <c r="C55" s="81" t="s">
        <v>19</v>
      </c>
      <c r="D55" s="81"/>
    </row>
    <row r="56" spans="1:4">
      <c r="A56" s="81">
        <v>15</v>
      </c>
      <c r="B56" s="81"/>
      <c r="C56" s="81" t="s">
        <v>17</v>
      </c>
      <c r="D56" s="81"/>
    </row>
    <row r="57" spans="1:4">
      <c r="A57" s="81">
        <v>16</v>
      </c>
      <c r="B57" s="81"/>
      <c r="C57" s="81" t="s">
        <v>15</v>
      </c>
      <c r="D57" s="81"/>
    </row>
    <row r="58" spans="1:4">
      <c r="A58" s="81">
        <v>17</v>
      </c>
      <c r="B58" s="81"/>
      <c r="C58" s="81" t="s">
        <v>13</v>
      </c>
      <c r="D58" s="81"/>
    </row>
    <row r="59" spans="1:4">
      <c r="A59" s="81">
        <v>18</v>
      </c>
      <c r="B59" s="81"/>
      <c r="C59" s="81" t="s">
        <v>11</v>
      </c>
      <c r="D59" s="81"/>
    </row>
    <row r="60" spans="1:4">
      <c r="A60" s="81">
        <v>19</v>
      </c>
      <c r="B60" s="81"/>
      <c r="C60" s="81" t="s">
        <v>9</v>
      </c>
      <c r="D60" s="81"/>
    </row>
    <row r="61" spans="1:4">
      <c r="A61" s="81">
        <v>20</v>
      </c>
      <c r="B61" s="81"/>
      <c r="C61" s="81"/>
      <c r="D61" s="81"/>
    </row>
    <row r="62" spans="1:4">
      <c r="A62" s="81"/>
      <c r="B62" s="81"/>
      <c r="C62" s="81"/>
      <c r="D62" s="81"/>
    </row>
    <row r="64" spans="1:4">
      <c r="A64" t="s">
        <v>80</v>
      </c>
    </row>
    <row r="65" spans="1:1">
      <c r="A65" t="s">
        <v>62</v>
      </c>
    </row>
    <row r="66" spans="1:1">
      <c r="A66" t="s">
        <v>63</v>
      </c>
    </row>
  </sheetData>
  <sheetProtection algorithmName="SHA-512" hashValue="Tu7TtC9I1cXsGdIEvFzByrJewXmShkLc2MLAkdvZxRbOeABtigIaFLSQ6Qn8F112qN535dy06K1Ax/gLHcu1zQ==" saltValue="v8nDXd8iT1p/tmY3iTai+g==" spinCount="100000" sheet="1" objects="1" scenarios="1"/>
  <mergeCells count="4">
    <mergeCell ref="G1:L1"/>
    <mergeCell ref="G39:I39"/>
    <mergeCell ref="H36:I36"/>
    <mergeCell ref="G18:H18"/>
  </mergeCells>
  <dataValidations count="3">
    <dataValidation type="list" allowBlank="1" showInputMessage="1" showErrorMessage="1" sqref="H4" xr:uid="{A88893EF-8781-6445-9CC3-CD152E9AB61E}">
      <formula1>$A$41:$A$61</formula1>
    </dataValidation>
    <dataValidation type="list" allowBlank="1" showInputMessage="1" showErrorMessage="1" sqref="H8" xr:uid="{094ED0C0-963B-9741-9B31-374B51F98506}">
      <formula1>$C$41:$C$60</formula1>
    </dataValidation>
    <dataValidation type="list" allowBlank="1" showInputMessage="1" showErrorMessage="1" sqref="H33" xr:uid="{FC76A9C4-5EDA-C546-B4E4-1074F68F4AE8}">
      <formula1>$A$64:$A$66</formula1>
    </dataValidation>
  </dataValidations>
  <pageMargins left="0.45" right="0.45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5AF1-5BCB-4E8E-B3D2-4F94DBB56689}">
  <dimension ref="A3:W53"/>
  <sheetViews>
    <sheetView workbookViewId="0">
      <selection activeCell="I19" sqref="I19"/>
    </sheetView>
  </sheetViews>
  <sheetFormatPr baseColWidth="10" defaultColWidth="8.83203125" defaultRowHeight="15"/>
  <cols>
    <col min="2" max="3" width="15.83203125" customWidth="1"/>
    <col min="4" max="10" width="17.33203125" customWidth="1"/>
    <col min="11" max="11" width="18.33203125" customWidth="1"/>
    <col min="12" max="12" width="18.5" customWidth="1"/>
    <col min="13" max="13" width="18.6640625" customWidth="1"/>
    <col min="14" max="14" width="14.5" customWidth="1"/>
    <col min="15" max="20" width="11.33203125" customWidth="1"/>
    <col min="21" max="21" width="11.6640625" customWidth="1"/>
    <col min="22" max="22" width="11.33203125" customWidth="1"/>
    <col min="23" max="23" width="11.83203125" customWidth="1"/>
  </cols>
  <sheetData>
    <row r="3" spans="1:23" ht="16" thickBot="1"/>
    <row r="4" spans="1:23" ht="86" thickBot="1">
      <c r="A4" s="1" t="s">
        <v>2</v>
      </c>
      <c r="B4" s="1" t="s">
        <v>3</v>
      </c>
      <c r="C4" s="2" t="s">
        <v>4</v>
      </c>
      <c r="D4" s="2" t="s">
        <v>5</v>
      </c>
      <c r="E4" s="73" t="s">
        <v>94</v>
      </c>
      <c r="F4" s="73" t="s">
        <v>95</v>
      </c>
      <c r="G4" s="73" t="s">
        <v>6</v>
      </c>
      <c r="H4" s="73" t="s">
        <v>7</v>
      </c>
      <c r="I4" s="73" t="s">
        <v>96</v>
      </c>
      <c r="J4" s="73"/>
      <c r="K4" s="2" t="s">
        <v>49</v>
      </c>
      <c r="L4" s="3" t="s">
        <v>48</v>
      </c>
      <c r="M4" s="78" t="s">
        <v>50</v>
      </c>
      <c r="N4" s="22" t="s">
        <v>55</v>
      </c>
      <c r="O4" s="22" t="s">
        <v>67</v>
      </c>
      <c r="P4" s="22" t="s">
        <v>68</v>
      </c>
      <c r="Q4" s="22" t="s">
        <v>69</v>
      </c>
      <c r="R4" s="22" t="s">
        <v>70</v>
      </c>
      <c r="S4" s="22" t="s">
        <v>71</v>
      </c>
      <c r="T4" s="22" t="s">
        <v>73</v>
      </c>
      <c r="U4" s="22" t="s">
        <v>72</v>
      </c>
      <c r="V4" s="22" t="s">
        <v>66</v>
      </c>
      <c r="W4" s="22" t="s">
        <v>56</v>
      </c>
    </row>
    <row r="5" spans="1:23" ht="16">
      <c r="A5" s="4">
        <v>1</v>
      </c>
      <c r="B5" s="5">
        <v>2550</v>
      </c>
      <c r="C5" s="6">
        <v>1.5770000000000002</v>
      </c>
      <c r="D5" s="7"/>
      <c r="E5" s="74">
        <f>ROUND(C5*$D$28,-1)</f>
        <v>2740</v>
      </c>
      <c r="F5" s="74">
        <f>E5-B5</f>
        <v>190</v>
      </c>
      <c r="G5" s="75">
        <v>1.6110000000000002</v>
      </c>
      <c r="H5" s="76">
        <v>2800</v>
      </c>
      <c r="I5" s="76">
        <f>H5-E5</f>
        <v>60</v>
      </c>
      <c r="J5" s="76">
        <f>H5-B5</f>
        <v>250</v>
      </c>
      <c r="K5" s="8">
        <v>1.6140000000000001</v>
      </c>
      <c r="L5" s="9">
        <v>2810</v>
      </c>
      <c r="M5" s="79">
        <f t="shared" ref="M5:M24" si="0">L5-H5</f>
        <v>10</v>
      </c>
      <c r="N5" s="23"/>
      <c r="O5" s="24">
        <f>H5-B5</f>
        <v>250</v>
      </c>
      <c r="P5" s="25">
        <f>ROUND(H5/B5%-100,2)</f>
        <v>9.8000000000000007</v>
      </c>
      <c r="Q5" s="26">
        <v>264.47149972329828</v>
      </c>
      <c r="R5" s="26">
        <v>5.8984986209201606</v>
      </c>
      <c r="S5" s="26">
        <v>241.6712562257876</v>
      </c>
      <c r="T5" s="26">
        <v>11.388781405652708</v>
      </c>
      <c r="U5" s="24">
        <f>M5</f>
        <v>10</v>
      </c>
      <c r="V5" s="24">
        <f>H5-B5+M5</f>
        <v>260</v>
      </c>
      <c r="W5" s="24">
        <f>Q5+S5+T5</f>
        <v>517.53153735473859</v>
      </c>
    </row>
    <row r="6" spans="1:23" ht="16">
      <c r="A6" s="10">
        <v>2</v>
      </c>
      <c r="B6" s="5">
        <v>2820</v>
      </c>
      <c r="C6" s="6">
        <v>1.7489999999999999</v>
      </c>
      <c r="D6" s="11">
        <v>270</v>
      </c>
      <c r="E6" s="74">
        <f t="shared" ref="E6:E24" si="1">ROUND(C6*$D$28,-1)</f>
        <v>3040</v>
      </c>
      <c r="F6" s="74">
        <f t="shared" ref="F6:F24" si="2">E6-B6</f>
        <v>220</v>
      </c>
      <c r="G6" s="75">
        <v>1.7659999999999998</v>
      </c>
      <c r="H6" s="77">
        <v>3070</v>
      </c>
      <c r="I6" s="76">
        <f t="shared" ref="I6:I24" si="3">H6-E6</f>
        <v>30</v>
      </c>
      <c r="J6" s="76">
        <f t="shared" ref="J6:J24" si="4">H6-B6</f>
        <v>250</v>
      </c>
      <c r="K6" s="8">
        <v>1.7709999999999997</v>
      </c>
      <c r="L6" s="5">
        <v>3080</v>
      </c>
      <c r="M6" s="79">
        <f t="shared" si="0"/>
        <v>10</v>
      </c>
      <c r="N6" s="24">
        <f>H6-H5</f>
        <v>270</v>
      </c>
      <c r="O6" s="24">
        <f t="shared" ref="O6:O24" si="5">H6-B6</f>
        <v>250</v>
      </c>
      <c r="P6" s="25">
        <f t="shared" ref="P6:P23" si="6">ROUND(H6/B6%-100,2)</f>
        <v>8.8699999999999992</v>
      </c>
      <c r="Q6" s="26">
        <v>0</v>
      </c>
      <c r="R6" s="26">
        <v>0</v>
      </c>
      <c r="S6" s="26">
        <v>0</v>
      </c>
      <c r="T6" s="26">
        <v>0</v>
      </c>
      <c r="U6" s="24">
        <f t="shared" ref="U6:U24" si="7">M6</f>
        <v>10</v>
      </c>
      <c r="V6" s="24">
        <f t="shared" ref="V6:V24" si="8">H6-B6+M6</f>
        <v>260</v>
      </c>
      <c r="W6" s="24">
        <f t="shared" ref="W6:W25" si="9">Q6+S6+T6</f>
        <v>0</v>
      </c>
    </row>
    <row r="7" spans="1:23" ht="16">
      <c r="A7" s="10">
        <v>3</v>
      </c>
      <c r="B7" s="5">
        <v>2930</v>
      </c>
      <c r="C7" s="6">
        <v>1.8129999999999999</v>
      </c>
      <c r="D7" s="11">
        <v>110</v>
      </c>
      <c r="E7" s="74">
        <f t="shared" si="1"/>
        <v>3160</v>
      </c>
      <c r="F7" s="74">
        <f t="shared" si="2"/>
        <v>230</v>
      </c>
      <c r="G7" s="75">
        <v>1.8249999999999997</v>
      </c>
      <c r="H7" s="77">
        <v>3180</v>
      </c>
      <c r="I7" s="76">
        <f t="shared" si="3"/>
        <v>20</v>
      </c>
      <c r="J7" s="76">
        <f t="shared" si="4"/>
        <v>250</v>
      </c>
      <c r="K7" s="8">
        <v>1.825</v>
      </c>
      <c r="L7" s="5">
        <v>3180</v>
      </c>
      <c r="M7" s="79">
        <f t="shared" si="0"/>
        <v>0</v>
      </c>
      <c r="N7" s="24">
        <f t="shared" ref="N7:N24" si="10">H7-H6</f>
        <v>110</v>
      </c>
      <c r="O7" s="24">
        <f t="shared" si="5"/>
        <v>250</v>
      </c>
      <c r="P7" s="25">
        <f t="shared" si="6"/>
        <v>8.5299999999999994</v>
      </c>
      <c r="Q7" s="26">
        <v>272.12890625</v>
      </c>
      <c r="R7" s="26">
        <v>5.3000628742558886</v>
      </c>
      <c r="S7" s="26">
        <v>185.597549278847</v>
      </c>
      <c r="T7" s="26">
        <v>0</v>
      </c>
      <c r="U7" s="24">
        <f t="shared" si="7"/>
        <v>0</v>
      </c>
      <c r="V7" s="24">
        <f t="shared" si="8"/>
        <v>250</v>
      </c>
      <c r="W7" s="24">
        <f t="shared" si="9"/>
        <v>457.726455528847</v>
      </c>
    </row>
    <row r="8" spans="1:23" ht="16">
      <c r="A8" s="10">
        <v>4</v>
      </c>
      <c r="B8" s="5">
        <v>3030</v>
      </c>
      <c r="C8" s="6">
        <v>1.8759999999999999</v>
      </c>
      <c r="D8" s="11">
        <v>100</v>
      </c>
      <c r="E8" s="74">
        <f t="shared" si="1"/>
        <v>3270</v>
      </c>
      <c r="F8" s="74">
        <f t="shared" si="2"/>
        <v>240</v>
      </c>
      <c r="G8" s="75">
        <v>1.8819999999999999</v>
      </c>
      <c r="H8" s="77">
        <v>3280</v>
      </c>
      <c r="I8" s="76">
        <f t="shared" si="3"/>
        <v>10</v>
      </c>
      <c r="J8" s="76">
        <f t="shared" si="4"/>
        <v>250</v>
      </c>
      <c r="K8" s="8">
        <v>1.8819999999999999</v>
      </c>
      <c r="L8" s="5">
        <v>3280</v>
      </c>
      <c r="M8" s="79">
        <f t="shared" si="0"/>
        <v>0</v>
      </c>
      <c r="N8" s="24">
        <f t="shared" si="10"/>
        <v>100</v>
      </c>
      <c r="O8" s="24">
        <f t="shared" si="5"/>
        <v>250</v>
      </c>
      <c r="P8" s="25">
        <f t="shared" si="6"/>
        <v>8.25</v>
      </c>
      <c r="Q8" s="26">
        <v>281.52531411677751</v>
      </c>
      <c r="R8" s="26">
        <v>5.1172927915931945</v>
      </c>
      <c r="S8" s="26">
        <v>118.13433702882429</v>
      </c>
      <c r="T8" s="26">
        <v>0</v>
      </c>
      <c r="U8" s="24">
        <f t="shared" si="7"/>
        <v>0</v>
      </c>
      <c r="V8" s="24">
        <f t="shared" si="8"/>
        <v>250</v>
      </c>
      <c r="W8" s="24">
        <f t="shared" si="9"/>
        <v>399.6596511456018</v>
      </c>
    </row>
    <row r="9" spans="1:23" ht="16">
      <c r="A9" s="10">
        <v>5</v>
      </c>
      <c r="B9" s="5">
        <v>3060</v>
      </c>
      <c r="C9" s="6">
        <v>1.8960000000000004</v>
      </c>
      <c r="D9" s="11">
        <v>30</v>
      </c>
      <c r="E9" s="74">
        <f t="shared" si="1"/>
        <v>3300</v>
      </c>
      <c r="F9" s="74">
        <f t="shared" si="2"/>
        <v>240</v>
      </c>
      <c r="G9" s="75">
        <v>1.9360000000000004</v>
      </c>
      <c r="H9" s="77">
        <v>3370</v>
      </c>
      <c r="I9" s="76">
        <f t="shared" si="3"/>
        <v>70</v>
      </c>
      <c r="J9" s="76">
        <f t="shared" si="4"/>
        <v>310</v>
      </c>
      <c r="K9" s="8">
        <v>1.9420000000000004</v>
      </c>
      <c r="L9" s="5">
        <v>3380</v>
      </c>
      <c r="M9" s="79">
        <f t="shared" si="0"/>
        <v>10</v>
      </c>
      <c r="N9" s="24">
        <f t="shared" si="10"/>
        <v>90</v>
      </c>
      <c r="O9" s="24">
        <f t="shared" si="5"/>
        <v>310</v>
      </c>
      <c r="P9" s="25">
        <f t="shared" si="6"/>
        <v>10.130000000000001</v>
      </c>
      <c r="Q9" s="26">
        <v>356.24345850274989</v>
      </c>
      <c r="R9" s="26">
        <v>6.2253113911350111</v>
      </c>
      <c r="S9" s="26">
        <v>87.509042812723862</v>
      </c>
      <c r="T9" s="26">
        <v>12.079878497967229</v>
      </c>
      <c r="U9" s="24">
        <f t="shared" si="7"/>
        <v>10</v>
      </c>
      <c r="V9" s="24">
        <f t="shared" si="8"/>
        <v>320</v>
      </c>
      <c r="W9" s="24">
        <f t="shared" si="9"/>
        <v>455.83237981344098</v>
      </c>
    </row>
    <row r="10" spans="1:23" ht="16">
      <c r="A10" s="10">
        <v>6</v>
      </c>
      <c r="B10" s="5">
        <v>3080</v>
      </c>
      <c r="C10" s="6">
        <v>1.9060000000000001</v>
      </c>
      <c r="D10" s="11">
        <v>20</v>
      </c>
      <c r="E10" s="74">
        <f t="shared" si="1"/>
        <v>3320</v>
      </c>
      <c r="F10" s="74">
        <f t="shared" si="2"/>
        <v>240</v>
      </c>
      <c r="G10" s="75">
        <v>1.9860000000000002</v>
      </c>
      <c r="H10" s="77">
        <v>3460</v>
      </c>
      <c r="I10" s="76">
        <f t="shared" si="3"/>
        <v>140</v>
      </c>
      <c r="J10" s="76">
        <f t="shared" si="4"/>
        <v>380</v>
      </c>
      <c r="K10" s="8">
        <v>1.9980000000000002</v>
      </c>
      <c r="L10" s="5">
        <v>3480</v>
      </c>
      <c r="M10" s="79">
        <f t="shared" si="0"/>
        <v>20</v>
      </c>
      <c r="N10" s="24">
        <f t="shared" si="10"/>
        <v>90</v>
      </c>
      <c r="O10" s="24">
        <f t="shared" si="5"/>
        <v>380</v>
      </c>
      <c r="P10" s="25">
        <f t="shared" si="6"/>
        <v>12.34</v>
      </c>
      <c r="Q10" s="26">
        <v>451.41877835951135</v>
      </c>
      <c r="R10" s="26">
        <v>7.5274082453993474</v>
      </c>
      <c r="S10" s="26">
        <v>35.164264572425282</v>
      </c>
      <c r="T10" s="26">
        <v>24.43007050610754</v>
      </c>
      <c r="U10" s="24">
        <f t="shared" si="7"/>
        <v>20</v>
      </c>
      <c r="V10" s="24">
        <f t="shared" si="8"/>
        <v>400</v>
      </c>
      <c r="W10" s="24">
        <f t="shared" si="9"/>
        <v>511.01311343804417</v>
      </c>
    </row>
    <row r="11" spans="1:23" ht="16">
      <c r="A11" s="10">
        <v>7</v>
      </c>
      <c r="B11" s="5">
        <v>3110</v>
      </c>
      <c r="C11" s="6">
        <v>1.9260000000000002</v>
      </c>
      <c r="D11" s="11">
        <v>30</v>
      </c>
      <c r="E11" s="74">
        <f t="shared" si="1"/>
        <v>3350</v>
      </c>
      <c r="F11" s="74">
        <f t="shared" si="2"/>
        <v>240</v>
      </c>
      <c r="G11" s="75">
        <v>2.0410000000000004</v>
      </c>
      <c r="H11" s="77">
        <v>3550</v>
      </c>
      <c r="I11" s="76">
        <f t="shared" si="3"/>
        <v>200</v>
      </c>
      <c r="J11" s="76">
        <f t="shared" si="4"/>
        <v>440</v>
      </c>
      <c r="K11" s="8">
        <v>2.0580000000000003</v>
      </c>
      <c r="L11" s="5">
        <v>3580</v>
      </c>
      <c r="M11" s="79">
        <f t="shared" si="0"/>
        <v>30</v>
      </c>
      <c r="N11" s="24">
        <f t="shared" si="10"/>
        <v>90</v>
      </c>
      <c r="O11" s="24">
        <f t="shared" si="5"/>
        <v>440</v>
      </c>
      <c r="P11" s="25">
        <f t="shared" si="6"/>
        <v>14.15</v>
      </c>
      <c r="Q11" s="26">
        <v>527.42633228839975</v>
      </c>
      <c r="R11" s="26">
        <v>8.4491619755542278</v>
      </c>
      <c r="S11" s="26">
        <v>19.004448560839364</v>
      </c>
      <c r="T11" s="26">
        <v>36.472969506977392</v>
      </c>
      <c r="U11" s="24">
        <f t="shared" si="7"/>
        <v>30</v>
      </c>
      <c r="V11" s="24">
        <f t="shared" si="8"/>
        <v>470</v>
      </c>
      <c r="W11" s="24">
        <f t="shared" si="9"/>
        <v>582.90375035621651</v>
      </c>
    </row>
    <row r="12" spans="1:23" ht="16">
      <c r="A12" s="10">
        <v>8</v>
      </c>
      <c r="B12" s="5">
        <v>3150</v>
      </c>
      <c r="C12" s="6">
        <v>1.9500000000000002</v>
      </c>
      <c r="D12" s="11">
        <v>40</v>
      </c>
      <c r="E12" s="74">
        <f t="shared" si="1"/>
        <v>3390</v>
      </c>
      <c r="F12" s="74">
        <f t="shared" si="2"/>
        <v>240</v>
      </c>
      <c r="G12" s="75">
        <v>2.0940000000000003</v>
      </c>
      <c r="H12" s="77">
        <v>3640</v>
      </c>
      <c r="I12" s="76">
        <f t="shared" si="3"/>
        <v>250</v>
      </c>
      <c r="J12" s="76">
        <f t="shared" si="4"/>
        <v>490</v>
      </c>
      <c r="K12" s="8">
        <v>2.117</v>
      </c>
      <c r="L12" s="5">
        <v>3680</v>
      </c>
      <c r="M12" s="79">
        <f t="shared" si="0"/>
        <v>40</v>
      </c>
      <c r="N12" s="24">
        <f t="shared" si="10"/>
        <v>90</v>
      </c>
      <c r="O12" s="24">
        <f t="shared" si="5"/>
        <v>490</v>
      </c>
      <c r="P12" s="25">
        <f t="shared" si="6"/>
        <v>15.56</v>
      </c>
      <c r="Q12" s="26">
        <v>581.59434984520124</v>
      </c>
      <c r="R12" s="26">
        <v>8.961873724601503</v>
      </c>
      <c r="S12" s="26">
        <v>3.3237863777087568</v>
      </c>
      <c r="T12" s="26">
        <v>47.59893498451936</v>
      </c>
      <c r="U12" s="24">
        <f t="shared" si="7"/>
        <v>40</v>
      </c>
      <c r="V12" s="24">
        <f t="shared" si="8"/>
        <v>530</v>
      </c>
      <c r="W12" s="24">
        <f t="shared" si="9"/>
        <v>632.51707120742935</v>
      </c>
    </row>
    <row r="13" spans="1:23" ht="16">
      <c r="A13" s="10">
        <v>9</v>
      </c>
      <c r="B13" s="5">
        <v>3170</v>
      </c>
      <c r="C13" s="6">
        <v>1.9610000000000003</v>
      </c>
      <c r="D13" s="11">
        <v>20</v>
      </c>
      <c r="E13" s="74">
        <f t="shared" si="1"/>
        <v>3410</v>
      </c>
      <c r="F13" s="74">
        <f t="shared" si="2"/>
        <v>240</v>
      </c>
      <c r="G13" s="75">
        <v>2.1450000000000005</v>
      </c>
      <c r="H13" s="77">
        <v>3730</v>
      </c>
      <c r="I13" s="76">
        <f t="shared" si="3"/>
        <v>320</v>
      </c>
      <c r="J13" s="76">
        <f t="shared" si="4"/>
        <v>560</v>
      </c>
      <c r="K13" s="8">
        <v>2.1740000000000004</v>
      </c>
      <c r="L13" s="5">
        <v>3780</v>
      </c>
      <c r="M13" s="79">
        <f t="shared" si="0"/>
        <v>50</v>
      </c>
      <c r="N13" s="24">
        <f t="shared" si="10"/>
        <v>90</v>
      </c>
      <c r="O13" s="24">
        <f t="shared" si="5"/>
        <v>560</v>
      </c>
      <c r="P13" s="25">
        <f t="shared" si="6"/>
        <v>17.670000000000002</v>
      </c>
      <c r="Q13" s="26">
        <v>671.87818877550501</v>
      </c>
      <c r="R13" s="26">
        <v>9.9958069757539647</v>
      </c>
      <c r="S13" s="26">
        <v>1.6257015306125595</v>
      </c>
      <c r="T13" s="26">
        <v>60.102901785714266</v>
      </c>
      <c r="U13" s="24">
        <f t="shared" si="7"/>
        <v>50</v>
      </c>
      <c r="V13" s="24">
        <f t="shared" si="8"/>
        <v>610</v>
      </c>
      <c r="W13" s="24">
        <f t="shared" si="9"/>
        <v>733.60679209183184</v>
      </c>
    </row>
    <row r="14" spans="1:23" ht="16">
      <c r="A14" s="10">
        <v>10</v>
      </c>
      <c r="B14" s="5">
        <v>3260</v>
      </c>
      <c r="C14" s="6">
        <v>2.02</v>
      </c>
      <c r="D14" s="11">
        <v>90</v>
      </c>
      <c r="E14" s="74">
        <f t="shared" si="1"/>
        <v>3520</v>
      </c>
      <c r="F14" s="74">
        <f t="shared" si="2"/>
        <v>260</v>
      </c>
      <c r="G14" s="75">
        <v>2.1920000000000002</v>
      </c>
      <c r="H14" s="77">
        <v>3820</v>
      </c>
      <c r="I14" s="76">
        <f t="shared" si="3"/>
        <v>300</v>
      </c>
      <c r="J14" s="76">
        <f t="shared" si="4"/>
        <v>560</v>
      </c>
      <c r="K14" s="8">
        <v>2.2270000000000003</v>
      </c>
      <c r="L14" s="5">
        <v>3880</v>
      </c>
      <c r="M14" s="79">
        <f t="shared" si="0"/>
        <v>60</v>
      </c>
      <c r="N14" s="24">
        <f t="shared" si="10"/>
        <v>90</v>
      </c>
      <c r="O14" s="24">
        <f t="shared" si="5"/>
        <v>560</v>
      </c>
      <c r="P14" s="25">
        <f t="shared" si="6"/>
        <v>17.18</v>
      </c>
      <c r="Q14" s="26">
        <v>683.10159689253192</v>
      </c>
      <c r="R14" s="26">
        <v>9.3886838821706817</v>
      </c>
      <c r="S14" s="26">
        <v>0.27648856279665779</v>
      </c>
      <c r="T14" s="26">
        <v>73.204640483384651</v>
      </c>
      <c r="U14" s="24">
        <f t="shared" si="7"/>
        <v>60</v>
      </c>
      <c r="V14" s="24">
        <f t="shared" si="8"/>
        <v>620</v>
      </c>
      <c r="W14" s="24">
        <f t="shared" si="9"/>
        <v>756.58272593871322</v>
      </c>
    </row>
    <row r="15" spans="1:23" ht="16">
      <c r="A15" s="10">
        <v>11</v>
      </c>
      <c r="B15" s="5">
        <v>3350</v>
      </c>
      <c r="C15" s="6">
        <v>2.0740000000000003</v>
      </c>
      <c r="D15" s="11">
        <v>90</v>
      </c>
      <c r="E15" s="74">
        <f t="shared" si="1"/>
        <v>3610</v>
      </c>
      <c r="F15" s="74">
        <f t="shared" si="2"/>
        <v>260</v>
      </c>
      <c r="G15" s="75">
        <v>2.2460000000000004</v>
      </c>
      <c r="H15" s="77">
        <v>3910</v>
      </c>
      <c r="I15" s="76">
        <f t="shared" si="3"/>
        <v>300</v>
      </c>
      <c r="J15" s="76">
        <f t="shared" si="4"/>
        <v>560</v>
      </c>
      <c r="K15" s="8">
        <v>2.2870000000000004</v>
      </c>
      <c r="L15" s="5">
        <v>3980</v>
      </c>
      <c r="M15" s="79">
        <f t="shared" si="0"/>
        <v>70</v>
      </c>
      <c r="N15" s="24">
        <f t="shared" si="10"/>
        <v>90</v>
      </c>
      <c r="O15" s="24">
        <f t="shared" si="5"/>
        <v>560</v>
      </c>
      <c r="P15" s="25">
        <f t="shared" si="6"/>
        <v>16.72</v>
      </c>
      <c r="Q15" s="26">
        <v>689.4986564299428</v>
      </c>
      <c r="R15" s="26">
        <v>8.8244707658711903</v>
      </c>
      <c r="S15" s="26">
        <v>0</v>
      </c>
      <c r="T15" s="26">
        <v>86.187332053742693</v>
      </c>
      <c r="U15" s="24">
        <f t="shared" si="7"/>
        <v>70</v>
      </c>
      <c r="V15" s="24">
        <f t="shared" si="8"/>
        <v>630</v>
      </c>
      <c r="W15" s="24">
        <f t="shared" si="9"/>
        <v>775.68598848368549</v>
      </c>
    </row>
    <row r="16" spans="1:23" ht="16">
      <c r="A16" s="10">
        <v>12</v>
      </c>
      <c r="B16" s="5">
        <v>3460</v>
      </c>
      <c r="C16" s="6">
        <v>2.1440000000000001</v>
      </c>
      <c r="D16" s="11">
        <v>110</v>
      </c>
      <c r="E16" s="74">
        <f t="shared" si="1"/>
        <v>3730</v>
      </c>
      <c r="F16" s="74">
        <f t="shared" si="2"/>
        <v>270</v>
      </c>
      <c r="G16" s="75">
        <v>2.2989999999999999</v>
      </c>
      <c r="H16" s="77">
        <v>4000</v>
      </c>
      <c r="I16" s="76">
        <f t="shared" si="3"/>
        <v>270</v>
      </c>
      <c r="J16" s="76">
        <f t="shared" si="4"/>
        <v>540</v>
      </c>
      <c r="K16" s="8">
        <v>2.3449999999999998</v>
      </c>
      <c r="L16" s="5">
        <v>4080</v>
      </c>
      <c r="M16" s="79">
        <f t="shared" si="0"/>
        <v>80</v>
      </c>
      <c r="N16" s="24">
        <f t="shared" si="10"/>
        <v>90</v>
      </c>
      <c r="O16" s="24">
        <f t="shared" si="5"/>
        <v>540</v>
      </c>
      <c r="P16" s="25">
        <f t="shared" si="6"/>
        <v>15.61</v>
      </c>
      <c r="Q16" s="26">
        <v>663.01719038816952</v>
      </c>
      <c r="R16" s="26">
        <v>8.1308358133707994</v>
      </c>
      <c r="S16" s="26">
        <v>0</v>
      </c>
      <c r="T16" s="26">
        <v>98.224768946397262</v>
      </c>
      <c r="U16" s="24">
        <f t="shared" si="7"/>
        <v>80</v>
      </c>
      <c r="V16" s="24">
        <f t="shared" si="8"/>
        <v>620</v>
      </c>
      <c r="W16" s="24">
        <f t="shared" si="9"/>
        <v>761.24195933456679</v>
      </c>
    </row>
    <row r="17" spans="1:23" ht="16">
      <c r="A17" s="10">
        <v>13</v>
      </c>
      <c r="B17" s="5">
        <v>3550</v>
      </c>
      <c r="C17" s="6">
        <v>2.198</v>
      </c>
      <c r="D17" s="11">
        <v>90</v>
      </c>
      <c r="E17" s="74">
        <f t="shared" si="1"/>
        <v>3830</v>
      </c>
      <c r="F17" s="74">
        <f t="shared" si="2"/>
        <v>280</v>
      </c>
      <c r="G17" s="75">
        <v>2.347</v>
      </c>
      <c r="H17" s="77">
        <v>4090</v>
      </c>
      <c r="I17" s="76">
        <f t="shared" si="3"/>
        <v>260</v>
      </c>
      <c r="J17" s="76">
        <f t="shared" si="4"/>
        <v>540</v>
      </c>
      <c r="K17" s="8">
        <v>2.399</v>
      </c>
      <c r="L17" s="5">
        <v>4180</v>
      </c>
      <c r="M17" s="79">
        <f t="shared" si="0"/>
        <v>90</v>
      </c>
      <c r="N17" s="24">
        <f t="shared" si="10"/>
        <v>90</v>
      </c>
      <c r="O17" s="24">
        <f t="shared" si="5"/>
        <v>540</v>
      </c>
      <c r="P17" s="25">
        <f t="shared" si="6"/>
        <v>15.21</v>
      </c>
      <c r="Q17" s="26">
        <v>670.50367346938663</v>
      </c>
      <c r="R17" s="26">
        <v>7.7150202003527584</v>
      </c>
      <c r="S17" s="26">
        <v>0</v>
      </c>
      <c r="T17" s="26">
        <v>111.90122448979696</v>
      </c>
      <c r="U17" s="24">
        <f t="shared" si="7"/>
        <v>90</v>
      </c>
      <c r="V17" s="24">
        <f t="shared" si="8"/>
        <v>630</v>
      </c>
      <c r="W17" s="24">
        <f t="shared" si="9"/>
        <v>782.40489795918359</v>
      </c>
    </row>
    <row r="18" spans="1:23" ht="16">
      <c r="A18" s="10">
        <v>14</v>
      </c>
      <c r="B18" s="5">
        <v>3730</v>
      </c>
      <c r="C18" s="6">
        <v>2.3110000000000004</v>
      </c>
      <c r="D18" s="11">
        <v>180</v>
      </c>
      <c r="E18" s="74">
        <f t="shared" si="1"/>
        <v>4020</v>
      </c>
      <c r="F18" s="74">
        <f t="shared" si="2"/>
        <v>290</v>
      </c>
      <c r="G18" s="75">
        <v>2.4030000000000005</v>
      </c>
      <c r="H18" s="77">
        <v>4180</v>
      </c>
      <c r="I18" s="76">
        <f t="shared" si="3"/>
        <v>160</v>
      </c>
      <c r="J18" s="76">
        <f t="shared" si="4"/>
        <v>450</v>
      </c>
      <c r="K18" s="8">
        <v>2.4600000000000004</v>
      </c>
      <c r="L18" s="5">
        <v>4280</v>
      </c>
      <c r="M18" s="79">
        <f t="shared" si="0"/>
        <v>100</v>
      </c>
      <c r="N18" s="24">
        <f t="shared" si="10"/>
        <v>90</v>
      </c>
      <c r="O18" s="24">
        <f t="shared" si="5"/>
        <v>450</v>
      </c>
      <c r="P18" s="25">
        <f t="shared" si="6"/>
        <v>12.06</v>
      </c>
      <c r="Q18" s="26">
        <v>566.69889135254994</v>
      </c>
      <c r="R18" s="26">
        <v>5.8159914419082197</v>
      </c>
      <c r="S18" s="26">
        <v>0</v>
      </c>
      <c r="T18" s="26">
        <v>126.12860310421286</v>
      </c>
      <c r="U18" s="24">
        <f t="shared" si="7"/>
        <v>100</v>
      </c>
      <c r="V18" s="24">
        <f t="shared" si="8"/>
        <v>550</v>
      </c>
      <c r="W18" s="24">
        <f t="shared" si="9"/>
        <v>692.82749445676279</v>
      </c>
    </row>
    <row r="19" spans="1:23" ht="16">
      <c r="A19" s="10">
        <v>15</v>
      </c>
      <c r="B19" s="5">
        <v>4050</v>
      </c>
      <c r="C19" s="6">
        <v>2.5089999999999999</v>
      </c>
      <c r="D19" s="11">
        <v>320</v>
      </c>
      <c r="E19" s="74">
        <f t="shared" si="1"/>
        <v>4370</v>
      </c>
      <c r="F19" s="74">
        <f t="shared" si="2"/>
        <v>320</v>
      </c>
      <c r="G19" s="75">
        <v>2.5089999999999999</v>
      </c>
      <c r="H19" s="77">
        <v>4370</v>
      </c>
      <c r="I19" s="76">
        <f t="shared" si="3"/>
        <v>0</v>
      </c>
      <c r="J19" s="76">
        <f t="shared" si="4"/>
        <v>320</v>
      </c>
      <c r="K19" s="8">
        <v>2.6189999999999998</v>
      </c>
      <c r="L19" s="5">
        <v>4560</v>
      </c>
      <c r="M19" s="79">
        <f t="shared" si="0"/>
        <v>190</v>
      </c>
      <c r="N19" s="24">
        <f t="shared" si="10"/>
        <v>190</v>
      </c>
      <c r="O19" s="24">
        <f t="shared" si="5"/>
        <v>320</v>
      </c>
      <c r="P19" s="25">
        <f t="shared" si="6"/>
        <v>7.9</v>
      </c>
      <c r="Q19" s="26">
        <v>411.02133995037229</v>
      </c>
      <c r="R19" s="26">
        <v>3.7506770354993044</v>
      </c>
      <c r="S19" s="26">
        <v>0</v>
      </c>
      <c r="T19" s="26">
        <v>244.04392059553322</v>
      </c>
      <c r="U19" s="24">
        <f t="shared" si="7"/>
        <v>190</v>
      </c>
      <c r="V19" s="24">
        <f t="shared" si="8"/>
        <v>510</v>
      </c>
      <c r="W19" s="24">
        <f t="shared" si="9"/>
        <v>655.06526054590552</v>
      </c>
    </row>
    <row r="20" spans="1:23" ht="16">
      <c r="A20" s="10">
        <v>16</v>
      </c>
      <c r="B20" s="5">
        <v>4540</v>
      </c>
      <c r="C20" s="6">
        <v>2.8109999999999999</v>
      </c>
      <c r="D20" s="11">
        <v>490</v>
      </c>
      <c r="E20" s="74">
        <f t="shared" si="1"/>
        <v>4890</v>
      </c>
      <c r="F20" s="74">
        <f t="shared" si="2"/>
        <v>350</v>
      </c>
      <c r="G20" s="75">
        <v>2.8109999999999999</v>
      </c>
      <c r="H20" s="77">
        <v>4890</v>
      </c>
      <c r="I20" s="76">
        <f t="shared" si="3"/>
        <v>0</v>
      </c>
      <c r="J20" s="76">
        <f t="shared" si="4"/>
        <v>350</v>
      </c>
      <c r="K20" s="8">
        <v>2.931</v>
      </c>
      <c r="L20" s="5">
        <v>5100</v>
      </c>
      <c r="M20" s="79">
        <f t="shared" si="0"/>
        <v>210</v>
      </c>
      <c r="N20" s="24">
        <f t="shared" si="10"/>
        <v>520</v>
      </c>
      <c r="O20" s="24">
        <f t="shared" si="5"/>
        <v>350</v>
      </c>
      <c r="P20" s="25">
        <f t="shared" si="6"/>
        <v>7.71</v>
      </c>
      <c r="Q20" s="26">
        <v>450.09027777777777</v>
      </c>
      <c r="R20" s="26">
        <v>3.7564252125200182</v>
      </c>
      <c r="S20" s="26">
        <v>0</v>
      </c>
      <c r="T20" s="26">
        <v>270.05416666666673</v>
      </c>
      <c r="U20" s="24">
        <f t="shared" si="7"/>
        <v>210</v>
      </c>
      <c r="V20" s="24">
        <f t="shared" si="8"/>
        <v>560</v>
      </c>
      <c r="W20" s="24">
        <f t="shared" si="9"/>
        <v>720.1444444444445</v>
      </c>
    </row>
    <row r="21" spans="1:23" ht="16">
      <c r="A21" s="10">
        <v>17</v>
      </c>
      <c r="B21" s="5">
        <v>5150</v>
      </c>
      <c r="C21" s="6">
        <v>3.1919999999999997</v>
      </c>
      <c r="D21" s="11">
        <v>610</v>
      </c>
      <c r="E21" s="74">
        <f t="shared" si="1"/>
        <v>5560</v>
      </c>
      <c r="F21" s="74">
        <f t="shared" si="2"/>
        <v>410</v>
      </c>
      <c r="G21" s="75">
        <v>3.1919999999999997</v>
      </c>
      <c r="H21" s="77">
        <v>5560</v>
      </c>
      <c r="I21" s="76">
        <f t="shared" si="3"/>
        <v>0</v>
      </c>
      <c r="J21" s="76">
        <f t="shared" si="4"/>
        <v>410</v>
      </c>
      <c r="K21" s="8">
        <v>3.3019999999999996</v>
      </c>
      <c r="L21" s="5">
        <v>5750</v>
      </c>
      <c r="M21" s="79">
        <f t="shared" si="0"/>
        <v>190</v>
      </c>
      <c r="N21" s="24">
        <f t="shared" si="10"/>
        <v>670</v>
      </c>
      <c r="O21" s="24">
        <f t="shared" si="5"/>
        <v>410</v>
      </c>
      <c r="P21" s="25">
        <f t="shared" si="6"/>
        <v>7.96</v>
      </c>
      <c r="Q21" s="26">
        <v>532.55675675675661</v>
      </c>
      <c r="R21" s="26">
        <v>3.9085978500787726</v>
      </c>
      <c r="S21" s="26">
        <v>0</v>
      </c>
      <c r="T21" s="26">
        <v>246.79459459459474</v>
      </c>
      <c r="U21" s="24">
        <f t="shared" si="7"/>
        <v>190</v>
      </c>
      <c r="V21" s="24">
        <f t="shared" si="8"/>
        <v>600</v>
      </c>
      <c r="W21" s="24">
        <f t="shared" si="9"/>
        <v>779.35135135135135</v>
      </c>
    </row>
    <row r="22" spans="1:23" ht="16">
      <c r="A22" s="10">
        <v>18</v>
      </c>
      <c r="B22" s="5">
        <v>5790</v>
      </c>
      <c r="C22" s="6">
        <v>3.5869999999999997</v>
      </c>
      <c r="D22" s="11">
        <v>640</v>
      </c>
      <c r="E22" s="74">
        <f t="shared" si="1"/>
        <v>6240</v>
      </c>
      <c r="F22" s="74">
        <f t="shared" si="2"/>
        <v>450</v>
      </c>
      <c r="G22" s="75">
        <v>3.5869999999999997</v>
      </c>
      <c r="H22" s="77">
        <v>6240</v>
      </c>
      <c r="I22" s="76">
        <f t="shared" si="3"/>
        <v>0</v>
      </c>
      <c r="J22" s="76">
        <f t="shared" si="4"/>
        <v>450</v>
      </c>
      <c r="K22" s="8">
        <v>3.6869999999999998</v>
      </c>
      <c r="L22" s="5">
        <v>6420</v>
      </c>
      <c r="M22" s="79">
        <f t="shared" si="0"/>
        <v>180</v>
      </c>
      <c r="N22" s="24">
        <f t="shared" si="10"/>
        <v>680</v>
      </c>
      <c r="O22" s="24">
        <f t="shared" si="5"/>
        <v>450</v>
      </c>
      <c r="P22" s="25">
        <f t="shared" si="6"/>
        <v>7.77</v>
      </c>
      <c r="Q22" s="26">
        <v>585</v>
      </c>
      <c r="R22" s="26">
        <v>3.6659742662982873</v>
      </c>
      <c r="S22" s="26">
        <v>0</v>
      </c>
      <c r="T22" s="26">
        <v>234</v>
      </c>
      <c r="U22" s="24">
        <f t="shared" si="7"/>
        <v>180</v>
      </c>
      <c r="V22" s="24">
        <f t="shared" si="8"/>
        <v>630</v>
      </c>
      <c r="W22" s="24">
        <f t="shared" si="9"/>
        <v>819</v>
      </c>
    </row>
    <row r="23" spans="1:23" ht="16">
      <c r="A23" s="12">
        <v>19</v>
      </c>
      <c r="B23" s="5">
        <v>7910</v>
      </c>
      <c r="C23" s="13">
        <v>4.8969999999999994</v>
      </c>
      <c r="D23" s="14">
        <v>2120</v>
      </c>
      <c r="E23" s="74">
        <f t="shared" si="1"/>
        <v>8520</v>
      </c>
      <c r="F23" s="74">
        <f t="shared" si="2"/>
        <v>610</v>
      </c>
      <c r="G23" s="75">
        <v>4.8969999999999994</v>
      </c>
      <c r="H23" s="77">
        <v>8520</v>
      </c>
      <c r="I23" s="76">
        <f t="shared" si="3"/>
        <v>0</v>
      </c>
      <c r="J23" s="76">
        <f t="shared" si="4"/>
        <v>610</v>
      </c>
      <c r="K23" s="8">
        <v>4.996999999999999</v>
      </c>
      <c r="L23" s="5">
        <v>8700</v>
      </c>
      <c r="M23" s="79">
        <f t="shared" si="0"/>
        <v>180</v>
      </c>
      <c r="N23" s="24">
        <f t="shared" si="10"/>
        <v>2280</v>
      </c>
      <c r="O23" s="24">
        <f>H23-B23</f>
        <v>610</v>
      </c>
      <c r="P23" s="25">
        <f t="shared" si="6"/>
        <v>7.71</v>
      </c>
      <c r="Q23" s="26">
        <v>791.47499999999991</v>
      </c>
      <c r="R23" s="26">
        <v>4.0215744084631027</v>
      </c>
      <c r="S23" s="26">
        <v>0</v>
      </c>
      <c r="T23" s="26">
        <v>233.55000000000018</v>
      </c>
      <c r="U23" s="24">
        <f t="shared" si="7"/>
        <v>180</v>
      </c>
      <c r="V23" s="24">
        <f t="shared" si="8"/>
        <v>790</v>
      </c>
      <c r="W23" s="24">
        <f t="shared" si="9"/>
        <v>1025.0250000000001</v>
      </c>
    </row>
    <row r="24" spans="1:23" ht="17" thickBot="1">
      <c r="A24" s="15">
        <v>20</v>
      </c>
      <c r="B24" s="5">
        <v>9020</v>
      </c>
      <c r="C24" s="13">
        <v>5.5880000000000001</v>
      </c>
      <c r="D24" s="14">
        <v>1110</v>
      </c>
      <c r="E24" s="74">
        <f t="shared" si="1"/>
        <v>9730</v>
      </c>
      <c r="F24" s="74">
        <f t="shared" si="2"/>
        <v>710</v>
      </c>
      <c r="G24" s="75">
        <v>5.5880000000000001</v>
      </c>
      <c r="H24" s="77">
        <v>9730</v>
      </c>
      <c r="I24" s="76">
        <f t="shared" si="3"/>
        <v>0</v>
      </c>
      <c r="J24" s="76">
        <f t="shared" si="4"/>
        <v>710</v>
      </c>
      <c r="K24" s="8">
        <v>5.6879999999999997</v>
      </c>
      <c r="L24" s="5">
        <v>9900</v>
      </c>
      <c r="M24" s="79">
        <f t="shared" si="0"/>
        <v>170</v>
      </c>
      <c r="N24" s="24">
        <f t="shared" si="10"/>
        <v>1210</v>
      </c>
      <c r="O24" s="24">
        <f t="shared" si="5"/>
        <v>710</v>
      </c>
      <c r="P24" s="25">
        <f>ROUND(H24/B24%-100,2)</f>
        <v>7.87</v>
      </c>
      <c r="Q24" s="26">
        <v>958.5</v>
      </c>
      <c r="R24" s="26">
        <v>4.238131242787218</v>
      </c>
      <c r="S24" s="26">
        <v>0</v>
      </c>
      <c r="T24" s="26">
        <v>229.5</v>
      </c>
      <c r="U24" s="24">
        <f t="shared" si="7"/>
        <v>170</v>
      </c>
      <c r="V24" s="24">
        <f t="shared" si="8"/>
        <v>880</v>
      </c>
      <c r="W24" s="24">
        <f t="shared" si="9"/>
        <v>1188</v>
      </c>
    </row>
    <row r="25" spans="1:23" ht="16">
      <c r="A25" t="s">
        <v>74</v>
      </c>
      <c r="N25" s="27"/>
      <c r="O25" s="27"/>
      <c r="P25" s="25">
        <v>12.96</v>
      </c>
      <c r="Q25" s="11">
        <v>484.23</v>
      </c>
      <c r="R25" s="11">
        <v>7.61</v>
      </c>
      <c r="S25" s="11">
        <v>55.2</v>
      </c>
      <c r="T25" s="11">
        <v>41.13</v>
      </c>
      <c r="U25" s="27"/>
      <c r="V25" s="27"/>
      <c r="W25" s="24">
        <f t="shared" si="9"/>
        <v>580.56000000000006</v>
      </c>
    </row>
    <row r="26" spans="1:23">
      <c r="D26" s="21">
        <f>D28/D27%</f>
        <v>107.80025887322024</v>
      </c>
      <c r="E26" s="21"/>
      <c r="F26" s="21"/>
    </row>
    <row r="27" spans="1:23">
      <c r="A27" t="s">
        <v>65</v>
      </c>
      <c r="D27" s="16">
        <v>1614.69</v>
      </c>
      <c r="E27" s="16"/>
      <c r="F27" s="16"/>
      <c r="L27" s="16"/>
    </row>
    <row r="28" spans="1:23">
      <c r="A28" t="s">
        <v>59</v>
      </c>
      <c r="D28" s="16">
        <v>1740.64</v>
      </c>
      <c r="E28" s="16"/>
      <c r="F28" s="16"/>
    </row>
    <row r="29" spans="1:23">
      <c r="A29" t="s">
        <v>60</v>
      </c>
      <c r="C29" s="20">
        <v>0.315</v>
      </c>
      <c r="D29" s="16">
        <f>ROUND(D28*C29,2)</f>
        <v>548.29999999999995</v>
      </c>
      <c r="E29" s="16"/>
      <c r="F29" s="16"/>
      <c r="H29" s="21"/>
      <c r="I29" s="21"/>
      <c r="J29" s="21"/>
    </row>
    <row r="30" spans="1:23">
      <c r="H30" s="21"/>
      <c r="I30" s="21"/>
      <c r="J30" s="21"/>
    </row>
    <row r="33" spans="1:2">
      <c r="A33" t="s">
        <v>79</v>
      </c>
      <c r="B33" t="s">
        <v>52</v>
      </c>
    </row>
    <row r="34" spans="1:2">
      <c r="A34">
        <v>2006</v>
      </c>
      <c r="B34" s="28">
        <v>2715</v>
      </c>
    </row>
    <row r="35" spans="1:2">
      <c r="A35">
        <v>2007</v>
      </c>
      <c r="B35" s="28">
        <v>2949</v>
      </c>
    </row>
    <row r="36" spans="1:2">
      <c r="A36">
        <v>2008</v>
      </c>
      <c r="B36" s="28">
        <v>3539</v>
      </c>
    </row>
    <row r="37" spans="1:2">
      <c r="A37">
        <v>2009</v>
      </c>
      <c r="B37" s="28">
        <v>3945</v>
      </c>
    </row>
    <row r="38" spans="1:2">
      <c r="A38">
        <v>2010</v>
      </c>
      <c r="B38" s="28">
        <v>3945</v>
      </c>
    </row>
    <row r="39" spans="1:2">
      <c r="A39">
        <v>2011</v>
      </c>
      <c r="B39" s="28">
        <v>3945</v>
      </c>
    </row>
    <row r="40" spans="1:2">
      <c r="A40" s="17" t="s">
        <v>75</v>
      </c>
      <c r="B40" s="28">
        <v>3945</v>
      </c>
    </row>
    <row r="41" spans="1:2">
      <c r="A41" s="17" t="s">
        <v>76</v>
      </c>
      <c r="B41" s="28">
        <v>4280</v>
      </c>
    </row>
    <row r="42" spans="1:2">
      <c r="A42">
        <v>2013</v>
      </c>
      <c r="B42" s="28">
        <v>4280</v>
      </c>
    </row>
    <row r="43" spans="1:2">
      <c r="A43">
        <v>2014</v>
      </c>
      <c r="B43" s="28">
        <v>4280</v>
      </c>
    </row>
    <row r="44" spans="1:2">
      <c r="A44">
        <v>2015</v>
      </c>
      <c r="B44" s="28">
        <v>4280</v>
      </c>
    </row>
    <row r="45" spans="1:2">
      <c r="A45">
        <v>2016</v>
      </c>
      <c r="B45" s="28">
        <v>4494</v>
      </c>
    </row>
    <row r="46" spans="1:2">
      <c r="A46">
        <v>2017</v>
      </c>
      <c r="B46" s="28">
        <v>4768</v>
      </c>
    </row>
    <row r="47" spans="1:2">
      <c r="A47" s="17" t="s">
        <v>77</v>
      </c>
      <c r="B47" s="28">
        <v>4768</v>
      </c>
    </row>
    <row r="48" spans="1:2">
      <c r="A48" s="17" t="s">
        <v>78</v>
      </c>
      <c r="B48" s="28">
        <v>4905</v>
      </c>
    </row>
    <row r="49" spans="1:2">
      <c r="A49">
        <v>2019</v>
      </c>
      <c r="B49" s="28">
        <v>5560</v>
      </c>
    </row>
    <row r="50" spans="1:2">
      <c r="A50">
        <v>2020</v>
      </c>
      <c r="B50" s="28">
        <v>6062</v>
      </c>
    </row>
    <row r="51" spans="1:2">
      <c r="A51">
        <v>2021</v>
      </c>
      <c r="B51" s="28">
        <v>6062</v>
      </c>
    </row>
    <row r="52" spans="1:2">
      <c r="A52">
        <v>2022</v>
      </c>
      <c r="B52" s="28">
        <v>6738.1</v>
      </c>
    </row>
    <row r="53" spans="1:2">
      <c r="A53">
        <v>2023</v>
      </c>
      <c r="B53" s="28">
        <v>7263.69</v>
      </c>
    </row>
  </sheetData>
  <sheetProtection algorithmName="SHA-512" hashValue="uJsr4sHEobrUhlPO8m4HTq7JrbSP84tAYX5vGUC58YoKJQ9CuO3QGgNA6WHsQKqsxZ78wSLEGH7GNEkKhVoXOg==" saltValue="r91M24ISIwsSLGHFTRaAFg==" spinCount="100000" sheet="1" objects="1" scenarios="1"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4584-E2C0-4C6D-A644-BF99DF91EFAA}">
  <dimension ref="A1:E19"/>
  <sheetViews>
    <sheetView workbookViewId="0">
      <selection activeCell="I19" sqref="I19"/>
    </sheetView>
  </sheetViews>
  <sheetFormatPr baseColWidth="10" defaultColWidth="8.83203125" defaultRowHeight="15"/>
  <cols>
    <col min="2" max="2" width="20.33203125" customWidth="1"/>
  </cols>
  <sheetData>
    <row r="1" spans="1:5">
      <c r="A1">
        <v>1</v>
      </c>
      <c r="B1" t="s">
        <v>8</v>
      </c>
      <c r="C1" t="s">
        <v>9</v>
      </c>
      <c r="D1">
        <v>2322</v>
      </c>
      <c r="E1">
        <v>2322</v>
      </c>
    </row>
    <row r="2" spans="1:5">
      <c r="A2">
        <v>2</v>
      </c>
      <c r="B2" t="s">
        <v>10</v>
      </c>
      <c r="C2" t="s">
        <v>11</v>
      </c>
      <c r="D2">
        <v>2172</v>
      </c>
      <c r="E2">
        <v>2172</v>
      </c>
    </row>
    <row r="3" spans="1:5">
      <c r="A3">
        <v>3</v>
      </c>
      <c r="B3" t="s">
        <v>12</v>
      </c>
      <c r="C3" t="s">
        <v>13</v>
      </c>
      <c r="D3">
        <v>2022</v>
      </c>
      <c r="E3">
        <v>2022</v>
      </c>
    </row>
    <row r="4" spans="1:5">
      <c r="A4">
        <v>4</v>
      </c>
      <c r="B4" t="s">
        <v>14</v>
      </c>
      <c r="C4" t="s">
        <v>15</v>
      </c>
      <c r="D4">
        <v>2002</v>
      </c>
      <c r="E4">
        <v>2002</v>
      </c>
    </row>
    <row r="5" spans="1:5">
      <c r="A5">
        <v>5</v>
      </c>
      <c r="B5" t="s">
        <v>16</v>
      </c>
      <c r="C5" t="s">
        <v>17</v>
      </c>
      <c r="D5">
        <v>1982</v>
      </c>
      <c r="E5">
        <v>1982</v>
      </c>
    </row>
    <row r="6" spans="1:5">
      <c r="A6">
        <v>6</v>
      </c>
      <c r="B6" t="s">
        <v>18</v>
      </c>
      <c r="C6" t="s">
        <v>19</v>
      </c>
      <c r="D6">
        <v>1962</v>
      </c>
      <c r="E6">
        <v>1962</v>
      </c>
    </row>
    <row r="7" spans="1:5">
      <c r="A7">
        <v>7</v>
      </c>
      <c r="B7" t="s">
        <v>20</v>
      </c>
      <c r="C7" t="s">
        <v>21</v>
      </c>
      <c r="D7">
        <v>1942</v>
      </c>
      <c r="E7">
        <v>1942</v>
      </c>
    </row>
    <row r="8" spans="1:5">
      <c r="A8">
        <v>8</v>
      </c>
      <c r="B8" t="s">
        <v>22</v>
      </c>
      <c r="C8" t="s">
        <v>23</v>
      </c>
      <c r="D8">
        <v>1922</v>
      </c>
      <c r="E8">
        <v>1922</v>
      </c>
    </row>
    <row r="9" spans="1:5">
      <c r="A9">
        <v>9</v>
      </c>
      <c r="B9" t="s">
        <v>24</v>
      </c>
      <c r="C9" t="s">
        <v>25</v>
      </c>
      <c r="D9">
        <v>1867</v>
      </c>
      <c r="E9">
        <v>1867</v>
      </c>
    </row>
    <row r="10" spans="1:5">
      <c r="A10">
        <v>10</v>
      </c>
      <c r="B10" t="s">
        <v>26</v>
      </c>
      <c r="C10" t="s">
        <v>27</v>
      </c>
      <c r="D10">
        <v>1847</v>
      </c>
      <c r="E10">
        <v>1847</v>
      </c>
    </row>
    <row r="11" spans="1:5">
      <c r="A11">
        <v>11</v>
      </c>
      <c r="B11" t="s">
        <v>28</v>
      </c>
      <c r="C11" t="s">
        <v>29</v>
      </c>
      <c r="D11">
        <v>1827</v>
      </c>
      <c r="E11">
        <v>1827</v>
      </c>
    </row>
    <row r="12" spans="1:5">
      <c r="A12">
        <v>12</v>
      </c>
      <c r="B12" t="s">
        <v>30</v>
      </c>
      <c r="C12" t="s">
        <v>31</v>
      </c>
      <c r="D12">
        <v>1807</v>
      </c>
      <c r="E12">
        <v>1807</v>
      </c>
    </row>
    <row r="13" spans="1:5">
      <c r="A13">
        <v>13</v>
      </c>
      <c r="B13" t="s">
        <v>32</v>
      </c>
      <c r="C13" t="s">
        <v>33</v>
      </c>
      <c r="D13">
        <v>1752</v>
      </c>
      <c r="E13">
        <v>1752</v>
      </c>
    </row>
    <row r="14" spans="1:5">
      <c r="A14">
        <v>14</v>
      </c>
      <c r="B14" t="s">
        <v>34</v>
      </c>
      <c r="C14" t="s">
        <v>35</v>
      </c>
      <c r="D14">
        <v>1732</v>
      </c>
      <c r="E14">
        <v>1732</v>
      </c>
    </row>
    <row r="15" spans="1:5">
      <c r="A15">
        <v>15</v>
      </c>
      <c r="B15" t="s">
        <v>36</v>
      </c>
      <c r="C15" t="s">
        <v>37</v>
      </c>
      <c r="D15">
        <v>1712</v>
      </c>
      <c r="E15">
        <v>1712</v>
      </c>
    </row>
    <row r="16" spans="1:5">
      <c r="A16">
        <v>16</v>
      </c>
      <c r="B16" t="s">
        <v>38</v>
      </c>
      <c r="C16" t="s">
        <v>39</v>
      </c>
      <c r="D16">
        <v>1692</v>
      </c>
      <c r="E16">
        <v>1692</v>
      </c>
    </row>
    <row r="17" spans="1:5">
      <c r="A17">
        <v>17</v>
      </c>
      <c r="B17" t="s">
        <v>40</v>
      </c>
      <c r="C17" t="s">
        <v>41</v>
      </c>
      <c r="D17">
        <v>1672</v>
      </c>
      <c r="E17">
        <v>1672</v>
      </c>
    </row>
    <row r="18" spans="1:5">
      <c r="A18">
        <v>18</v>
      </c>
      <c r="B18" t="s">
        <v>42</v>
      </c>
      <c r="C18" t="s">
        <v>43</v>
      </c>
      <c r="D18">
        <v>1632</v>
      </c>
      <c r="E18">
        <v>1632</v>
      </c>
    </row>
    <row r="19" spans="1:5">
      <c r="A19">
        <v>19</v>
      </c>
      <c r="B19" t="s">
        <v>44</v>
      </c>
      <c r="C19" t="s">
        <v>45</v>
      </c>
      <c r="D19">
        <v>1622</v>
      </c>
      <c r="E19">
        <v>1622</v>
      </c>
    </row>
  </sheetData>
  <sheetProtection algorithmName="SHA-512" hashValue="aRMdlGimZRtYYxUpbRiTEF1TyZxfv442Jw9iHnvxEsSGVoJJxqEKapBfzXaxf/+HMJEt+MrM+YGrWmbrD15/Qg==" saltValue="1ahWjK/OlrHXqQtVuGCmKw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84C2-20DD-4598-BAE0-EE903FEB6517}">
  <dimension ref="A2:E37"/>
  <sheetViews>
    <sheetView workbookViewId="0">
      <selection activeCell="I19" sqref="I19"/>
    </sheetView>
  </sheetViews>
  <sheetFormatPr baseColWidth="10" defaultColWidth="8.83203125" defaultRowHeight="15"/>
  <sheetData>
    <row r="2" spans="1:5">
      <c r="A2">
        <v>0</v>
      </c>
      <c r="B2">
        <v>0</v>
      </c>
      <c r="D2">
        <v>0</v>
      </c>
      <c r="E2">
        <v>0</v>
      </c>
    </row>
    <row r="3" spans="1:5">
      <c r="A3">
        <v>1</v>
      </c>
      <c r="B3">
        <v>0</v>
      </c>
      <c r="D3">
        <v>1</v>
      </c>
      <c r="E3">
        <v>0</v>
      </c>
    </row>
    <row r="4" spans="1:5">
      <c r="A4">
        <v>2</v>
      </c>
      <c r="B4">
        <v>2</v>
      </c>
      <c r="D4">
        <v>2</v>
      </c>
      <c r="E4">
        <v>0</v>
      </c>
    </row>
    <row r="5" spans="1:5">
      <c r="A5">
        <v>3</v>
      </c>
      <c r="B5">
        <v>3</v>
      </c>
      <c r="D5">
        <v>3</v>
      </c>
      <c r="E5">
        <v>0</v>
      </c>
    </row>
    <row r="6" spans="1:5">
      <c r="A6">
        <v>4</v>
      </c>
      <c r="B6">
        <v>4</v>
      </c>
      <c r="D6">
        <v>4</v>
      </c>
      <c r="E6">
        <v>0</v>
      </c>
    </row>
    <row r="7" spans="1:5">
      <c r="A7">
        <v>5</v>
      </c>
      <c r="B7">
        <v>5</v>
      </c>
      <c r="D7">
        <v>5</v>
      </c>
      <c r="E7">
        <v>0</v>
      </c>
    </row>
    <row r="8" spans="1:5">
      <c r="A8">
        <v>6</v>
      </c>
      <c r="B8">
        <v>6</v>
      </c>
      <c r="D8">
        <v>6</v>
      </c>
      <c r="E8">
        <v>0</v>
      </c>
    </row>
    <row r="9" spans="1:5">
      <c r="A9">
        <v>7</v>
      </c>
      <c r="B9">
        <v>7</v>
      </c>
      <c r="D9">
        <v>7</v>
      </c>
      <c r="E9">
        <v>0</v>
      </c>
    </row>
    <row r="10" spans="1:5">
      <c r="A10">
        <v>8</v>
      </c>
      <c r="B10">
        <v>8</v>
      </c>
      <c r="D10">
        <v>8</v>
      </c>
      <c r="E10">
        <v>0</v>
      </c>
    </row>
    <row r="11" spans="1:5">
      <c r="A11">
        <v>9</v>
      </c>
      <c r="B11">
        <v>9</v>
      </c>
      <c r="D11">
        <v>9</v>
      </c>
      <c r="E11">
        <v>0</v>
      </c>
    </row>
    <row r="12" spans="1:5">
      <c r="A12">
        <v>10</v>
      </c>
      <c r="B12">
        <v>10</v>
      </c>
      <c r="D12">
        <v>10</v>
      </c>
      <c r="E12">
        <v>0</v>
      </c>
    </row>
    <row r="13" spans="1:5">
      <c r="A13">
        <v>11</v>
      </c>
      <c r="B13">
        <v>11</v>
      </c>
      <c r="D13">
        <v>11</v>
      </c>
      <c r="E13">
        <v>0</v>
      </c>
    </row>
    <row r="14" spans="1:5">
      <c r="A14">
        <v>12</v>
      </c>
      <c r="B14">
        <v>12</v>
      </c>
      <c r="D14">
        <v>12</v>
      </c>
      <c r="E14">
        <v>0</v>
      </c>
    </row>
    <row r="15" spans="1:5">
      <c r="A15">
        <v>13</v>
      </c>
      <c r="B15">
        <v>13</v>
      </c>
      <c r="D15">
        <v>13</v>
      </c>
      <c r="E15">
        <v>0</v>
      </c>
    </row>
    <row r="16" spans="1:5">
      <c r="A16">
        <v>14</v>
      </c>
      <c r="B16">
        <v>14</v>
      </c>
      <c r="D16">
        <v>14</v>
      </c>
      <c r="E16">
        <v>0</v>
      </c>
    </row>
    <row r="17" spans="1:5">
      <c r="A17">
        <v>15</v>
      </c>
      <c r="B17">
        <v>15</v>
      </c>
      <c r="D17">
        <v>15</v>
      </c>
      <c r="E17">
        <v>5</v>
      </c>
    </row>
    <row r="18" spans="1:5">
      <c r="A18">
        <v>16</v>
      </c>
      <c r="B18">
        <v>16</v>
      </c>
      <c r="D18">
        <v>16</v>
      </c>
      <c r="E18">
        <v>6</v>
      </c>
    </row>
    <row r="19" spans="1:5">
      <c r="A19">
        <v>17</v>
      </c>
      <c r="B19">
        <v>17</v>
      </c>
      <c r="D19">
        <v>17</v>
      </c>
      <c r="E19">
        <v>7</v>
      </c>
    </row>
    <row r="20" spans="1:5">
      <c r="A20">
        <v>18</v>
      </c>
      <c r="B20">
        <v>18</v>
      </c>
      <c r="D20">
        <v>18</v>
      </c>
      <c r="E20">
        <v>8</v>
      </c>
    </row>
    <row r="21" spans="1:5">
      <c r="A21">
        <v>19</v>
      </c>
      <c r="B21">
        <v>19</v>
      </c>
      <c r="D21">
        <v>19</v>
      </c>
      <c r="E21">
        <v>9</v>
      </c>
    </row>
    <row r="22" spans="1:5">
      <c r="A22">
        <v>20</v>
      </c>
      <c r="B22">
        <v>20</v>
      </c>
      <c r="D22">
        <v>20</v>
      </c>
      <c r="E22">
        <v>10</v>
      </c>
    </row>
    <row r="23" spans="1:5">
      <c r="A23">
        <v>21</v>
      </c>
      <c r="B23">
        <v>20</v>
      </c>
      <c r="D23">
        <v>21</v>
      </c>
      <c r="E23">
        <v>11</v>
      </c>
    </row>
    <row r="24" spans="1:5">
      <c r="A24">
        <v>22</v>
      </c>
      <c r="B24">
        <v>22</v>
      </c>
      <c r="D24">
        <v>22</v>
      </c>
      <c r="E24">
        <v>12</v>
      </c>
    </row>
    <row r="25" spans="1:5">
      <c r="A25">
        <v>23</v>
      </c>
      <c r="B25">
        <v>22</v>
      </c>
      <c r="D25">
        <v>23</v>
      </c>
      <c r="E25">
        <v>13</v>
      </c>
    </row>
    <row r="26" spans="1:5">
      <c r="A26">
        <v>24</v>
      </c>
      <c r="B26">
        <v>24</v>
      </c>
      <c r="D26">
        <v>24</v>
      </c>
      <c r="E26">
        <v>14</v>
      </c>
    </row>
    <row r="27" spans="1:5">
      <c r="A27">
        <v>25</v>
      </c>
      <c r="B27">
        <v>24</v>
      </c>
      <c r="D27">
        <v>25</v>
      </c>
      <c r="E27">
        <v>15</v>
      </c>
    </row>
    <row r="28" spans="1:5">
      <c r="A28">
        <v>26</v>
      </c>
      <c r="B28">
        <v>26</v>
      </c>
    </row>
    <row r="29" spans="1:5">
      <c r="A29">
        <v>27</v>
      </c>
      <c r="B29">
        <v>26</v>
      </c>
    </row>
    <row r="30" spans="1:5">
      <c r="A30">
        <v>28</v>
      </c>
      <c r="B30">
        <v>28</v>
      </c>
    </row>
    <row r="31" spans="1:5">
      <c r="A31">
        <v>29</v>
      </c>
      <c r="B31">
        <v>28</v>
      </c>
    </row>
    <row r="32" spans="1:5">
      <c r="A32">
        <v>30</v>
      </c>
      <c r="B32">
        <v>30</v>
      </c>
    </row>
    <row r="33" spans="1:2">
      <c r="A33">
        <v>31</v>
      </c>
      <c r="B33">
        <v>30</v>
      </c>
    </row>
    <row r="34" spans="1:2">
      <c r="A34">
        <v>32</v>
      </c>
      <c r="B34">
        <v>32</v>
      </c>
    </row>
    <row r="35" spans="1:2">
      <c r="A35">
        <v>33</v>
      </c>
      <c r="B35">
        <v>32</v>
      </c>
    </row>
    <row r="36" spans="1:2">
      <c r="A36">
        <v>34</v>
      </c>
      <c r="B36">
        <v>32</v>
      </c>
    </row>
    <row r="37" spans="1:2">
      <c r="A37">
        <v>35</v>
      </c>
      <c r="B37">
        <v>35</v>
      </c>
    </row>
  </sheetData>
  <sheetProtection algorithmName="SHA-512" hashValue="xszLD4DrUndOabhmLej+SzfpSEf/XRWdtnnRvKKlYvngx3GQLp+pIIsgbkHy1TfiXT8Inq+wxNRNjQTfCoDk2Q==" saltValue="cFj2ggmP3+E0lscxufJrKg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Kalkulator</vt:lpstr>
      <vt:lpstr>Grupa</vt:lpstr>
      <vt:lpstr>Stopień</vt:lpstr>
      <vt:lpstr>Wysługa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S.Rybicki (KG PSP)</dc:creator>
  <cp:lastModifiedBy>K.Hejduk (KG PSP)</cp:lastModifiedBy>
  <cp:lastPrinted>2023-02-27T14:58:13Z</cp:lastPrinted>
  <dcterms:created xsi:type="dcterms:W3CDTF">2023-02-09T13:36:20Z</dcterms:created>
  <dcterms:modified xsi:type="dcterms:W3CDTF">2023-02-27T15:23:55Z</dcterms:modified>
</cp:coreProperties>
</file>