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r-win-003\homes_citrix\HHCY.MF\```ST7\Besti@\2022\IV kw 2022\Dane ostateczne\www\MF\Zestawienia zbiorcze\"/>
    </mc:Choice>
  </mc:AlternateContent>
  <bookViews>
    <workbookView xWindow="240" yWindow="120" windowWidth="14220" windowHeight="8835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107" i="7" l="1"/>
  <c r="B106" i="7"/>
  <c r="B105" i="7"/>
  <c r="B104" i="7"/>
  <c r="I101" i="7"/>
  <c r="G101" i="7"/>
  <c r="I100" i="7"/>
  <c r="G100" i="7"/>
  <c r="I99" i="7"/>
  <c r="G99" i="7"/>
  <c r="L93" i="7"/>
  <c r="K93" i="7"/>
  <c r="J93" i="7"/>
  <c r="I93" i="7"/>
  <c r="H93" i="7"/>
  <c r="G93" i="7"/>
  <c r="F93" i="7"/>
  <c r="L92" i="7"/>
  <c r="K92" i="7"/>
  <c r="J92" i="7"/>
  <c r="I92" i="7"/>
  <c r="H92" i="7"/>
  <c r="G92" i="7"/>
  <c r="F92" i="7"/>
  <c r="L91" i="7"/>
  <c r="K91" i="7"/>
  <c r="J91" i="7"/>
  <c r="I91" i="7"/>
  <c r="H91" i="7"/>
  <c r="G91" i="7"/>
  <c r="F91" i="7"/>
  <c r="L90" i="7"/>
  <c r="K90" i="7"/>
  <c r="J90" i="7"/>
  <c r="I90" i="7"/>
  <c r="H90" i="7"/>
  <c r="G90" i="7"/>
  <c r="F90" i="7"/>
  <c r="L89" i="7"/>
  <c r="K89" i="7"/>
  <c r="J89" i="7"/>
  <c r="I89" i="7"/>
  <c r="H89" i="7"/>
  <c r="G89" i="7"/>
  <c r="F89" i="7"/>
  <c r="L88" i="7"/>
  <c r="K88" i="7"/>
  <c r="J88" i="7"/>
  <c r="I88" i="7"/>
  <c r="H88" i="7"/>
  <c r="G88" i="7"/>
  <c r="F88" i="7"/>
  <c r="L87" i="7"/>
  <c r="K87" i="7"/>
  <c r="J87" i="7"/>
  <c r="I87" i="7"/>
  <c r="H87" i="7"/>
  <c r="G87" i="7"/>
  <c r="F87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B60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104" i="7"/>
  <c r="A77" i="7" s="1"/>
  <c r="A34" i="7" l="1"/>
  <c r="A1" i="7"/>
  <c r="A96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<sst xmlns="http://schemas.openxmlformats.org/spreadsheetml/2006/main" count="97" uniqueCount="81">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</sst>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5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10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4" fontId="7" fillId="20" borderId="10" xfId="37" applyNumberFormat="1" applyFont="1" applyFill="1" applyBorder="1" applyAlignment="1">
      <alignment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8" fillId="0" borderId="17" xfId="0" applyFont="1" applyFill="1" applyBorder="1" applyAlignment="1">
      <alignment horizontal="left" vertical="center" wrapText="1" indent="1"/>
    </xf>
    <xf numFmtId="0" fontId="28" fillId="0" borderId="18" xfId="0" applyFont="1" applyFill="1" applyBorder="1" applyAlignment="1">
      <alignment horizontal="left" vertical="center" wrapText="1" indent="1"/>
    </xf>
    <xf numFmtId="0" fontId="28" fillId="0" borderId="17" xfId="0" applyFont="1" applyFill="1" applyBorder="1" applyAlignment="1">
      <alignment horizontal="left" vertical="center" indent="1"/>
    </xf>
    <xf numFmtId="0" fontId="33" fillId="0" borderId="17" xfId="0" applyFont="1" applyFill="1" applyBorder="1" applyAlignment="1">
      <alignment vertical="center" wrapText="1"/>
    </xf>
    <xf numFmtId="0" fontId="33" fillId="0" borderId="17" xfId="0" applyFont="1" applyFill="1" applyBorder="1" applyAlignment="1">
      <alignment vertical="center"/>
    </xf>
    <xf numFmtId="0" fontId="32" fillId="0" borderId="17" xfId="0" applyFont="1" applyFill="1" applyBorder="1" applyAlignment="1">
      <alignment vertical="center"/>
    </xf>
    <xf numFmtId="0" fontId="28" fillId="0" borderId="10" xfId="0" applyFont="1" applyFill="1" applyBorder="1" applyAlignment="1">
      <alignment horizontal="left" vertical="center" inden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31" fillId="21" borderId="17" xfId="0" applyFont="1" applyFill="1" applyBorder="1" applyAlignment="1">
      <alignment wrapText="1"/>
    </xf>
    <xf numFmtId="0" fontId="31" fillId="21" borderId="18" xfId="0" applyFont="1" applyFill="1" applyBorder="1" applyAlignment="1">
      <alignment wrapText="1"/>
    </xf>
    <xf numFmtId="0" fontId="31" fillId="21" borderId="18" xfId="0" applyFont="1" applyFill="1" applyBorder="1" applyAlignment="1">
      <alignment vertical="center"/>
    </xf>
    <xf numFmtId="0" fontId="31" fillId="21" borderId="17" xfId="0" applyFont="1" applyFill="1" applyBorder="1" applyAlignment="1">
      <alignment horizontal="left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32" fillId="21" borderId="17" xfId="0" applyFont="1" applyFill="1" applyBorder="1" applyAlignment="1">
      <alignment vertical="center" wrapText="1"/>
    </xf>
    <xf numFmtId="4" fontId="7" fillId="21" borderId="10" xfId="37" applyNumberFormat="1" applyFont="1" applyFill="1" applyBorder="1" applyAlignment="1">
      <alignment vertical="center" wrapText="1"/>
    </xf>
    <xf numFmtId="4" fontId="2" fillId="19" borderId="15" xfId="37" applyNumberFormat="1" applyFont="1" applyFill="1" applyBorder="1" applyAlignment="1">
      <alignment horizontal="center" vertical="center" wrapText="1"/>
    </xf>
    <xf numFmtId="4" fontId="2" fillId="19" borderId="14" xfId="37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21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" fillId="19" borderId="21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34" fillId="0" borderId="0" xfId="37" applyFont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2" fillId="19" borderId="22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6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107"/>
  <sheetViews>
    <sheetView tabSelected="1" zoomScaleNormal="100" zoomScaleSheetLayoutView="50" workbookViewId="0">
      <selection activeCell="A6" sqref="A6:A10"/>
    </sheetView>
  </sheetViews>
  <sheetFormatPr defaultRowHeight="13.5" customHeight="1" x14ac:dyDescent="0.2"/>
  <cols>
    <col min="1" max="1" width="22.5703125" style="2" customWidth="1"/>
    <col min="2" max="3" width="14.7109375" style="2" customWidth="1"/>
    <col min="4" max="4" width="13.28515625" style="2" customWidth="1"/>
    <col min="5" max="5" width="12.28515625" style="2" customWidth="1"/>
    <col min="6" max="6" width="11.85546875" style="2" customWidth="1"/>
    <col min="7" max="7" width="11" style="2" customWidth="1"/>
    <col min="8" max="8" width="11.140625" style="2" customWidth="1"/>
    <col min="9" max="9" width="12.28515625" style="2" customWidth="1"/>
    <col min="10" max="10" width="13.5703125" style="2" customWidth="1"/>
    <col min="11" max="11" width="12.140625" style="2" customWidth="1"/>
    <col min="12" max="12" width="13.28515625" style="2" customWidth="1"/>
    <col min="13" max="13" width="11.140625" style="2" bestFit="1" customWidth="1"/>
    <col min="14" max="14" width="11.28515625" style="2" bestFit="1" customWidth="1"/>
    <col min="15" max="15" width="9.28515625" style="2" bestFit="1" customWidth="1"/>
    <col min="16" max="16" width="7.5703125" style="2" bestFit="1" customWidth="1"/>
    <col min="17" max="17" width="9.85546875" style="2" bestFit="1" customWidth="1"/>
    <col min="18" max="16384" width="9.140625" style="2"/>
  </cols>
  <sheetData>
    <row r="1" spans="1:17" ht="75" customHeight="1" x14ac:dyDescent="0.2">
      <c r="A1" s="51" t="str">
        <f>CONCATENATE("Informacja z wykonania budżetów gmin za ",$C$104," ",$B$105," roku   ",$B$107,"")</f>
        <v xml:space="preserve">Informacja z wykonania budżetów gmin za IV Kwartały 2022 roku   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55" t="s">
        <v>64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5" spans="1:17" ht="13.5" customHeight="1" x14ac:dyDescent="0.2">
      <c r="B5" s="12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11"/>
      <c r="O5" s="11"/>
      <c r="P5" s="11"/>
      <c r="Q5" s="11"/>
    </row>
    <row r="6" spans="1:17" ht="13.5" customHeight="1" x14ac:dyDescent="0.2">
      <c r="A6" s="57" t="s">
        <v>0</v>
      </c>
      <c r="B6" s="56" t="s">
        <v>65</v>
      </c>
      <c r="C6" s="48" t="s">
        <v>69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50"/>
      <c r="O6" s="95" t="s">
        <v>68</v>
      </c>
      <c r="P6" s="96"/>
      <c r="Q6" s="97"/>
    </row>
    <row r="7" spans="1:17" ht="13.5" customHeight="1" x14ac:dyDescent="0.2">
      <c r="A7" s="58"/>
      <c r="B7" s="43"/>
      <c r="C7" s="44" t="s">
        <v>66</v>
      </c>
      <c r="D7" s="44" t="s">
        <v>77</v>
      </c>
      <c r="E7" s="44" t="s">
        <v>70</v>
      </c>
      <c r="F7" s="44" t="s">
        <v>71</v>
      </c>
      <c r="G7" s="44" t="s">
        <v>27</v>
      </c>
      <c r="H7" s="44" t="s">
        <v>28</v>
      </c>
      <c r="I7" s="60" t="s">
        <v>67</v>
      </c>
      <c r="J7" s="44" t="s">
        <v>16</v>
      </c>
      <c r="K7" s="44" t="s">
        <v>17</v>
      </c>
      <c r="L7" s="44" t="s">
        <v>18</v>
      </c>
      <c r="M7" s="44" t="s">
        <v>19</v>
      </c>
      <c r="N7" s="43" t="s">
        <v>20</v>
      </c>
      <c r="O7" s="47" t="s">
        <v>21</v>
      </c>
      <c r="P7" s="47" t="s">
        <v>22</v>
      </c>
      <c r="Q7" s="47" t="s">
        <v>23</v>
      </c>
    </row>
    <row r="8" spans="1:17" ht="13.5" customHeight="1" x14ac:dyDescent="0.2">
      <c r="A8" s="58"/>
      <c r="B8" s="43"/>
      <c r="C8" s="45"/>
      <c r="D8" s="45"/>
      <c r="E8" s="45"/>
      <c r="F8" s="45"/>
      <c r="G8" s="45"/>
      <c r="H8" s="45"/>
      <c r="I8" s="60"/>
      <c r="J8" s="45"/>
      <c r="K8" s="45"/>
      <c r="L8" s="45"/>
      <c r="M8" s="45"/>
      <c r="N8" s="43"/>
      <c r="O8" s="47"/>
      <c r="P8" s="47"/>
      <c r="Q8" s="47"/>
    </row>
    <row r="9" spans="1:17" ht="11.25" customHeight="1" x14ac:dyDescent="0.2">
      <c r="A9" s="58"/>
      <c r="B9" s="43"/>
      <c r="C9" s="45"/>
      <c r="D9" s="45"/>
      <c r="E9" s="45"/>
      <c r="F9" s="45"/>
      <c r="G9" s="45"/>
      <c r="H9" s="45"/>
      <c r="I9" s="60"/>
      <c r="J9" s="45"/>
      <c r="K9" s="45"/>
      <c r="L9" s="45"/>
      <c r="M9" s="45"/>
      <c r="N9" s="43"/>
      <c r="O9" s="47"/>
      <c r="P9" s="47"/>
      <c r="Q9" s="47"/>
    </row>
    <row r="10" spans="1:17" ht="16.5" customHeight="1" x14ac:dyDescent="0.2">
      <c r="A10" s="59"/>
      <c r="B10" s="44"/>
      <c r="C10" s="45"/>
      <c r="D10" s="45"/>
      <c r="E10" s="45"/>
      <c r="F10" s="45"/>
      <c r="G10" s="45"/>
      <c r="H10" s="45"/>
      <c r="I10" s="61"/>
      <c r="J10" s="45"/>
      <c r="K10" s="45"/>
      <c r="L10" s="45"/>
      <c r="M10" s="45"/>
      <c r="N10" s="44"/>
      <c r="O10" s="47"/>
      <c r="P10" s="47"/>
      <c r="Q10" s="47"/>
    </row>
    <row r="11" spans="1:17" ht="16.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36" t="s">
        <v>80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8"/>
      <c r="P12" s="38"/>
      <c r="Q12" s="39"/>
    </row>
    <row r="13" spans="1:17" ht="48" x14ac:dyDescent="0.2">
      <c r="A13" s="27" t="s">
        <v>46</v>
      </c>
      <c r="B13" s="28">
        <f>34105689955.63</f>
        <v>34105689955.630001</v>
      </c>
      <c r="C13" s="28">
        <f>34105688763.4</f>
        <v>34105688763.400002</v>
      </c>
      <c r="D13" s="28">
        <f>2498842481.82</f>
        <v>2498842481.8200002</v>
      </c>
      <c r="E13" s="28">
        <f>218993386.09</f>
        <v>218993386.09</v>
      </c>
      <c r="F13" s="28">
        <f>431685686.99</f>
        <v>431685686.99000001</v>
      </c>
      <c r="G13" s="28">
        <f>1847969798.21</f>
        <v>1847969798.21</v>
      </c>
      <c r="H13" s="28">
        <f>193610.53</f>
        <v>193610.53</v>
      </c>
      <c r="I13" s="28">
        <f>0</f>
        <v>0</v>
      </c>
      <c r="J13" s="28">
        <f>29641378627.51</f>
        <v>29641378627.509998</v>
      </c>
      <c r="K13" s="28">
        <f>1691597961.02</f>
        <v>1691597961.02</v>
      </c>
      <c r="L13" s="28">
        <f>240214770.23</f>
        <v>240214770.22999999</v>
      </c>
      <c r="M13" s="28">
        <f>17741735.04</f>
        <v>17741735.039999999</v>
      </c>
      <c r="N13" s="28">
        <f>15913187.78</f>
        <v>15913187.779999999</v>
      </c>
      <c r="O13" s="28">
        <f>1192.23</f>
        <v>1192.23</v>
      </c>
      <c r="P13" s="28">
        <f>0</f>
        <v>0</v>
      </c>
      <c r="Q13" s="28">
        <f>1192.23</f>
        <v>1192.23</v>
      </c>
    </row>
    <row r="14" spans="1:17" ht="26.25" customHeight="1" x14ac:dyDescent="0.2">
      <c r="A14" s="29" t="s">
        <v>47</v>
      </c>
      <c r="B14" s="28">
        <f>813100000</f>
        <v>813100000</v>
      </c>
      <c r="C14" s="28">
        <f>813100000</f>
        <v>813100000</v>
      </c>
      <c r="D14" s="28">
        <f>0</f>
        <v>0</v>
      </c>
      <c r="E14" s="28">
        <f>0</f>
        <v>0</v>
      </c>
      <c r="F14" s="28">
        <f>0</f>
        <v>0</v>
      </c>
      <c r="G14" s="28">
        <f>0</f>
        <v>0</v>
      </c>
      <c r="H14" s="28">
        <f>0</f>
        <v>0</v>
      </c>
      <c r="I14" s="28">
        <f>0</f>
        <v>0</v>
      </c>
      <c r="J14" s="28">
        <f>775000000</f>
        <v>775000000</v>
      </c>
      <c r="K14" s="28">
        <f>38100000</f>
        <v>38100000</v>
      </c>
      <c r="L14" s="28">
        <f>0</f>
        <v>0</v>
      </c>
      <c r="M14" s="28">
        <f>0</f>
        <v>0</v>
      </c>
      <c r="N14" s="28">
        <f>0</f>
        <v>0</v>
      </c>
      <c r="O14" s="28">
        <f>0</f>
        <v>0</v>
      </c>
      <c r="P14" s="28">
        <f>0</f>
        <v>0</v>
      </c>
      <c r="Q14" s="28">
        <f>0</f>
        <v>0</v>
      </c>
    </row>
    <row r="15" spans="1:17" ht="27" customHeight="1" x14ac:dyDescent="0.2">
      <c r="A15" s="19" t="s">
        <v>48</v>
      </c>
      <c r="B15" s="33">
        <f>4100000</f>
        <v>4100000</v>
      </c>
      <c r="C15" s="33">
        <f>4100000</f>
        <v>4100000</v>
      </c>
      <c r="D15" s="33">
        <f>0</f>
        <v>0</v>
      </c>
      <c r="E15" s="33">
        <f>0</f>
        <v>0</v>
      </c>
      <c r="F15" s="33">
        <f>0</f>
        <v>0</v>
      </c>
      <c r="G15" s="33">
        <f>0</f>
        <v>0</v>
      </c>
      <c r="H15" s="33">
        <f>0</f>
        <v>0</v>
      </c>
      <c r="I15" s="33">
        <f>0</f>
        <v>0</v>
      </c>
      <c r="J15" s="33">
        <f>4100000</f>
        <v>4100000</v>
      </c>
      <c r="K15" s="33">
        <f>0</f>
        <v>0</v>
      </c>
      <c r="L15" s="33">
        <f>0</f>
        <v>0</v>
      </c>
      <c r="M15" s="33">
        <f>0</f>
        <v>0</v>
      </c>
      <c r="N15" s="33">
        <f>0</f>
        <v>0</v>
      </c>
      <c r="O15" s="33">
        <f>0</f>
        <v>0</v>
      </c>
      <c r="P15" s="33">
        <f>0</f>
        <v>0</v>
      </c>
      <c r="Q15" s="33">
        <f>0</f>
        <v>0</v>
      </c>
    </row>
    <row r="16" spans="1:17" ht="24" customHeight="1" x14ac:dyDescent="0.2">
      <c r="A16" s="19" t="s">
        <v>49</v>
      </c>
      <c r="B16" s="33">
        <f>809000000</f>
        <v>809000000</v>
      </c>
      <c r="C16" s="33">
        <f>809000000</f>
        <v>809000000</v>
      </c>
      <c r="D16" s="33">
        <f>0</f>
        <v>0</v>
      </c>
      <c r="E16" s="33">
        <f>0</f>
        <v>0</v>
      </c>
      <c r="F16" s="33">
        <f>0</f>
        <v>0</v>
      </c>
      <c r="G16" s="33">
        <f>0</f>
        <v>0</v>
      </c>
      <c r="H16" s="33">
        <f>0</f>
        <v>0</v>
      </c>
      <c r="I16" s="33">
        <f>0</f>
        <v>0</v>
      </c>
      <c r="J16" s="33">
        <f>770900000</f>
        <v>770900000</v>
      </c>
      <c r="K16" s="33">
        <f>38100000</f>
        <v>38100000</v>
      </c>
      <c r="L16" s="33">
        <f>0</f>
        <v>0</v>
      </c>
      <c r="M16" s="33">
        <f>0</f>
        <v>0</v>
      </c>
      <c r="N16" s="33">
        <f>0</f>
        <v>0</v>
      </c>
      <c r="O16" s="33">
        <f>0</f>
        <v>0</v>
      </c>
      <c r="P16" s="33">
        <f>0</f>
        <v>0</v>
      </c>
      <c r="Q16" s="33">
        <f>0</f>
        <v>0</v>
      </c>
    </row>
    <row r="17" spans="1:17" ht="31.5" customHeight="1" x14ac:dyDescent="0.2">
      <c r="A17" s="30" t="s">
        <v>50</v>
      </c>
      <c r="B17" s="28">
        <f>33248592042.03</f>
        <v>33248592042.029999</v>
      </c>
      <c r="C17" s="28">
        <f>33248592042.03</f>
        <v>33248592042.029999</v>
      </c>
      <c r="D17" s="28">
        <f>2486786964.4</f>
        <v>2486786964.4000001</v>
      </c>
      <c r="E17" s="28">
        <f>217205979.73</f>
        <v>217205979.72999999</v>
      </c>
      <c r="F17" s="28">
        <f>431472799.66</f>
        <v>431472799.66000003</v>
      </c>
      <c r="G17" s="28">
        <f>1838067119.07</f>
        <v>1838067119.0699999</v>
      </c>
      <c r="H17" s="28">
        <f>41065.94</f>
        <v>41065.94</v>
      </c>
      <c r="I17" s="28">
        <f>0</f>
        <v>0</v>
      </c>
      <c r="J17" s="28">
        <f>28866002497.03</f>
        <v>28866002497.029999</v>
      </c>
      <c r="K17" s="28">
        <f>1653493734.6</f>
        <v>1653493734.5999999</v>
      </c>
      <c r="L17" s="28">
        <f>218717438.66</f>
        <v>218717438.66</v>
      </c>
      <c r="M17" s="28">
        <f>10088001.01</f>
        <v>10088001.01</v>
      </c>
      <c r="N17" s="28">
        <f>13503406.33</f>
        <v>13503406.33</v>
      </c>
      <c r="O17" s="28">
        <f>0</f>
        <v>0</v>
      </c>
      <c r="P17" s="28">
        <f>0</f>
        <v>0</v>
      </c>
      <c r="Q17" s="28">
        <f>0</f>
        <v>0</v>
      </c>
    </row>
    <row r="18" spans="1:17" ht="33" customHeight="1" x14ac:dyDescent="0.2">
      <c r="A18" s="20" t="s">
        <v>51</v>
      </c>
      <c r="B18" s="33">
        <f>91660937.18</f>
        <v>91660937.180000007</v>
      </c>
      <c r="C18" s="33">
        <f>91660937.18</f>
        <v>91660937.180000007</v>
      </c>
      <c r="D18" s="33">
        <f>14832565.97</f>
        <v>14832565.970000001</v>
      </c>
      <c r="E18" s="33">
        <f>8710788.68</f>
        <v>8710788.6799999997</v>
      </c>
      <c r="F18" s="33">
        <f>1070222.82</f>
        <v>1070222.82</v>
      </c>
      <c r="G18" s="33">
        <f>5051554.47</f>
        <v>5051554.47</v>
      </c>
      <c r="H18" s="33">
        <f>0</f>
        <v>0</v>
      </c>
      <c r="I18" s="33">
        <f>0</f>
        <v>0</v>
      </c>
      <c r="J18" s="33">
        <f>67156960.28</f>
        <v>67156960.280000001</v>
      </c>
      <c r="K18" s="33">
        <f>7200769.34</f>
        <v>7200769.3399999999</v>
      </c>
      <c r="L18" s="33">
        <f>2470641.59</f>
        <v>2470641.59</v>
      </c>
      <c r="M18" s="33">
        <f>0</f>
        <v>0</v>
      </c>
      <c r="N18" s="33">
        <f>0</f>
        <v>0</v>
      </c>
      <c r="O18" s="33">
        <f>0</f>
        <v>0</v>
      </c>
      <c r="P18" s="33">
        <f>0</f>
        <v>0</v>
      </c>
      <c r="Q18" s="33">
        <f>0</f>
        <v>0</v>
      </c>
    </row>
    <row r="19" spans="1:17" ht="25.5" customHeight="1" x14ac:dyDescent="0.2">
      <c r="A19" s="21" t="s">
        <v>52</v>
      </c>
      <c r="B19" s="33">
        <f>33156931104.85</f>
        <v>33156931104.849998</v>
      </c>
      <c r="C19" s="33">
        <f>33156931104.85</f>
        <v>33156931104.849998</v>
      </c>
      <c r="D19" s="33">
        <f>2471954398.43</f>
        <v>2471954398.4299998</v>
      </c>
      <c r="E19" s="33">
        <f>208495191.05</f>
        <v>208495191.05000001</v>
      </c>
      <c r="F19" s="33">
        <f>430402576.84</f>
        <v>430402576.83999997</v>
      </c>
      <c r="G19" s="33">
        <f>1833015564.6</f>
        <v>1833015564.5999999</v>
      </c>
      <c r="H19" s="33">
        <f>41065.94</f>
        <v>41065.94</v>
      </c>
      <c r="I19" s="33">
        <f>0</f>
        <v>0</v>
      </c>
      <c r="J19" s="33">
        <f>28798845536.75</f>
        <v>28798845536.75</v>
      </c>
      <c r="K19" s="33">
        <f>1646292965.26</f>
        <v>1646292965.26</v>
      </c>
      <c r="L19" s="33">
        <f>216246797.07</f>
        <v>216246797.06999999</v>
      </c>
      <c r="M19" s="33">
        <f>10088001.01</f>
        <v>10088001.01</v>
      </c>
      <c r="N19" s="33">
        <f>13503406.33</f>
        <v>13503406.33</v>
      </c>
      <c r="O19" s="33">
        <f>0</f>
        <v>0</v>
      </c>
      <c r="P19" s="33">
        <f>0</f>
        <v>0</v>
      </c>
      <c r="Q19" s="33">
        <f>0</f>
        <v>0</v>
      </c>
    </row>
    <row r="20" spans="1:17" ht="27.75" customHeight="1" x14ac:dyDescent="0.2">
      <c r="A20" s="31" t="s">
        <v>53</v>
      </c>
      <c r="B20" s="28">
        <f>0</f>
        <v>0</v>
      </c>
      <c r="C20" s="28">
        <f>0</f>
        <v>0</v>
      </c>
      <c r="D20" s="28">
        <f>0</f>
        <v>0</v>
      </c>
      <c r="E20" s="28">
        <f>0</f>
        <v>0</v>
      </c>
      <c r="F20" s="28">
        <f>0</f>
        <v>0</v>
      </c>
      <c r="G20" s="28">
        <f>0</f>
        <v>0</v>
      </c>
      <c r="H20" s="28">
        <f>0</f>
        <v>0</v>
      </c>
      <c r="I20" s="28">
        <f>0</f>
        <v>0</v>
      </c>
      <c r="J20" s="28">
        <f>0</f>
        <v>0</v>
      </c>
      <c r="K20" s="28">
        <f>0</f>
        <v>0</v>
      </c>
      <c r="L20" s="28">
        <f>0</f>
        <v>0</v>
      </c>
      <c r="M20" s="28">
        <f>0</f>
        <v>0</v>
      </c>
      <c r="N20" s="28">
        <f>0</f>
        <v>0</v>
      </c>
      <c r="O20" s="28">
        <f>0</f>
        <v>0</v>
      </c>
      <c r="P20" s="28">
        <f>0</f>
        <v>0</v>
      </c>
      <c r="Q20" s="28">
        <f>0</f>
        <v>0</v>
      </c>
    </row>
    <row r="21" spans="1:17" ht="36" x14ac:dyDescent="0.2">
      <c r="A21" s="32" t="s">
        <v>54</v>
      </c>
      <c r="B21" s="28">
        <f>43997913.6</f>
        <v>43997913.600000001</v>
      </c>
      <c r="C21" s="28">
        <f>43996721.37</f>
        <v>43996721.369999997</v>
      </c>
      <c r="D21" s="28">
        <f>12055517.42</f>
        <v>12055517.42</v>
      </c>
      <c r="E21" s="28">
        <f>1787406.36</f>
        <v>1787406.36</v>
      </c>
      <c r="F21" s="28">
        <f>212887.33</f>
        <v>212887.33</v>
      </c>
      <c r="G21" s="28">
        <f>9902679.14</f>
        <v>9902679.1400000006</v>
      </c>
      <c r="H21" s="28">
        <f>152544.59</f>
        <v>152544.59</v>
      </c>
      <c r="I21" s="28">
        <f>0</f>
        <v>0</v>
      </c>
      <c r="J21" s="28">
        <f>376130.48</f>
        <v>376130.48</v>
      </c>
      <c r="K21" s="28">
        <f>4226.42</f>
        <v>4226.42</v>
      </c>
      <c r="L21" s="28">
        <f>21497331.57</f>
        <v>21497331.57</v>
      </c>
      <c r="M21" s="28">
        <f>7653734.03</f>
        <v>7653734.0300000003</v>
      </c>
      <c r="N21" s="28">
        <f>2409781.45</f>
        <v>2409781.4500000002</v>
      </c>
      <c r="O21" s="28">
        <f>1192.23</f>
        <v>1192.23</v>
      </c>
      <c r="P21" s="28">
        <f>0</f>
        <v>0</v>
      </c>
      <c r="Q21" s="28">
        <f>1192.23</f>
        <v>1192.23</v>
      </c>
    </row>
    <row r="22" spans="1:17" ht="27" customHeight="1" x14ac:dyDescent="0.2">
      <c r="A22" s="19" t="s">
        <v>55</v>
      </c>
      <c r="B22" s="33">
        <f>21700330.56</f>
        <v>21700330.559999999</v>
      </c>
      <c r="C22" s="33">
        <f>21700330.56</f>
        <v>21700330.559999999</v>
      </c>
      <c r="D22" s="33">
        <f>672598.45</f>
        <v>672598.45</v>
      </c>
      <c r="E22" s="33">
        <f>0</f>
        <v>0</v>
      </c>
      <c r="F22" s="33">
        <f>14515</f>
        <v>14515</v>
      </c>
      <c r="G22" s="33">
        <f>658083.45</f>
        <v>658083.44999999995</v>
      </c>
      <c r="H22" s="33">
        <f>0</f>
        <v>0</v>
      </c>
      <c r="I22" s="33">
        <f>0</f>
        <v>0</v>
      </c>
      <c r="J22" s="33">
        <f>0</f>
        <v>0</v>
      </c>
      <c r="K22" s="33">
        <f>118.3</f>
        <v>118.3</v>
      </c>
      <c r="L22" s="33">
        <f>15832170.74</f>
        <v>15832170.74</v>
      </c>
      <c r="M22" s="33">
        <f>3237860.42</f>
        <v>3237860.42</v>
      </c>
      <c r="N22" s="33">
        <f>1957582.65</f>
        <v>1957582.65</v>
      </c>
      <c r="O22" s="33">
        <f>0</f>
        <v>0</v>
      </c>
      <c r="P22" s="33">
        <f>0</f>
        <v>0</v>
      </c>
      <c r="Q22" s="33">
        <f>0</f>
        <v>0</v>
      </c>
    </row>
    <row r="23" spans="1:17" ht="31.5" customHeight="1" x14ac:dyDescent="0.2">
      <c r="A23" s="25" t="s">
        <v>56</v>
      </c>
      <c r="B23" s="33">
        <f>22297583.04</f>
        <v>22297583.039999999</v>
      </c>
      <c r="C23" s="33">
        <f>22296390.81</f>
        <v>22296390.809999999</v>
      </c>
      <c r="D23" s="33">
        <f>11382918.97</f>
        <v>11382918.970000001</v>
      </c>
      <c r="E23" s="33">
        <f>1787406.36</f>
        <v>1787406.36</v>
      </c>
      <c r="F23" s="33">
        <f>198372.33</f>
        <v>198372.33</v>
      </c>
      <c r="G23" s="33">
        <f>9244595.69</f>
        <v>9244595.6899999995</v>
      </c>
      <c r="H23" s="33">
        <f>152544.59</f>
        <v>152544.59</v>
      </c>
      <c r="I23" s="33">
        <f>0</f>
        <v>0</v>
      </c>
      <c r="J23" s="33">
        <f>376130.48</f>
        <v>376130.48</v>
      </c>
      <c r="K23" s="33">
        <f>4108.12</f>
        <v>4108.12</v>
      </c>
      <c r="L23" s="33">
        <f>5665160.83</f>
        <v>5665160.8300000001</v>
      </c>
      <c r="M23" s="33">
        <f>4415873.61</f>
        <v>4415873.6100000003</v>
      </c>
      <c r="N23" s="33">
        <f>452198.8</f>
        <v>452198.8</v>
      </c>
      <c r="O23" s="33">
        <f>1192.23</f>
        <v>1192.23</v>
      </c>
      <c r="P23" s="33">
        <f>0</f>
        <v>0</v>
      </c>
      <c r="Q23" s="33">
        <f>1192.23</f>
        <v>1192.23</v>
      </c>
    </row>
    <row r="24" spans="1:17" ht="19.5" customHeight="1" x14ac:dyDescent="0.2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19.5" customHeight="1" x14ac:dyDescent="0.2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9.5" customHeight="1" x14ac:dyDescent="0.2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9.5" customHeight="1" x14ac:dyDescent="0.2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9.5" customHeight="1" x14ac:dyDescent="0.2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ht="19.5" customHeight="1" x14ac:dyDescent="0.2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9.5" customHeight="1" x14ac:dyDescent="0.2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19.5" customHeight="1" x14ac:dyDescent="0.2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9.5" customHeight="1" x14ac:dyDescent="0.2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19.5" customHeight="1" x14ac:dyDescent="0.2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ht="45.75" customHeight="1" x14ac:dyDescent="0.2">
      <c r="A34" s="51" t="str">
        <f>CONCATENATE("Informacja z wykonania budżetów gmin za ",$C$104," ",$B$105," roku   ",$B$107,"")</f>
        <v xml:space="preserve">Informacja z wykonania budżetów gmin za IV Kwartały 2022 roku   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</row>
    <row r="36" spans="1:17" ht="13.5" customHeight="1" x14ac:dyDescent="0.2">
      <c r="A36" s="55" t="s">
        <v>11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8" spans="1:17" ht="13.5" customHeight="1" x14ac:dyDescent="0.2">
      <c r="A38" s="40" t="s">
        <v>0</v>
      </c>
      <c r="B38" s="56" t="s">
        <v>12</v>
      </c>
      <c r="C38" s="48" t="s">
        <v>14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50"/>
      <c r="O38" s="52" t="s">
        <v>24</v>
      </c>
      <c r="P38" s="53"/>
      <c r="Q38" s="54"/>
    </row>
    <row r="39" spans="1:17" ht="13.5" customHeight="1" x14ac:dyDescent="0.2">
      <c r="A39" s="41"/>
      <c r="B39" s="43"/>
      <c r="C39" s="43" t="s">
        <v>13</v>
      </c>
      <c r="D39" s="45" t="s">
        <v>15</v>
      </c>
      <c r="E39" s="45" t="s">
        <v>25</v>
      </c>
      <c r="F39" s="45" t="s">
        <v>26</v>
      </c>
      <c r="G39" s="45" t="s">
        <v>74</v>
      </c>
      <c r="H39" s="45" t="s">
        <v>28</v>
      </c>
      <c r="I39" s="45" t="s">
        <v>1</v>
      </c>
      <c r="J39" s="45" t="s">
        <v>16</v>
      </c>
      <c r="K39" s="45" t="s">
        <v>17</v>
      </c>
      <c r="L39" s="45" t="s">
        <v>18</v>
      </c>
      <c r="M39" s="45" t="s">
        <v>19</v>
      </c>
      <c r="N39" s="89" t="s">
        <v>20</v>
      </c>
      <c r="O39" s="47" t="s">
        <v>21</v>
      </c>
      <c r="P39" s="47" t="s">
        <v>22</v>
      </c>
      <c r="Q39" s="98" t="s">
        <v>23</v>
      </c>
    </row>
    <row r="40" spans="1:17" ht="11.25" customHeight="1" x14ac:dyDescent="0.2">
      <c r="A40" s="41"/>
      <c r="B40" s="43"/>
      <c r="C40" s="43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89"/>
      <c r="O40" s="47"/>
      <c r="P40" s="47"/>
      <c r="Q40" s="99"/>
    </row>
    <row r="41" spans="1:17" ht="32.25" customHeight="1" x14ac:dyDescent="0.2">
      <c r="A41" s="42"/>
      <c r="B41" s="44"/>
      <c r="C41" s="44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89"/>
      <c r="O41" s="47"/>
      <c r="P41" s="47"/>
      <c r="Q41" s="100"/>
    </row>
    <row r="42" spans="1:17" ht="12.75" customHeight="1" x14ac:dyDescent="0.2">
      <c r="A42" s="14">
        <v>1</v>
      </c>
      <c r="B42" s="14">
        <v>2</v>
      </c>
      <c r="C42" s="14">
        <v>3</v>
      </c>
      <c r="D42" s="14">
        <v>4</v>
      </c>
      <c r="E42" s="14">
        <v>5</v>
      </c>
      <c r="F42" s="14">
        <v>6</v>
      </c>
      <c r="G42" s="14">
        <v>7</v>
      </c>
      <c r="H42" s="14">
        <v>8</v>
      </c>
      <c r="I42" s="14">
        <v>9</v>
      </c>
      <c r="J42" s="14">
        <v>10</v>
      </c>
      <c r="K42" s="14">
        <v>11</v>
      </c>
      <c r="L42" s="14">
        <v>12</v>
      </c>
      <c r="M42" s="14">
        <v>13</v>
      </c>
      <c r="N42" s="14">
        <v>14</v>
      </c>
      <c r="O42" s="14">
        <v>15</v>
      </c>
      <c r="P42" s="14">
        <v>16</v>
      </c>
      <c r="Q42" s="14">
        <v>17</v>
      </c>
    </row>
    <row r="43" spans="1:17" ht="13.5" customHeight="1" x14ac:dyDescent="0.2">
      <c r="A43" s="14"/>
      <c r="B43" s="48" t="s">
        <v>80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50"/>
    </row>
    <row r="44" spans="1:17" ht="24.75" customHeight="1" x14ac:dyDescent="0.2">
      <c r="A44" s="34" t="s">
        <v>41</v>
      </c>
      <c r="B44" s="35">
        <f>4181482.41</f>
        <v>4181482.41</v>
      </c>
      <c r="C44" s="35">
        <f>4181482.41</f>
        <v>4181482.41</v>
      </c>
      <c r="D44" s="35">
        <f>5</f>
        <v>5</v>
      </c>
      <c r="E44" s="35">
        <f>5</f>
        <v>5</v>
      </c>
      <c r="F44" s="35">
        <f>0</f>
        <v>0</v>
      </c>
      <c r="G44" s="35">
        <f>0</f>
        <v>0</v>
      </c>
      <c r="H44" s="35">
        <f>0</f>
        <v>0</v>
      </c>
      <c r="I44" s="35">
        <f>0</f>
        <v>0</v>
      </c>
      <c r="J44" s="35">
        <f>128844.4</f>
        <v>128844.4</v>
      </c>
      <c r="K44" s="35">
        <f>25220</f>
        <v>25220</v>
      </c>
      <c r="L44" s="35">
        <f>254009.04</f>
        <v>254009.04</v>
      </c>
      <c r="M44" s="35">
        <f>3578313.97</f>
        <v>3578313.97</v>
      </c>
      <c r="N44" s="35">
        <f>195090</f>
        <v>195090</v>
      </c>
      <c r="O44" s="35">
        <f>0</f>
        <v>0</v>
      </c>
      <c r="P44" s="35">
        <f>0</f>
        <v>0</v>
      </c>
      <c r="Q44" s="35">
        <f>0</f>
        <v>0</v>
      </c>
    </row>
    <row r="45" spans="1:17" ht="24.75" customHeight="1" x14ac:dyDescent="0.2">
      <c r="A45" s="23" t="s">
        <v>29</v>
      </c>
      <c r="B45" s="26">
        <f>289145.6</f>
        <v>289145.59999999998</v>
      </c>
      <c r="C45" s="26">
        <f>289145.6</f>
        <v>289145.59999999998</v>
      </c>
      <c r="D45" s="26">
        <f>5</f>
        <v>5</v>
      </c>
      <c r="E45" s="26">
        <f>5</f>
        <v>5</v>
      </c>
      <c r="F45" s="26">
        <f>0</f>
        <v>0</v>
      </c>
      <c r="G45" s="26">
        <f>0</f>
        <v>0</v>
      </c>
      <c r="H45" s="26">
        <f>0</f>
        <v>0</v>
      </c>
      <c r="I45" s="26">
        <f>0</f>
        <v>0</v>
      </c>
      <c r="J45" s="26">
        <f>6000</f>
        <v>6000</v>
      </c>
      <c r="K45" s="26">
        <f>0</f>
        <v>0</v>
      </c>
      <c r="L45" s="26">
        <f>0</f>
        <v>0</v>
      </c>
      <c r="M45" s="26">
        <f>108675.6</f>
        <v>108675.6</v>
      </c>
      <c r="N45" s="26">
        <f>174465</f>
        <v>174465</v>
      </c>
      <c r="O45" s="15">
        <f>0</f>
        <v>0</v>
      </c>
      <c r="P45" s="15">
        <f>0</f>
        <v>0</v>
      </c>
      <c r="Q45" s="15">
        <f>0</f>
        <v>0</v>
      </c>
    </row>
    <row r="46" spans="1:17" ht="24.75" customHeight="1" x14ac:dyDescent="0.2">
      <c r="A46" s="23" t="s">
        <v>30</v>
      </c>
      <c r="B46" s="26">
        <f>3892336.81</f>
        <v>3892336.81</v>
      </c>
      <c r="C46" s="26">
        <f>3892336.81</f>
        <v>3892336.81</v>
      </c>
      <c r="D46" s="26">
        <f>0</f>
        <v>0</v>
      </c>
      <c r="E46" s="26">
        <f>0</f>
        <v>0</v>
      </c>
      <c r="F46" s="26">
        <f>0</f>
        <v>0</v>
      </c>
      <c r="G46" s="26">
        <f>0</f>
        <v>0</v>
      </c>
      <c r="H46" s="26">
        <f>0</f>
        <v>0</v>
      </c>
      <c r="I46" s="26">
        <f>0</f>
        <v>0</v>
      </c>
      <c r="J46" s="26">
        <f>122844.4</f>
        <v>122844.4</v>
      </c>
      <c r="K46" s="26">
        <f>25220</f>
        <v>25220</v>
      </c>
      <c r="L46" s="26">
        <f>254009.04</f>
        <v>254009.04</v>
      </c>
      <c r="M46" s="26">
        <f>3469638.37</f>
        <v>3469638.37</v>
      </c>
      <c r="N46" s="26">
        <f>20625</f>
        <v>20625</v>
      </c>
      <c r="O46" s="15">
        <f>0</f>
        <v>0</v>
      </c>
      <c r="P46" s="15">
        <f>0</f>
        <v>0</v>
      </c>
      <c r="Q46" s="15">
        <f>0</f>
        <v>0</v>
      </c>
    </row>
    <row r="47" spans="1:17" ht="24.75" customHeight="1" x14ac:dyDescent="0.2">
      <c r="A47" s="24" t="s">
        <v>42</v>
      </c>
      <c r="B47" s="26">
        <f>467526666</f>
        <v>467526666</v>
      </c>
      <c r="C47" s="26">
        <f>467512782.34</f>
        <v>467512782.33999997</v>
      </c>
      <c r="D47" s="26">
        <f>39974565.73</f>
        <v>39974565.729999997</v>
      </c>
      <c r="E47" s="26">
        <f>20713.32</f>
        <v>20713.32</v>
      </c>
      <c r="F47" s="26">
        <f>4416</f>
        <v>4416</v>
      </c>
      <c r="G47" s="26">
        <f>24599209.2</f>
        <v>24599209.199999999</v>
      </c>
      <c r="H47" s="26">
        <f>15350227.21</f>
        <v>15350227.210000001</v>
      </c>
      <c r="I47" s="26">
        <f>0</f>
        <v>0</v>
      </c>
      <c r="J47" s="26">
        <f>111416.44</f>
        <v>111416.44</v>
      </c>
      <c r="K47" s="26">
        <f>0</f>
        <v>0</v>
      </c>
      <c r="L47" s="26">
        <f>180920167.68</f>
        <v>180920167.68000001</v>
      </c>
      <c r="M47" s="26">
        <f>208390629.22</f>
        <v>208390629.22</v>
      </c>
      <c r="N47" s="26">
        <f>38116003.27</f>
        <v>38116003.270000003</v>
      </c>
      <c r="O47" s="15">
        <f>13883.66</f>
        <v>13883.66</v>
      </c>
      <c r="P47" s="15">
        <f>13883.66</f>
        <v>13883.66</v>
      </c>
      <c r="Q47" s="15">
        <f>0</f>
        <v>0</v>
      </c>
    </row>
    <row r="48" spans="1:17" ht="24.75" customHeight="1" x14ac:dyDescent="0.2">
      <c r="A48" s="23" t="s">
        <v>31</v>
      </c>
      <c r="B48" s="26">
        <f>47753629.13</f>
        <v>47753629.130000003</v>
      </c>
      <c r="C48" s="26">
        <f>47753629.13</f>
        <v>47753629.130000003</v>
      </c>
      <c r="D48" s="26">
        <f>5547932.83</f>
        <v>5547932.8300000001</v>
      </c>
      <c r="E48" s="26">
        <f>779.85</f>
        <v>779.85</v>
      </c>
      <c r="F48" s="26">
        <f>0</f>
        <v>0</v>
      </c>
      <c r="G48" s="26">
        <f>5547152.98</f>
        <v>5547152.9800000004</v>
      </c>
      <c r="H48" s="26">
        <f>0</f>
        <v>0</v>
      </c>
      <c r="I48" s="26">
        <f>0</f>
        <v>0</v>
      </c>
      <c r="J48" s="26">
        <f>0</f>
        <v>0</v>
      </c>
      <c r="K48" s="26">
        <f>0</f>
        <v>0</v>
      </c>
      <c r="L48" s="26">
        <f>29057646.51</f>
        <v>29057646.510000002</v>
      </c>
      <c r="M48" s="26">
        <f>2461969.87</f>
        <v>2461969.87</v>
      </c>
      <c r="N48" s="26">
        <f>10686079.92</f>
        <v>10686079.92</v>
      </c>
      <c r="O48" s="15">
        <f>0</f>
        <v>0</v>
      </c>
      <c r="P48" s="15">
        <f>0</f>
        <v>0</v>
      </c>
      <c r="Q48" s="15">
        <f>0</f>
        <v>0</v>
      </c>
    </row>
    <row r="49" spans="1:17" ht="24.75" customHeight="1" x14ac:dyDescent="0.2">
      <c r="A49" s="23" t="s">
        <v>32</v>
      </c>
      <c r="B49" s="26">
        <f>419773036.87</f>
        <v>419773036.87</v>
      </c>
      <c r="C49" s="26">
        <f>419759153.21</f>
        <v>419759153.20999998</v>
      </c>
      <c r="D49" s="26">
        <f>34426632.9</f>
        <v>34426632.899999999</v>
      </c>
      <c r="E49" s="26">
        <f>19933.47</f>
        <v>19933.47</v>
      </c>
      <c r="F49" s="26">
        <f>4416</f>
        <v>4416</v>
      </c>
      <c r="G49" s="26">
        <f>19052056.22</f>
        <v>19052056.219999999</v>
      </c>
      <c r="H49" s="26">
        <f>15350227.21</f>
        <v>15350227.210000001</v>
      </c>
      <c r="I49" s="26">
        <f>0</f>
        <v>0</v>
      </c>
      <c r="J49" s="26">
        <f>111416.44</f>
        <v>111416.44</v>
      </c>
      <c r="K49" s="26">
        <f>0</f>
        <v>0</v>
      </c>
      <c r="L49" s="26">
        <f>151862521.17</f>
        <v>151862521.16999999</v>
      </c>
      <c r="M49" s="26">
        <f>205928659.35</f>
        <v>205928659.34999999</v>
      </c>
      <c r="N49" s="26">
        <f>27429923.35</f>
        <v>27429923.350000001</v>
      </c>
      <c r="O49" s="15">
        <f>13883.66</f>
        <v>13883.66</v>
      </c>
      <c r="P49" s="15">
        <f>13883.66</f>
        <v>13883.66</v>
      </c>
      <c r="Q49" s="15">
        <f>0</f>
        <v>0</v>
      </c>
    </row>
    <row r="50" spans="1:17" ht="24.75" customHeight="1" x14ac:dyDescent="0.2">
      <c r="A50" s="34" t="s">
        <v>43</v>
      </c>
      <c r="B50" s="35">
        <f>26097692330</f>
        <v>26097692330</v>
      </c>
      <c r="C50" s="35">
        <f>26097692330</f>
        <v>26097692330</v>
      </c>
      <c r="D50" s="35">
        <f>10470246.02</f>
        <v>10470246.02</v>
      </c>
      <c r="E50" s="35">
        <f>2940861.35</f>
        <v>2940861.35</v>
      </c>
      <c r="F50" s="35">
        <f>8244.58</f>
        <v>8244.58</v>
      </c>
      <c r="G50" s="35">
        <f>7521140.09</f>
        <v>7521140.0899999999</v>
      </c>
      <c r="H50" s="35">
        <f>0</f>
        <v>0</v>
      </c>
      <c r="I50" s="35">
        <f>0</f>
        <v>0</v>
      </c>
      <c r="J50" s="35">
        <f>26076029808.51</f>
        <v>26076029808.509998</v>
      </c>
      <c r="K50" s="35">
        <f>365924.62</f>
        <v>365924.62</v>
      </c>
      <c r="L50" s="35">
        <f>10722924.28</f>
        <v>10722924.279999999</v>
      </c>
      <c r="M50" s="35">
        <f>103426.57</f>
        <v>103426.57</v>
      </c>
      <c r="N50" s="35">
        <f>0</f>
        <v>0</v>
      </c>
      <c r="O50" s="35">
        <f>0</f>
        <v>0</v>
      </c>
      <c r="P50" s="35">
        <f>0</f>
        <v>0</v>
      </c>
      <c r="Q50" s="35">
        <f>0</f>
        <v>0</v>
      </c>
    </row>
    <row r="51" spans="1:17" ht="24.75" customHeight="1" x14ac:dyDescent="0.2">
      <c r="A51" s="23" t="s">
        <v>33</v>
      </c>
      <c r="B51" s="26">
        <f>7457502.69</f>
        <v>7457502.6900000004</v>
      </c>
      <c r="C51" s="26">
        <f>7457502.69</f>
        <v>7457502.6900000004</v>
      </c>
      <c r="D51" s="26">
        <f>7457502.69</f>
        <v>7457502.6900000004</v>
      </c>
      <c r="E51" s="26">
        <f>0</f>
        <v>0</v>
      </c>
      <c r="F51" s="26">
        <f>0</f>
        <v>0</v>
      </c>
      <c r="G51" s="26">
        <f>7457502.69</f>
        <v>7457502.6900000004</v>
      </c>
      <c r="H51" s="26">
        <f>0</f>
        <v>0</v>
      </c>
      <c r="I51" s="26">
        <f>0</f>
        <v>0</v>
      </c>
      <c r="J51" s="26">
        <f>0</f>
        <v>0</v>
      </c>
      <c r="K51" s="26">
        <f>0</f>
        <v>0</v>
      </c>
      <c r="L51" s="26">
        <f>0</f>
        <v>0</v>
      </c>
      <c r="M51" s="26">
        <f>0</f>
        <v>0</v>
      </c>
      <c r="N51" s="26">
        <f>0</f>
        <v>0</v>
      </c>
      <c r="O51" s="15">
        <f>0</f>
        <v>0</v>
      </c>
      <c r="P51" s="15">
        <f>0</f>
        <v>0</v>
      </c>
      <c r="Q51" s="15">
        <f>0</f>
        <v>0</v>
      </c>
    </row>
    <row r="52" spans="1:17" ht="24.75" customHeight="1" x14ac:dyDescent="0.2">
      <c r="A52" s="23" t="s">
        <v>34</v>
      </c>
      <c r="B52" s="26">
        <f>23677463793.94</f>
        <v>23677463793.939999</v>
      </c>
      <c r="C52" s="26">
        <f>23677463793.94</f>
        <v>23677463793.939999</v>
      </c>
      <c r="D52" s="26">
        <f>2423637.11</f>
        <v>2423637.11</v>
      </c>
      <c r="E52" s="26">
        <f>2414699.91</f>
        <v>2414699.91</v>
      </c>
      <c r="F52" s="26">
        <f>6750</f>
        <v>6750</v>
      </c>
      <c r="G52" s="26">
        <f>2187.2</f>
        <v>2187.1999999999998</v>
      </c>
      <c r="H52" s="26">
        <f>0</f>
        <v>0</v>
      </c>
      <c r="I52" s="26">
        <f>0</f>
        <v>0</v>
      </c>
      <c r="J52" s="26">
        <f>23664243247.91</f>
        <v>23664243247.91</v>
      </c>
      <c r="K52" s="26">
        <f>363418.3</f>
        <v>363418.3</v>
      </c>
      <c r="L52" s="26">
        <f>10432455.62</f>
        <v>10432455.619999999</v>
      </c>
      <c r="M52" s="26">
        <f>1035</f>
        <v>1035</v>
      </c>
      <c r="N52" s="26">
        <f>0</f>
        <v>0</v>
      </c>
      <c r="O52" s="15">
        <f>0</f>
        <v>0</v>
      </c>
      <c r="P52" s="15">
        <f>0</f>
        <v>0</v>
      </c>
      <c r="Q52" s="15">
        <f>0</f>
        <v>0</v>
      </c>
    </row>
    <row r="53" spans="1:17" ht="24.75" customHeight="1" x14ac:dyDescent="0.2">
      <c r="A53" s="23" t="s">
        <v>35</v>
      </c>
      <c r="B53" s="26">
        <f>2412771033.37</f>
        <v>2412771033.3699999</v>
      </c>
      <c r="C53" s="26">
        <f>2412771033.37</f>
        <v>2412771033.3699999</v>
      </c>
      <c r="D53" s="26">
        <f>589106.22</f>
        <v>589106.22</v>
      </c>
      <c r="E53" s="26">
        <f>526161.44</f>
        <v>526161.43999999994</v>
      </c>
      <c r="F53" s="26">
        <f>1494.58</f>
        <v>1494.58</v>
      </c>
      <c r="G53" s="26">
        <f>61450.2</f>
        <v>61450.2</v>
      </c>
      <c r="H53" s="26">
        <f>0</f>
        <v>0</v>
      </c>
      <c r="I53" s="26">
        <f>0</f>
        <v>0</v>
      </c>
      <c r="J53" s="26">
        <f>2411786560.6</f>
        <v>2411786560.5999999</v>
      </c>
      <c r="K53" s="26">
        <f>2506.32</f>
        <v>2506.3200000000002</v>
      </c>
      <c r="L53" s="26">
        <f>290468.66</f>
        <v>290468.65999999997</v>
      </c>
      <c r="M53" s="26">
        <f>102391.57</f>
        <v>102391.57</v>
      </c>
      <c r="N53" s="26">
        <f>0</f>
        <v>0</v>
      </c>
      <c r="O53" s="15">
        <f>0</f>
        <v>0</v>
      </c>
      <c r="P53" s="15">
        <f>0</f>
        <v>0</v>
      </c>
      <c r="Q53" s="15">
        <f>0</f>
        <v>0</v>
      </c>
    </row>
    <row r="54" spans="1:17" ht="24.75" customHeight="1" x14ac:dyDescent="0.2">
      <c r="A54" s="34" t="s">
        <v>44</v>
      </c>
      <c r="B54" s="35">
        <f>9714822017.52</f>
        <v>9714822017.5200005</v>
      </c>
      <c r="C54" s="35">
        <f>9688394653.42</f>
        <v>9688394653.4200001</v>
      </c>
      <c r="D54" s="35">
        <f>96833589.97</f>
        <v>96833589.969999999</v>
      </c>
      <c r="E54" s="35">
        <f>53804520.08</f>
        <v>53804520.079999998</v>
      </c>
      <c r="F54" s="35">
        <f>1336201.77</f>
        <v>1336201.77</v>
      </c>
      <c r="G54" s="35">
        <f>41316142.14</f>
        <v>41316142.140000001</v>
      </c>
      <c r="H54" s="35">
        <f>376725.98</f>
        <v>376725.98</v>
      </c>
      <c r="I54" s="35">
        <f>0</f>
        <v>0</v>
      </c>
      <c r="J54" s="35">
        <f>5035759.65</f>
        <v>5035759.6500000004</v>
      </c>
      <c r="K54" s="35">
        <f>10177168.33</f>
        <v>10177168.33</v>
      </c>
      <c r="L54" s="35">
        <f>2066562050.75</f>
        <v>2066562050.75</v>
      </c>
      <c r="M54" s="35">
        <f>7436555218.43</f>
        <v>7436555218.4300003</v>
      </c>
      <c r="N54" s="35">
        <f>73230866.29</f>
        <v>73230866.290000007</v>
      </c>
      <c r="O54" s="35">
        <f>26427364.1</f>
        <v>26427364.100000001</v>
      </c>
      <c r="P54" s="35">
        <f>18226620.08</f>
        <v>18226620.079999998</v>
      </c>
      <c r="Q54" s="35">
        <f>8200744.02</f>
        <v>8200744.0199999996</v>
      </c>
    </row>
    <row r="55" spans="1:17" ht="24.75" customHeight="1" x14ac:dyDescent="0.2">
      <c r="A55" s="22" t="s">
        <v>36</v>
      </c>
      <c r="B55" s="26">
        <f>1239562833.77</f>
        <v>1239562833.77</v>
      </c>
      <c r="C55" s="26">
        <f>1239253496.17</f>
        <v>1239253496.1700001</v>
      </c>
      <c r="D55" s="26">
        <f>4332705.24</f>
        <v>4332705.24</v>
      </c>
      <c r="E55" s="26">
        <f>1177756.02</f>
        <v>1177756.02</v>
      </c>
      <c r="F55" s="26">
        <f>124668.92</f>
        <v>124668.92</v>
      </c>
      <c r="G55" s="26">
        <f>2915314.69</f>
        <v>2915314.69</v>
      </c>
      <c r="H55" s="26">
        <f>114965.61</f>
        <v>114965.61</v>
      </c>
      <c r="I55" s="26">
        <f>0</f>
        <v>0</v>
      </c>
      <c r="J55" s="26">
        <f>317652.77</f>
        <v>317652.77</v>
      </c>
      <c r="K55" s="26">
        <f>346799.45</f>
        <v>346799.45</v>
      </c>
      <c r="L55" s="26">
        <f>201938969.38</f>
        <v>201938969.38</v>
      </c>
      <c r="M55" s="26">
        <f>1003001211.27</f>
        <v>1003001211.27</v>
      </c>
      <c r="N55" s="26">
        <f>29316158.06</f>
        <v>29316158.059999999</v>
      </c>
      <c r="O55" s="15">
        <f>309337.6</f>
        <v>309337.59999999998</v>
      </c>
      <c r="P55" s="15">
        <f>247723.4</f>
        <v>247723.4</v>
      </c>
      <c r="Q55" s="15">
        <f>61614.2</f>
        <v>61614.2</v>
      </c>
    </row>
    <row r="56" spans="1:17" ht="24.75" customHeight="1" x14ac:dyDescent="0.2">
      <c r="A56" s="23" t="s">
        <v>37</v>
      </c>
      <c r="B56" s="26">
        <f>8475259183.75</f>
        <v>8475259183.75</v>
      </c>
      <c r="C56" s="26">
        <f>8449141157.25</f>
        <v>8449141157.25</v>
      </c>
      <c r="D56" s="26">
        <f>92500884.73</f>
        <v>92500884.730000004</v>
      </c>
      <c r="E56" s="26">
        <f>52626764.06</f>
        <v>52626764.060000002</v>
      </c>
      <c r="F56" s="26">
        <f>1211532.85</f>
        <v>1211532.8500000001</v>
      </c>
      <c r="G56" s="26">
        <f>38400827.45</f>
        <v>38400827.450000003</v>
      </c>
      <c r="H56" s="26">
        <f>261760.37</f>
        <v>261760.37</v>
      </c>
      <c r="I56" s="26">
        <f>0</f>
        <v>0</v>
      </c>
      <c r="J56" s="26">
        <f>4718106.88</f>
        <v>4718106.88</v>
      </c>
      <c r="K56" s="26">
        <f>9830368.88</f>
        <v>9830368.8800000008</v>
      </c>
      <c r="L56" s="26">
        <f>1864623081.37</f>
        <v>1864623081.3699999</v>
      </c>
      <c r="M56" s="26">
        <f>6433554007.16</f>
        <v>6433554007.1599998</v>
      </c>
      <c r="N56" s="26">
        <f>43914708.23</f>
        <v>43914708.229999997</v>
      </c>
      <c r="O56" s="15">
        <f>26118026.5</f>
        <v>26118026.5</v>
      </c>
      <c r="P56" s="15">
        <f>17978896.68</f>
        <v>17978896.68</v>
      </c>
      <c r="Q56" s="15">
        <f>8139129.82</f>
        <v>8139129.8200000003</v>
      </c>
    </row>
    <row r="57" spans="1:17" ht="24.75" customHeight="1" x14ac:dyDescent="0.2">
      <c r="A57" s="34" t="s">
        <v>45</v>
      </c>
      <c r="B57" s="35">
        <f>2313350739.6</f>
        <v>2313350739.5999999</v>
      </c>
      <c r="C57" s="35">
        <f>2312266914.38</f>
        <v>2312266914.3800001</v>
      </c>
      <c r="D57" s="35">
        <f>456893781.83</f>
        <v>456893781.82999998</v>
      </c>
      <c r="E57" s="35">
        <f>322123074.95</f>
        <v>322123074.94999999</v>
      </c>
      <c r="F57" s="35">
        <f>7343976.39</f>
        <v>7343976.3899999997</v>
      </c>
      <c r="G57" s="35">
        <f>123842808.61</f>
        <v>123842808.61</v>
      </c>
      <c r="H57" s="35">
        <f>3583921.88</f>
        <v>3583921.88</v>
      </c>
      <c r="I57" s="35">
        <f>0</f>
        <v>0</v>
      </c>
      <c r="J57" s="35">
        <f>3321597.72</f>
        <v>3321597.72</v>
      </c>
      <c r="K57" s="35">
        <f>7156360.87</f>
        <v>7156360.8700000001</v>
      </c>
      <c r="L57" s="35">
        <f>1032149686.26</f>
        <v>1032149686.26</v>
      </c>
      <c r="M57" s="35">
        <f>786843636.4</f>
        <v>786843636.39999998</v>
      </c>
      <c r="N57" s="35">
        <f>25901851.3</f>
        <v>25901851.300000001</v>
      </c>
      <c r="O57" s="35">
        <f>1083825.22</f>
        <v>1083825.22</v>
      </c>
      <c r="P57" s="35">
        <f>128980.99</f>
        <v>128980.99</v>
      </c>
      <c r="Q57" s="35">
        <f>954844.23</f>
        <v>954844.23</v>
      </c>
    </row>
    <row r="58" spans="1:17" ht="30" customHeight="1" x14ac:dyDescent="0.2">
      <c r="A58" s="22" t="s">
        <v>38</v>
      </c>
      <c r="B58" s="26">
        <f>508930250.8</f>
        <v>508930250.80000001</v>
      </c>
      <c r="C58" s="26">
        <f>508807427.6</f>
        <v>508807427.60000002</v>
      </c>
      <c r="D58" s="26">
        <f>28722971.3</f>
        <v>28722971.300000001</v>
      </c>
      <c r="E58" s="26">
        <f>4388415.41</f>
        <v>4388415.41</v>
      </c>
      <c r="F58" s="26">
        <f>386335.84</f>
        <v>386335.84</v>
      </c>
      <c r="G58" s="26">
        <f>23370838.57</f>
        <v>23370838.57</v>
      </c>
      <c r="H58" s="26">
        <f>577381.48</f>
        <v>577381.48</v>
      </c>
      <c r="I58" s="26">
        <f>0</f>
        <v>0</v>
      </c>
      <c r="J58" s="26">
        <f>276187.16</f>
        <v>276187.15999999997</v>
      </c>
      <c r="K58" s="26">
        <f>1947941.52</f>
        <v>1947941.52</v>
      </c>
      <c r="L58" s="26">
        <f>198829265.48</f>
        <v>198829265.47999999</v>
      </c>
      <c r="M58" s="26">
        <f>274668104.42</f>
        <v>274668104.42000002</v>
      </c>
      <c r="N58" s="26">
        <f>4362957.72</f>
        <v>4362957.72</v>
      </c>
      <c r="O58" s="15">
        <f>122823.2</f>
        <v>122823.2</v>
      </c>
      <c r="P58" s="15">
        <f>91154.06</f>
        <v>91154.06</v>
      </c>
      <c r="Q58" s="15">
        <f>31669.14</f>
        <v>31669.14</v>
      </c>
    </row>
    <row r="59" spans="1:17" ht="36" x14ac:dyDescent="0.2">
      <c r="A59" s="22" t="s">
        <v>39</v>
      </c>
      <c r="B59" s="26">
        <f>337395473.61</f>
        <v>337395473.61000001</v>
      </c>
      <c r="C59" s="26">
        <f>337394412.61</f>
        <v>337394412.61000001</v>
      </c>
      <c r="D59" s="26">
        <f>88763996.69</f>
        <v>88763996.689999998</v>
      </c>
      <c r="E59" s="26">
        <f>79150091.81</f>
        <v>79150091.810000002</v>
      </c>
      <c r="F59" s="26">
        <f>1532988.03</f>
        <v>1532988.03</v>
      </c>
      <c r="G59" s="26">
        <f>6821668.8</f>
        <v>6821668.7999999998</v>
      </c>
      <c r="H59" s="26">
        <f>1259248.05</f>
        <v>1259248.05</v>
      </c>
      <c r="I59" s="26">
        <f>0</f>
        <v>0</v>
      </c>
      <c r="J59" s="26">
        <f>29468.7</f>
        <v>29468.7</v>
      </c>
      <c r="K59" s="26">
        <f>408785.09</f>
        <v>408785.09</v>
      </c>
      <c r="L59" s="26">
        <f>144727615.37</f>
        <v>144727615.37</v>
      </c>
      <c r="M59" s="26">
        <f>102292965.12</f>
        <v>102292965.12</v>
      </c>
      <c r="N59" s="26">
        <f>1171581.64</f>
        <v>1171581.6399999999</v>
      </c>
      <c r="O59" s="15">
        <f>1061</f>
        <v>1061</v>
      </c>
      <c r="P59" s="15">
        <f>0</f>
        <v>0</v>
      </c>
      <c r="Q59" s="15">
        <f>1061</f>
        <v>1061</v>
      </c>
    </row>
    <row r="60" spans="1:17" ht="30.75" customHeight="1" x14ac:dyDescent="0.2">
      <c r="A60" s="22" t="s">
        <v>40</v>
      </c>
      <c r="B60" s="26">
        <f>1467025015.19</f>
        <v>1467025015.1900001</v>
      </c>
      <c r="C60" s="26">
        <f>1466065074.17</f>
        <v>1466065074.1700001</v>
      </c>
      <c r="D60" s="26">
        <f>339406813.84</f>
        <v>339406813.83999997</v>
      </c>
      <c r="E60" s="26">
        <f>238584567.73</f>
        <v>238584567.72999999</v>
      </c>
      <c r="F60" s="26">
        <f>5424652.52</f>
        <v>5424652.5199999996</v>
      </c>
      <c r="G60" s="26">
        <f>93650301.24</f>
        <v>93650301.239999995</v>
      </c>
      <c r="H60" s="26">
        <f>1747292.35</f>
        <v>1747292.35</v>
      </c>
      <c r="I60" s="26">
        <f>0</f>
        <v>0</v>
      </c>
      <c r="J60" s="26">
        <f>3015941.86</f>
        <v>3015941.86</v>
      </c>
      <c r="K60" s="26">
        <f>4799634.26</f>
        <v>4799634.26</v>
      </c>
      <c r="L60" s="26">
        <f>688592805.41</f>
        <v>688592805.40999997</v>
      </c>
      <c r="M60" s="26">
        <f>409882566.86</f>
        <v>409882566.86000001</v>
      </c>
      <c r="N60" s="26">
        <f>20367311.94</f>
        <v>20367311.940000001</v>
      </c>
      <c r="O60" s="15">
        <f>959941.02</f>
        <v>959941.02</v>
      </c>
      <c r="P60" s="15">
        <f>37826.93</f>
        <v>37826.93</v>
      </c>
      <c r="Q60" s="15">
        <f>922114.09</f>
        <v>922114.09</v>
      </c>
    </row>
    <row r="77" spans="1:13" ht="75" customHeight="1" x14ac:dyDescent="0.2">
      <c r="A77" s="51" t="str">
        <f>CONCATENATE("Informacja z wykonania budżetów gmin za ",$C$104," ",$B$105," roku   ",$B$107,"")</f>
        <v xml:space="preserve">Informacja z wykonania budżetów gmin za IV Kwartały 2022 roku   </v>
      </c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</row>
    <row r="78" spans="1:13" ht="13.5" customHeight="1" x14ac:dyDescent="0.2">
      <c r="B78" s="55" t="s">
        <v>2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</row>
    <row r="80" spans="1:13" ht="13.5" customHeight="1" x14ac:dyDescent="0.2">
      <c r="B80" s="80" t="s">
        <v>0</v>
      </c>
      <c r="C80" s="81"/>
      <c r="D80" s="81"/>
      <c r="E80" s="82"/>
      <c r="F80" s="90" t="s">
        <v>72</v>
      </c>
      <c r="G80" s="62" t="s">
        <v>78</v>
      </c>
      <c r="H80" s="63"/>
      <c r="I80" s="63"/>
      <c r="J80" s="63"/>
      <c r="K80" s="63"/>
      <c r="L80" s="64"/>
    </row>
    <row r="81" spans="1:13" ht="13.5" customHeight="1" x14ac:dyDescent="0.2">
      <c r="B81" s="83"/>
      <c r="C81" s="84"/>
      <c r="D81" s="84"/>
      <c r="E81" s="85"/>
      <c r="F81" s="91"/>
      <c r="G81" s="93" t="s">
        <v>73</v>
      </c>
      <c r="H81" s="46" t="s">
        <v>70</v>
      </c>
      <c r="I81" s="46" t="s">
        <v>71</v>
      </c>
      <c r="J81" s="46" t="s">
        <v>74</v>
      </c>
      <c r="K81" s="46" t="s">
        <v>75</v>
      </c>
      <c r="L81" s="94" t="s">
        <v>76</v>
      </c>
    </row>
    <row r="82" spans="1:13" ht="13.5" customHeight="1" x14ac:dyDescent="0.2">
      <c r="B82" s="83"/>
      <c r="C82" s="84"/>
      <c r="D82" s="84"/>
      <c r="E82" s="85"/>
      <c r="F82" s="91"/>
      <c r="G82" s="93"/>
      <c r="H82" s="46"/>
      <c r="I82" s="46"/>
      <c r="J82" s="46"/>
      <c r="K82" s="46"/>
      <c r="L82" s="94"/>
    </row>
    <row r="83" spans="1:13" ht="11.25" customHeight="1" x14ac:dyDescent="0.2">
      <c r="B83" s="83"/>
      <c r="C83" s="84"/>
      <c r="D83" s="84"/>
      <c r="E83" s="85"/>
      <c r="F83" s="91"/>
      <c r="G83" s="93"/>
      <c r="H83" s="46"/>
      <c r="I83" s="46"/>
      <c r="J83" s="46"/>
      <c r="K83" s="46"/>
      <c r="L83" s="94"/>
    </row>
    <row r="84" spans="1:13" ht="11.25" customHeight="1" x14ac:dyDescent="0.2">
      <c r="B84" s="86"/>
      <c r="C84" s="87"/>
      <c r="D84" s="87"/>
      <c r="E84" s="88"/>
      <c r="F84" s="92"/>
      <c r="G84" s="93"/>
      <c r="H84" s="46"/>
      <c r="I84" s="46"/>
      <c r="J84" s="46"/>
      <c r="K84" s="46"/>
      <c r="L84" s="94"/>
    </row>
    <row r="85" spans="1:13" ht="11.25" customHeight="1" x14ac:dyDescent="0.2">
      <c r="B85" s="46">
        <v>1</v>
      </c>
      <c r="C85" s="46"/>
      <c r="D85" s="46"/>
      <c r="E85" s="46"/>
      <c r="F85" s="3">
        <v>2</v>
      </c>
      <c r="G85" s="3">
        <v>3</v>
      </c>
      <c r="H85" s="3">
        <v>4</v>
      </c>
      <c r="I85" s="3">
        <v>5</v>
      </c>
      <c r="J85" s="3">
        <v>6</v>
      </c>
      <c r="K85" s="3">
        <v>7</v>
      </c>
      <c r="L85" s="13">
        <v>8</v>
      </c>
    </row>
    <row r="86" spans="1:13" ht="13.5" customHeight="1" x14ac:dyDescent="0.2">
      <c r="B86" s="46"/>
      <c r="C86" s="46"/>
      <c r="D86" s="46"/>
      <c r="E86" s="46"/>
      <c r="F86" s="62" t="s">
        <v>80</v>
      </c>
      <c r="G86" s="38"/>
      <c r="H86" s="38"/>
      <c r="I86" s="38"/>
      <c r="J86" s="38"/>
      <c r="K86" s="38"/>
      <c r="L86" s="39"/>
    </row>
    <row r="87" spans="1:13" ht="33.75" customHeight="1" x14ac:dyDescent="0.2">
      <c r="B87" s="73" t="s">
        <v>57</v>
      </c>
      <c r="C87" s="74"/>
      <c r="D87" s="74"/>
      <c r="E87" s="75"/>
      <c r="F87" s="33">
        <f>1053764054.51</f>
        <v>1053764054.51</v>
      </c>
      <c r="G87" s="33">
        <f>381448664.47</f>
        <v>381448664.47000003</v>
      </c>
      <c r="H87" s="33">
        <f>18389159.37</f>
        <v>18389159.370000001</v>
      </c>
      <c r="I87" s="33">
        <f>138842246.58</f>
        <v>138842246.58000001</v>
      </c>
      <c r="J87" s="33">
        <f>213406842.31</f>
        <v>213406842.31</v>
      </c>
      <c r="K87" s="33">
        <f>10810416.21</f>
        <v>10810416.210000001</v>
      </c>
      <c r="L87" s="33">
        <f>672315390.04</f>
        <v>672315390.03999996</v>
      </c>
    </row>
    <row r="88" spans="1:13" ht="33.75" customHeight="1" x14ac:dyDescent="0.2">
      <c r="B88" s="73" t="s">
        <v>58</v>
      </c>
      <c r="C88" s="74"/>
      <c r="D88" s="74"/>
      <c r="E88" s="75"/>
      <c r="F88" s="33">
        <f>1851803.67</f>
        <v>1851803.67</v>
      </c>
      <c r="G88" s="33">
        <f>1566485.07</f>
        <v>1566485.07</v>
      </c>
      <c r="H88" s="33">
        <f>0</f>
        <v>0</v>
      </c>
      <c r="I88" s="33">
        <f>0</f>
        <v>0</v>
      </c>
      <c r="J88" s="33">
        <f>1566485.07</f>
        <v>1566485.07</v>
      </c>
      <c r="K88" s="33">
        <f>0</f>
        <v>0</v>
      </c>
      <c r="L88" s="33">
        <f>285318.6</f>
        <v>285318.59999999998</v>
      </c>
    </row>
    <row r="89" spans="1:13" ht="33.75" customHeight="1" x14ac:dyDescent="0.2">
      <c r="B89" s="73" t="s">
        <v>59</v>
      </c>
      <c r="C89" s="74"/>
      <c r="D89" s="74"/>
      <c r="E89" s="75"/>
      <c r="F89" s="33">
        <f>97103281.73</f>
        <v>97103281.730000004</v>
      </c>
      <c r="G89" s="33">
        <f>26553508.27</f>
        <v>26553508.27</v>
      </c>
      <c r="H89" s="33">
        <f>1666851</f>
        <v>1666851</v>
      </c>
      <c r="I89" s="33">
        <f>5000000</f>
        <v>5000000</v>
      </c>
      <c r="J89" s="33">
        <f>14277071.23</f>
        <v>14277071.23</v>
      </c>
      <c r="K89" s="33">
        <f>5609586.04</f>
        <v>5609586.04</v>
      </c>
      <c r="L89" s="33">
        <f>70549773.46</f>
        <v>70549773.459999993</v>
      </c>
    </row>
    <row r="90" spans="1:13" ht="22.5" customHeight="1" x14ac:dyDescent="0.2">
      <c r="B90" s="73" t="s">
        <v>60</v>
      </c>
      <c r="C90" s="74"/>
      <c r="D90" s="74"/>
      <c r="E90" s="75"/>
      <c r="F90" s="33">
        <f>11803462.92</f>
        <v>11803462.92</v>
      </c>
      <c r="G90" s="33">
        <f>0</f>
        <v>0</v>
      </c>
      <c r="H90" s="33">
        <f>0</f>
        <v>0</v>
      </c>
      <c r="I90" s="33">
        <f>0</f>
        <v>0</v>
      </c>
      <c r="J90" s="33">
        <f>0</f>
        <v>0</v>
      </c>
      <c r="K90" s="33">
        <f>0</f>
        <v>0</v>
      </c>
      <c r="L90" s="33">
        <f>11803462.92</f>
        <v>11803462.92</v>
      </c>
    </row>
    <row r="91" spans="1:13" ht="33.75" customHeight="1" x14ac:dyDescent="0.2">
      <c r="B91" s="73" t="s">
        <v>61</v>
      </c>
      <c r="C91" s="74"/>
      <c r="D91" s="74"/>
      <c r="E91" s="75"/>
      <c r="F91" s="33">
        <f>22745.09</f>
        <v>22745.09</v>
      </c>
      <c r="G91" s="33">
        <f>0</f>
        <v>0</v>
      </c>
      <c r="H91" s="33">
        <f>0</f>
        <v>0</v>
      </c>
      <c r="I91" s="33">
        <f>0</f>
        <v>0</v>
      </c>
      <c r="J91" s="33">
        <f>0</f>
        <v>0</v>
      </c>
      <c r="K91" s="33">
        <f>0</f>
        <v>0</v>
      </c>
      <c r="L91" s="33">
        <f>22745.09</f>
        <v>22745.09</v>
      </c>
    </row>
    <row r="92" spans="1:13" ht="33.75" customHeight="1" x14ac:dyDescent="0.2">
      <c r="B92" s="73" t="s">
        <v>62</v>
      </c>
      <c r="C92" s="74"/>
      <c r="D92" s="74"/>
      <c r="E92" s="75"/>
      <c r="F92" s="33">
        <f>4319212.72</f>
        <v>4319212.72</v>
      </c>
      <c r="G92" s="33">
        <f>0</f>
        <v>0</v>
      </c>
      <c r="H92" s="33">
        <f>0</f>
        <v>0</v>
      </c>
      <c r="I92" s="33">
        <f>0</f>
        <v>0</v>
      </c>
      <c r="J92" s="33">
        <f>0</f>
        <v>0</v>
      </c>
      <c r="K92" s="33">
        <f>0</f>
        <v>0</v>
      </c>
      <c r="L92" s="33">
        <f>4319212.72</f>
        <v>4319212.72</v>
      </c>
    </row>
    <row r="93" spans="1:13" ht="22.5" customHeight="1" x14ac:dyDescent="0.2">
      <c r="B93" s="73" t="s">
        <v>63</v>
      </c>
      <c r="C93" s="74"/>
      <c r="D93" s="74"/>
      <c r="E93" s="75"/>
      <c r="F93" s="33">
        <f>195500</f>
        <v>195500</v>
      </c>
      <c r="G93" s="33">
        <f>0</f>
        <v>0</v>
      </c>
      <c r="H93" s="33">
        <f>0</f>
        <v>0</v>
      </c>
      <c r="I93" s="33">
        <f>0</f>
        <v>0</v>
      </c>
      <c r="J93" s="33">
        <f>0</f>
        <v>0</v>
      </c>
      <c r="K93" s="33">
        <f>0</f>
        <v>0</v>
      </c>
      <c r="L93" s="33">
        <f>195500</f>
        <v>195500</v>
      </c>
    </row>
    <row r="96" spans="1:13" ht="75" customHeight="1" x14ac:dyDescent="0.2">
      <c r="A96" s="51" t="str">
        <f>CONCATENATE("Informacja z wykonania budżetów gmin za ",$C$104," ",$B$105," roku   ",$B$107,"")</f>
        <v xml:space="preserve">Informacja z wykonania budżetów gmin za IV Kwartały 2022 roku   </v>
      </c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</row>
    <row r="97" spans="1:11" ht="13.5" customHeight="1" x14ac:dyDescent="0.2">
      <c r="B97" s="4"/>
    </row>
    <row r="98" spans="1:11" ht="13.5" customHeight="1" x14ac:dyDescent="0.2">
      <c r="B98" s="5"/>
      <c r="C98" s="62"/>
      <c r="D98" s="63"/>
      <c r="E98" s="63"/>
      <c r="F98" s="64"/>
      <c r="G98" s="62" t="s">
        <v>3</v>
      </c>
      <c r="H98" s="64"/>
      <c r="I98" s="62" t="s">
        <v>4</v>
      </c>
      <c r="J98" s="64"/>
      <c r="K98" s="5"/>
    </row>
    <row r="99" spans="1:11" ht="13.5" customHeight="1" x14ac:dyDescent="0.2">
      <c r="B99" s="6"/>
      <c r="C99" s="70" t="s">
        <v>5</v>
      </c>
      <c r="D99" s="71"/>
      <c r="E99" s="71"/>
      <c r="F99" s="72"/>
      <c r="G99" s="66">
        <f>1136</f>
        <v>1136</v>
      </c>
      <c r="H99" s="67"/>
      <c r="I99" s="68">
        <f>3085227087.58</f>
        <v>3085227087.5799999</v>
      </c>
      <c r="J99" s="69"/>
      <c r="K99" s="7"/>
    </row>
    <row r="100" spans="1:11" ht="13.5" customHeight="1" x14ac:dyDescent="0.2">
      <c r="B100" s="6"/>
      <c r="C100" s="73" t="s">
        <v>6</v>
      </c>
      <c r="D100" s="74"/>
      <c r="E100" s="74"/>
      <c r="F100" s="75"/>
      <c r="G100" s="76">
        <f>1275</f>
        <v>1275</v>
      </c>
      <c r="H100" s="77"/>
      <c r="I100" s="78">
        <f>-6772353082.47001</f>
        <v>-6772353082.4700098</v>
      </c>
      <c r="J100" s="79"/>
      <c r="K100" s="7"/>
    </row>
    <row r="101" spans="1:11" ht="13.5" customHeight="1" x14ac:dyDescent="0.2">
      <c r="B101" s="6"/>
      <c r="C101" s="70" t="s">
        <v>7</v>
      </c>
      <c r="D101" s="71"/>
      <c r="E101" s="71"/>
      <c r="F101" s="72"/>
      <c r="G101" s="66">
        <f>0</f>
        <v>0</v>
      </c>
      <c r="H101" s="67"/>
      <c r="I101" s="68">
        <f>0</f>
        <v>0</v>
      </c>
      <c r="J101" s="69"/>
      <c r="K101" s="7"/>
    </row>
    <row r="104" spans="1:11" ht="13.5" customHeight="1" x14ac:dyDescent="0.2">
      <c r="A104" s="8" t="s">
        <v>8</v>
      </c>
      <c r="B104" s="8">
        <f>4</f>
        <v>4</v>
      </c>
      <c r="C104" s="8" t="str">
        <f>IF(B104=1,"I Kwartał",IF(B104=2,"II Kwartały",IF(B104=3,"III Kwartały",IF(B104=4,"IV Kwartały","-"))))</f>
        <v>IV Kwartały</v>
      </c>
    </row>
    <row r="105" spans="1:11" ht="13.5" customHeight="1" x14ac:dyDescent="0.2">
      <c r="A105" s="8" t="s">
        <v>9</v>
      </c>
      <c r="B105" s="8">
        <f>2022</f>
        <v>2022</v>
      </c>
      <c r="C105" s="9"/>
    </row>
    <row r="106" spans="1:11" ht="13.5" customHeight="1" x14ac:dyDescent="0.2">
      <c r="A106" s="8" t="s">
        <v>10</v>
      </c>
      <c r="B106" s="10" t="str">
        <f>"Mar 23 2023 12:00AM"</f>
        <v>Mar 23 2023 12:00AM</v>
      </c>
      <c r="C106" s="9"/>
    </row>
    <row r="107" spans="1:11" ht="13.5" customHeight="1" x14ac:dyDescent="0.2">
      <c r="A107" s="16" t="s">
        <v>79</v>
      </c>
      <c r="B107" s="10" t="str">
        <f>""</f>
        <v/>
      </c>
    </row>
  </sheetData>
  <mergeCells count="79">
    <mergeCell ref="O6:Q6"/>
    <mergeCell ref="O7:O10"/>
    <mergeCell ref="A77:M77"/>
    <mergeCell ref="L39:L41"/>
    <mergeCell ref="P39:P41"/>
    <mergeCell ref="Q39:Q41"/>
    <mergeCell ref="B86:E86"/>
    <mergeCell ref="B80:E84"/>
    <mergeCell ref="B93:E93"/>
    <mergeCell ref="A96:M96"/>
    <mergeCell ref="B89:E89"/>
    <mergeCell ref="B90:E90"/>
    <mergeCell ref="B91:E91"/>
    <mergeCell ref="B92:E92"/>
    <mergeCell ref="B88:E88"/>
    <mergeCell ref="B87:E87"/>
    <mergeCell ref="F80:F84"/>
    <mergeCell ref="G81:G84"/>
    <mergeCell ref="B85:E85"/>
    <mergeCell ref="F86:L86"/>
    <mergeCell ref="L81:L84"/>
    <mergeCell ref="G101:H101"/>
    <mergeCell ref="I101:J101"/>
    <mergeCell ref="C98:F98"/>
    <mergeCell ref="C99:F99"/>
    <mergeCell ref="C100:F100"/>
    <mergeCell ref="C101:F101"/>
    <mergeCell ref="G99:H99"/>
    <mergeCell ref="G98:H98"/>
    <mergeCell ref="G100:H100"/>
    <mergeCell ref="I100:J100"/>
    <mergeCell ref="I99:J99"/>
    <mergeCell ref="I98:J98"/>
    <mergeCell ref="A1:M1"/>
    <mergeCell ref="C5:M5"/>
    <mergeCell ref="A3:M3"/>
    <mergeCell ref="K7:K10"/>
    <mergeCell ref="C7:C10"/>
    <mergeCell ref="H7:H10"/>
    <mergeCell ref="I7:I10"/>
    <mergeCell ref="J7:J10"/>
    <mergeCell ref="G80:L80"/>
    <mergeCell ref="H81:H84"/>
    <mergeCell ref="I81:I84"/>
    <mergeCell ref="J81:J84"/>
    <mergeCell ref="B78:M78"/>
    <mergeCell ref="D39:D41"/>
    <mergeCell ref="M39:M41"/>
    <mergeCell ref="B43:Q43"/>
    <mergeCell ref="Q7:Q10"/>
    <mergeCell ref="C38:N38"/>
    <mergeCell ref="L7:L10"/>
    <mergeCell ref="M7:M10"/>
    <mergeCell ref="N7:N10"/>
    <mergeCell ref="P7:P10"/>
    <mergeCell ref="A34:M34"/>
    <mergeCell ref="O38:Q38"/>
    <mergeCell ref="A36:M36"/>
    <mergeCell ref="B6:B10"/>
    <mergeCell ref="A6:A10"/>
    <mergeCell ref="C6:N6"/>
    <mergeCell ref="D7:D10"/>
    <mergeCell ref="E7:E10"/>
    <mergeCell ref="G7:G10"/>
    <mergeCell ref="F7:F10"/>
    <mergeCell ref="B12:Q12"/>
    <mergeCell ref="A38:A41"/>
    <mergeCell ref="C39:C41"/>
    <mergeCell ref="E39:E41"/>
    <mergeCell ref="K81:K84"/>
    <mergeCell ref="F39:F41"/>
    <mergeCell ref="G39:G41"/>
    <mergeCell ref="H39:H41"/>
    <mergeCell ref="K39:K41"/>
    <mergeCell ref="I39:I41"/>
    <mergeCell ref="J39:J41"/>
    <mergeCell ref="B38:B41"/>
    <mergeCell ref="N39:N41"/>
    <mergeCell ref="O39:O41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33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2016-08-26T11:23:29Z</cp:lastPrinted>
  <dcterms:created xsi:type="dcterms:W3CDTF">2001-05-17T08:58:03Z</dcterms:created>
  <dcterms:modified xsi:type="dcterms:W3CDTF">2023-03-29T10:35:57Z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2023-03-29T12:35:55.6089167+02:00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GRN-1a1a2ceb-7154-4a0a-b796-ad57f464fbb6</vt:lpwstr>
  </property>
  <property fmtid="{D5CDD505-2E9C-101B-9397-08002B2CF9AE}" pid="7" name="MFHash">
    <vt:lpwstr>hjO3bpvT6vyWOnFpmyAPdSkLEr4aRmVV+5ULErAJ2EA=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