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C8385AC6-4840-472B-9B28-0BE40871B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66" i="7" l="1"/>
  <c r="A30" i="7"/>
  <c r="A85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<sst xmlns="http://schemas.openxmlformats.org/spreadsheetml/2006/main" count="97" uniqueCount="81">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</sst>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 Kwartał 2025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55600332239.02</f>
        <v>55600332239.019997</v>
      </c>
      <c r="C13" s="21">
        <f>32416971981.83</f>
        <v>32416971981.830002</v>
      </c>
      <c r="D13" s="21">
        <f>650835098.59</f>
        <v>650835098.59000003</v>
      </c>
      <c r="E13" s="21">
        <f>353777273.48</f>
        <v>353777273.48000002</v>
      </c>
      <c r="F13" s="21">
        <f>160418740.36</f>
        <v>160418740.36000001</v>
      </c>
      <c r="G13" s="21">
        <f>136639084.75</f>
        <v>136639084.75</v>
      </c>
      <c r="H13" s="21">
        <f>0</f>
        <v>0</v>
      </c>
      <c r="I13" s="21">
        <f>0</f>
        <v>0</v>
      </c>
      <c r="J13" s="21">
        <f>29922338213.96</f>
        <v>29922338213.959999</v>
      </c>
      <c r="K13" s="21">
        <f>1021276232.11</f>
        <v>1021276232.11</v>
      </c>
      <c r="L13" s="21">
        <f>805217982.72</f>
        <v>805217982.72000003</v>
      </c>
      <c r="M13" s="21">
        <f>13868270.76</f>
        <v>13868270.76</v>
      </c>
      <c r="N13" s="21">
        <f>3436183.69</f>
        <v>3436183.69</v>
      </c>
      <c r="O13" s="21">
        <f>23183360257.19</f>
        <v>23183360257.189999</v>
      </c>
      <c r="P13" s="21">
        <f>23163228677.19</f>
        <v>23163228677.189999</v>
      </c>
      <c r="Q13" s="21">
        <f>20131580</f>
        <v>20131580</v>
      </c>
    </row>
    <row r="14" spans="1:17" ht="38.25" customHeight="1" x14ac:dyDescent="0.2">
      <c r="A14" s="20" t="s">
        <v>48</v>
      </c>
      <c r="B14" s="21">
        <f>7870194000</f>
        <v>7870194000</v>
      </c>
      <c r="C14" s="21">
        <f>7870194000</f>
        <v>7870194000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7711694000</f>
        <v>7711694000</v>
      </c>
      <c r="K14" s="21">
        <f>158500000</f>
        <v>158500000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7870194000</f>
        <v>7870194000</v>
      </c>
      <c r="C16" s="22">
        <f>7870194000</f>
        <v>7870194000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7711694000</f>
        <v>7711694000</v>
      </c>
      <c r="K16" s="22">
        <f>158500000</f>
        <v>158500000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47704357990.84</f>
        <v>47704357990.839996</v>
      </c>
      <c r="C17" s="21">
        <f>24520997733.65</f>
        <v>24520997733.650002</v>
      </c>
      <c r="D17" s="21">
        <f>644508017.5</f>
        <v>644508017.5</v>
      </c>
      <c r="E17" s="21">
        <f>353775049</f>
        <v>353775049</v>
      </c>
      <c r="F17" s="21">
        <f>160418270.42</f>
        <v>160418270.41999999</v>
      </c>
      <c r="G17" s="21">
        <f>130314698.08</f>
        <v>130314698.08</v>
      </c>
      <c r="H17" s="21">
        <f>0</f>
        <v>0</v>
      </c>
      <c r="I17" s="21">
        <f>0</f>
        <v>0</v>
      </c>
      <c r="J17" s="21">
        <f>22210644213.96</f>
        <v>22210644213.959999</v>
      </c>
      <c r="K17" s="21">
        <f>862032765.11</f>
        <v>862032765.11000001</v>
      </c>
      <c r="L17" s="21">
        <f>802252737.08</f>
        <v>802252737.08000004</v>
      </c>
      <c r="M17" s="21">
        <f>60000</f>
        <v>60000</v>
      </c>
      <c r="N17" s="21">
        <f>1500000</f>
        <v>1500000</v>
      </c>
      <c r="O17" s="21">
        <f>23183360257.19</f>
        <v>23183360257.189999</v>
      </c>
      <c r="P17" s="21">
        <f>23163228677.19</f>
        <v>23163228677.189999</v>
      </c>
      <c r="Q17" s="21">
        <f>20131580</f>
        <v>20131580</v>
      </c>
    </row>
    <row r="18" spans="1:17" ht="38.25" customHeight="1" x14ac:dyDescent="0.2">
      <c r="A18" s="18" t="s">
        <v>52</v>
      </c>
      <c r="B18" s="22">
        <f>13392929.15</f>
        <v>13392929.15</v>
      </c>
      <c r="C18" s="22">
        <f>13392929.15</f>
        <v>13392929.15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13155429.15</f>
        <v>13155429.15</v>
      </c>
      <c r="K18" s="22">
        <f>0</f>
        <v>0</v>
      </c>
      <c r="L18" s="22">
        <f>237500</f>
        <v>237500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47690965061.69</f>
        <v>47690965061.690002</v>
      </c>
      <c r="C19" s="22">
        <f>24507604804.5</f>
        <v>24507604804.5</v>
      </c>
      <c r="D19" s="22">
        <f>644508017.5</f>
        <v>644508017.5</v>
      </c>
      <c r="E19" s="22">
        <f>353775049</f>
        <v>353775049</v>
      </c>
      <c r="F19" s="22">
        <f>160418270.42</f>
        <v>160418270.41999999</v>
      </c>
      <c r="G19" s="22">
        <f>130314698.08</f>
        <v>130314698.08</v>
      </c>
      <c r="H19" s="22">
        <f>0</f>
        <v>0</v>
      </c>
      <c r="I19" s="22">
        <f>0</f>
        <v>0</v>
      </c>
      <c r="J19" s="22">
        <f>22197488784.81</f>
        <v>22197488784.810001</v>
      </c>
      <c r="K19" s="22">
        <f>862032765.11</f>
        <v>862032765.11000001</v>
      </c>
      <c r="L19" s="22">
        <f>802015237.08</f>
        <v>802015237.08000004</v>
      </c>
      <c r="M19" s="22">
        <f>60000</f>
        <v>60000</v>
      </c>
      <c r="N19" s="22">
        <f>1500000</f>
        <v>1500000</v>
      </c>
      <c r="O19" s="22">
        <f>23183360257.19</f>
        <v>23183360257.189999</v>
      </c>
      <c r="P19" s="22">
        <f>23163228677.19</f>
        <v>23163228677.189999</v>
      </c>
      <c r="Q19" s="22">
        <f>20131580</f>
        <v>20131580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25780248.18</f>
        <v>25780248.18</v>
      </c>
      <c r="C21" s="21">
        <f>25780248.18</f>
        <v>25780248.18</v>
      </c>
      <c r="D21" s="21">
        <f>6327081.09</f>
        <v>6327081.0899999999</v>
      </c>
      <c r="E21" s="21">
        <f>2224.48</f>
        <v>2224.48</v>
      </c>
      <c r="F21" s="21">
        <f>469.94</f>
        <v>469.94</v>
      </c>
      <c r="G21" s="21">
        <f>6324386.67</f>
        <v>6324386.6699999999</v>
      </c>
      <c r="H21" s="21">
        <f>0</f>
        <v>0</v>
      </c>
      <c r="I21" s="21">
        <f>0</f>
        <v>0</v>
      </c>
      <c r="J21" s="21">
        <f>0</f>
        <v>0</v>
      </c>
      <c r="K21" s="21">
        <f>743467</f>
        <v>743467</v>
      </c>
      <c r="L21" s="21">
        <f>2965245.64</f>
        <v>2965245.64</v>
      </c>
      <c r="M21" s="21">
        <f>13808270.76</f>
        <v>13808270.76</v>
      </c>
      <c r="N21" s="21">
        <f>1936183.69</f>
        <v>1936183.69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15604534.53</f>
        <v>15604534.529999999</v>
      </c>
      <c r="C22" s="22">
        <f>15604534.53</f>
        <v>15604534.529999999</v>
      </c>
      <c r="D22" s="22">
        <f>155.48</f>
        <v>155.47999999999999</v>
      </c>
      <c r="E22" s="22">
        <f>155.48</f>
        <v>155.47999999999999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735780.93</f>
        <v>735780.93</v>
      </c>
      <c r="L22" s="22">
        <f>691185.95</f>
        <v>691185.95</v>
      </c>
      <c r="M22" s="22">
        <f>12241611.52</f>
        <v>12241611.52</v>
      </c>
      <c r="N22" s="22">
        <f>1935800.65</f>
        <v>1935800.65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10175713.65</f>
        <v>10175713.65</v>
      </c>
      <c r="C23" s="22">
        <f>10175713.65</f>
        <v>10175713.65</v>
      </c>
      <c r="D23" s="22">
        <f>6326925.61</f>
        <v>6326925.6100000003</v>
      </c>
      <c r="E23" s="22">
        <f>2069</f>
        <v>2069</v>
      </c>
      <c r="F23" s="22">
        <f>469.94</f>
        <v>469.94</v>
      </c>
      <c r="G23" s="22">
        <f>6324386.67</f>
        <v>6324386.6699999999</v>
      </c>
      <c r="H23" s="22">
        <f>0</f>
        <v>0</v>
      </c>
      <c r="I23" s="22">
        <f>0</f>
        <v>0</v>
      </c>
      <c r="J23" s="22">
        <f>0</f>
        <v>0</v>
      </c>
      <c r="K23" s="22">
        <f>7686.07</f>
        <v>7686.07</v>
      </c>
      <c r="L23" s="22">
        <f>2274059.69</f>
        <v>2274059.69</v>
      </c>
      <c r="M23" s="22">
        <f>1566659.24</f>
        <v>1566659.24</v>
      </c>
      <c r="N23" s="22">
        <f>383.04</f>
        <v>383.04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 Kwartał 2025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79433.6</f>
        <v>79433.600000000006</v>
      </c>
      <c r="C40" s="23">
        <f>79433.6</f>
        <v>79433.600000000006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79433.6</f>
        <v>79433.600000000006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79433.6</f>
        <v>79433.600000000006</v>
      </c>
      <c r="C42" s="24">
        <f>79433.6</f>
        <v>79433.600000000006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79433.6</f>
        <v>79433.600000000006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363648338.79</f>
        <v>363648338.79000002</v>
      </c>
      <c r="C43" s="23">
        <f>363648338.79</f>
        <v>363648338.79000002</v>
      </c>
      <c r="D43" s="23">
        <f>144338743.48</f>
        <v>144338743.47999999</v>
      </c>
      <c r="E43" s="23">
        <f>28880</f>
        <v>28880</v>
      </c>
      <c r="F43" s="23">
        <f>0</f>
        <v>0</v>
      </c>
      <c r="G43" s="23">
        <f>144309863.48</f>
        <v>144309863.47999999</v>
      </c>
      <c r="H43" s="23">
        <f>0</f>
        <v>0</v>
      </c>
      <c r="I43" s="23">
        <f>0</f>
        <v>0</v>
      </c>
      <c r="J43" s="23">
        <f>27112</f>
        <v>27112</v>
      </c>
      <c r="K43" s="23">
        <f>0</f>
        <v>0</v>
      </c>
      <c r="L43" s="23">
        <f>133232979.94</f>
        <v>133232979.94</v>
      </c>
      <c r="M43" s="23">
        <f>70627243.61</f>
        <v>70627243.609999999</v>
      </c>
      <c r="N43" s="23">
        <f>15422259.76</f>
        <v>15422259.76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54771333.4</f>
        <v>54771333.399999999</v>
      </c>
      <c r="C44" s="24">
        <f>54771333.4</f>
        <v>54771333.399999999</v>
      </c>
      <c r="D44" s="24">
        <f>14530952.93</f>
        <v>14530952.93</v>
      </c>
      <c r="E44" s="24">
        <f>28880</f>
        <v>28880</v>
      </c>
      <c r="F44" s="24">
        <f>0</f>
        <v>0</v>
      </c>
      <c r="G44" s="24">
        <f>14502072.93</f>
        <v>14502072.93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17941292.62</f>
        <v>17941292.620000001</v>
      </c>
      <c r="M44" s="24">
        <f>20485770.72</f>
        <v>20485770.719999999</v>
      </c>
      <c r="N44" s="24">
        <f>1813317.13</f>
        <v>1813317.13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308877005.39</f>
        <v>308877005.38999999</v>
      </c>
      <c r="C45" s="24">
        <f>308877005.39</f>
        <v>308877005.38999999</v>
      </c>
      <c r="D45" s="24">
        <f>129807790.55</f>
        <v>129807790.55</v>
      </c>
      <c r="E45" s="24">
        <f>0</f>
        <v>0</v>
      </c>
      <c r="F45" s="24">
        <f>0</f>
        <v>0</v>
      </c>
      <c r="G45" s="24">
        <f>129807790.55</f>
        <v>129807790.55</v>
      </c>
      <c r="H45" s="24">
        <f>0</f>
        <v>0</v>
      </c>
      <c r="I45" s="24">
        <f>0</f>
        <v>0</v>
      </c>
      <c r="J45" s="24">
        <f>27112</f>
        <v>27112</v>
      </c>
      <c r="K45" s="24">
        <f>0</f>
        <v>0</v>
      </c>
      <c r="L45" s="24">
        <f>115291687.32</f>
        <v>115291687.31999999</v>
      </c>
      <c r="M45" s="24">
        <f>50141472.89</f>
        <v>50141472.890000001</v>
      </c>
      <c r="N45" s="24">
        <f>13608942.63</f>
        <v>13608942.630000001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20129016748.45</f>
        <v>20129016748.450001</v>
      </c>
      <c r="C46" s="23">
        <f>20129016748.45</f>
        <v>20129016748.450001</v>
      </c>
      <c r="D46" s="23">
        <f>12886763.41</f>
        <v>12886763.41</v>
      </c>
      <c r="E46" s="23">
        <f>93262.34</f>
        <v>93262.34</v>
      </c>
      <c r="F46" s="23">
        <f>25779.68</f>
        <v>25779.68</v>
      </c>
      <c r="G46" s="23">
        <f>12767721.39</f>
        <v>12767721.390000001</v>
      </c>
      <c r="H46" s="23">
        <f>0</f>
        <v>0</v>
      </c>
      <c r="I46" s="23">
        <f>4844190.12</f>
        <v>4844190.12</v>
      </c>
      <c r="J46" s="23">
        <f>20098947384.35</f>
        <v>20098947384.349998</v>
      </c>
      <c r="K46" s="23">
        <f>102594.06</f>
        <v>102594.06</v>
      </c>
      <c r="L46" s="23">
        <f>12193411.94</f>
        <v>12193411.939999999</v>
      </c>
      <c r="M46" s="23">
        <f>41755.66</f>
        <v>41755.660000000003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7994121.91</f>
        <v>7994121.9100000001</v>
      </c>
      <c r="C47" s="24">
        <f>7994121.91</f>
        <v>7994121.9100000001</v>
      </c>
      <c r="D47" s="24">
        <f>7994121.91</f>
        <v>7994121.9100000001</v>
      </c>
      <c r="E47" s="24">
        <f>0</f>
        <v>0</v>
      </c>
      <c r="F47" s="24">
        <f>0</f>
        <v>0</v>
      </c>
      <c r="G47" s="24">
        <f>7994121.91</f>
        <v>7994121.9100000001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10080171554.51</f>
        <v>10080171554.51</v>
      </c>
      <c r="C48" s="24">
        <f>10080171554.51</f>
        <v>10080171554.51</v>
      </c>
      <c r="D48" s="24">
        <f>4653345.82</f>
        <v>4653345.82</v>
      </c>
      <c r="E48" s="24">
        <f>18664</f>
        <v>18664</v>
      </c>
      <c r="F48" s="24">
        <f>0</f>
        <v>0</v>
      </c>
      <c r="G48" s="24">
        <f>4634681.82</f>
        <v>4634681.82</v>
      </c>
      <c r="H48" s="24">
        <f>0</f>
        <v>0</v>
      </c>
      <c r="I48" s="24">
        <f>4760405.59</f>
        <v>4760405.59</v>
      </c>
      <c r="J48" s="24">
        <f>10069870425.04</f>
        <v>10069870425.040001</v>
      </c>
      <c r="K48" s="24">
        <f>102594.06</f>
        <v>102594.06</v>
      </c>
      <c r="L48" s="24">
        <f>784784</f>
        <v>784784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10040851072.03</f>
        <v>10040851072.030001</v>
      </c>
      <c r="C49" s="24">
        <f>10040851072.03</f>
        <v>10040851072.030001</v>
      </c>
      <c r="D49" s="24">
        <f>239295.68</f>
        <v>239295.68</v>
      </c>
      <c r="E49" s="24">
        <f>74598.34</f>
        <v>74598.34</v>
      </c>
      <c r="F49" s="24">
        <f>25779.68</f>
        <v>25779.68</v>
      </c>
      <c r="G49" s="24">
        <f>138917.66</f>
        <v>138917.66</v>
      </c>
      <c r="H49" s="24">
        <f>0</f>
        <v>0</v>
      </c>
      <c r="I49" s="24">
        <f>83784.53</f>
        <v>83784.53</v>
      </c>
      <c r="J49" s="24">
        <f>10029076959.31</f>
        <v>10029076959.309999</v>
      </c>
      <c r="K49" s="24">
        <f>0</f>
        <v>0</v>
      </c>
      <c r="L49" s="24">
        <f>11408627.94</f>
        <v>11408627.939999999</v>
      </c>
      <c r="M49" s="24">
        <f>41755.66</f>
        <v>41755.660000000003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13130503410.26</f>
        <v>13130503410.26</v>
      </c>
      <c r="C50" s="23">
        <f>13076242676.75</f>
        <v>13076242676.75</v>
      </c>
      <c r="D50" s="23">
        <f>332428497.43</f>
        <v>332428497.43000001</v>
      </c>
      <c r="E50" s="23">
        <f>76153740.15</f>
        <v>76153740.150000006</v>
      </c>
      <c r="F50" s="23">
        <f>7090074.05</f>
        <v>7090074.0499999998</v>
      </c>
      <c r="G50" s="23">
        <f>248781357.76</f>
        <v>248781357.75999999</v>
      </c>
      <c r="H50" s="23">
        <f>403325.47</f>
        <v>403325.47</v>
      </c>
      <c r="I50" s="23">
        <f>2</f>
        <v>2</v>
      </c>
      <c r="J50" s="23">
        <f>440628.21</f>
        <v>440628.21</v>
      </c>
      <c r="K50" s="23">
        <f>11063816.83</f>
        <v>11063816.83</v>
      </c>
      <c r="L50" s="23">
        <f>2800027028.81</f>
        <v>2800027028.8099999</v>
      </c>
      <c r="M50" s="23">
        <f>9830105727.54</f>
        <v>9830105727.5400009</v>
      </c>
      <c r="N50" s="23">
        <f>102176975.93</f>
        <v>102176975.93000001</v>
      </c>
      <c r="O50" s="23">
        <f>54260733.51</f>
        <v>54260733.509999998</v>
      </c>
      <c r="P50" s="23">
        <f>11218471.65</f>
        <v>11218471.65</v>
      </c>
      <c r="Q50" s="23">
        <f>43042261.86</f>
        <v>43042261.859999999</v>
      </c>
    </row>
    <row r="51" spans="1:17" ht="26.25" customHeight="1" x14ac:dyDescent="0.2">
      <c r="A51" s="19" t="s">
        <v>37</v>
      </c>
      <c r="B51" s="24">
        <f>5331682564.92</f>
        <v>5331682564.9200001</v>
      </c>
      <c r="C51" s="24">
        <f>5299896507.58</f>
        <v>5299896507.5799999</v>
      </c>
      <c r="D51" s="24">
        <f>65448267.87</f>
        <v>65448267.869999997</v>
      </c>
      <c r="E51" s="24">
        <f>1105270.9</f>
        <v>1105270.8999999999</v>
      </c>
      <c r="F51" s="24">
        <f>2434580.55</f>
        <v>2434580.5499999998</v>
      </c>
      <c r="G51" s="24">
        <f>61820945.74</f>
        <v>61820945.740000002</v>
      </c>
      <c r="H51" s="24">
        <f>87470.68</f>
        <v>87470.68</v>
      </c>
      <c r="I51" s="24">
        <f>0</f>
        <v>0</v>
      </c>
      <c r="J51" s="24">
        <f>15473.95</f>
        <v>15473.95</v>
      </c>
      <c r="K51" s="24">
        <f>557355.28</f>
        <v>557355.28</v>
      </c>
      <c r="L51" s="24">
        <f>731814900.32</f>
        <v>731814900.32000005</v>
      </c>
      <c r="M51" s="24">
        <f>4452304764.51</f>
        <v>4452304764.5100002</v>
      </c>
      <c r="N51" s="24">
        <f>49755745.65</f>
        <v>49755745.649999999</v>
      </c>
      <c r="O51" s="24">
        <f>31786057.34</f>
        <v>31786057.34</v>
      </c>
      <c r="P51" s="24">
        <f>714516.83</f>
        <v>714516.83</v>
      </c>
      <c r="Q51" s="24">
        <f>31071540.51</f>
        <v>31071540.510000002</v>
      </c>
    </row>
    <row r="52" spans="1:17" ht="26.25" customHeight="1" x14ac:dyDescent="0.2">
      <c r="A52" s="19" t="s">
        <v>38</v>
      </c>
      <c r="B52" s="24">
        <f>7798820845.34</f>
        <v>7798820845.3400002</v>
      </c>
      <c r="C52" s="24">
        <f>7776346169.17</f>
        <v>7776346169.1700001</v>
      </c>
      <c r="D52" s="24">
        <f>266980229.56</f>
        <v>266980229.56</v>
      </c>
      <c r="E52" s="24">
        <f>75048469.25</f>
        <v>75048469.25</v>
      </c>
      <c r="F52" s="24">
        <f>4655493.5</f>
        <v>4655493.5</v>
      </c>
      <c r="G52" s="24">
        <f>186960412.02</f>
        <v>186960412.02000001</v>
      </c>
      <c r="H52" s="24">
        <f>315854.79</f>
        <v>315854.78999999998</v>
      </c>
      <c r="I52" s="24">
        <f>2</f>
        <v>2</v>
      </c>
      <c r="J52" s="24">
        <f>425154.26</f>
        <v>425154.26</v>
      </c>
      <c r="K52" s="24">
        <f>10506461.55</f>
        <v>10506461.550000001</v>
      </c>
      <c r="L52" s="24">
        <f>2068212128.49</f>
        <v>2068212128.49</v>
      </c>
      <c r="M52" s="24">
        <f>5377800963.03</f>
        <v>5377800963.0299997</v>
      </c>
      <c r="N52" s="24">
        <f>52421230.28</f>
        <v>52421230.280000001</v>
      </c>
      <c r="O52" s="24">
        <f>22474676.17</f>
        <v>22474676.170000002</v>
      </c>
      <c r="P52" s="24">
        <f>10503954.82</f>
        <v>10503954.82</v>
      </c>
      <c r="Q52" s="24">
        <f>11970721.35</f>
        <v>11970721.35</v>
      </c>
    </row>
    <row r="53" spans="1:17" ht="26.25" customHeight="1" x14ac:dyDescent="0.2">
      <c r="A53" s="25" t="s">
        <v>46</v>
      </c>
      <c r="B53" s="23">
        <f>13875875827.84</f>
        <v>13875875827.84</v>
      </c>
      <c r="C53" s="23">
        <f>13848353612.48</f>
        <v>13848353612.48</v>
      </c>
      <c r="D53" s="23">
        <f>988334103.13</f>
        <v>988334103.13</v>
      </c>
      <c r="E53" s="23">
        <f>448425866.12</f>
        <v>448425866.12</v>
      </c>
      <c r="F53" s="23">
        <f>112073803.87</f>
        <v>112073803.87</v>
      </c>
      <c r="G53" s="23">
        <f>408895428.38</f>
        <v>408895428.38</v>
      </c>
      <c r="H53" s="23">
        <f>18939004.76</f>
        <v>18939004.760000002</v>
      </c>
      <c r="I53" s="23">
        <f>4378719.93</f>
        <v>4378719.93</v>
      </c>
      <c r="J53" s="23">
        <f>19357865.67</f>
        <v>19357865.670000002</v>
      </c>
      <c r="K53" s="23">
        <f>83182986.73</f>
        <v>83182986.730000004</v>
      </c>
      <c r="L53" s="23">
        <f>8885598313.98</f>
        <v>8885598313.9799995</v>
      </c>
      <c r="M53" s="23">
        <f>3499121586.23</f>
        <v>3499121586.23</v>
      </c>
      <c r="N53" s="23">
        <f>368380036.81</f>
        <v>368380036.81</v>
      </c>
      <c r="O53" s="23">
        <f>27522215.36</f>
        <v>27522215.359999999</v>
      </c>
      <c r="P53" s="23">
        <f>24101162.12</f>
        <v>24101162.120000001</v>
      </c>
      <c r="Q53" s="23">
        <f>3421053.24</f>
        <v>3421053.24</v>
      </c>
    </row>
    <row r="54" spans="1:17" ht="26.25" customHeight="1" x14ac:dyDescent="0.2">
      <c r="A54" s="19" t="s">
        <v>39</v>
      </c>
      <c r="B54" s="24">
        <f>1124634415.06</f>
        <v>1124634415.0599999</v>
      </c>
      <c r="C54" s="24">
        <f>1121501353.35</f>
        <v>1121501353.3499999</v>
      </c>
      <c r="D54" s="24">
        <f>92022087.84</f>
        <v>92022087.840000004</v>
      </c>
      <c r="E54" s="24">
        <f>18280281.36</f>
        <v>18280281.359999999</v>
      </c>
      <c r="F54" s="24">
        <f>919269.47</f>
        <v>919269.47</v>
      </c>
      <c r="G54" s="24">
        <f>64980026.64</f>
        <v>64980026.640000001</v>
      </c>
      <c r="H54" s="24">
        <f>7842510.37</f>
        <v>7842510.3700000001</v>
      </c>
      <c r="I54" s="24">
        <f>2952</f>
        <v>2952</v>
      </c>
      <c r="J54" s="24">
        <f>428622.45</f>
        <v>428622.45</v>
      </c>
      <c r="K54" s="24">
        <f>1079854.6</f>
        <v>1079854.6000000001</v>
      </c>
      <c r="L54" s="24">
        <f>526879563.01</f>
        <v>526879563.00999999</v>
      </c>
      <c r="M54" s="24">
        <f>486182421.95</f>
        <v>486182421.94999999</v>
      </c>
      <c r="N54" s="24">
        <f>14905851.5</f>
        <v>14905851.5</v>
      </c>
      <c r="O54" s="24">
        <f>3133061.71</f>
        <v>3133061.71</v>
      </c>
      <c r="P54" s="24">
        <f>2513193.06</f>
        <v>2513193.06</v>
      </c>
      <c r="Q54" s="24">
        <f>619868.65</f>
        <v>619868.65</v>
      </c>
    </row>
    <row r="55" spans="1:17" ht="36.75" customHeight="1" x14ac:dyDescent="0.2">
      <c r="A55" s="19" t="s">
        <v>40</v>
      </c>
      <c r="B55" s="24">
        <f>8024713576.15</f>
        <v>8024713576.1499996</v>
      </c>
      <c r="C55" s="24">
        <f>8003603961.87</f>
        <v>8003603961.8699999</v>
      </c>
      <c r="D55" s="24">
        <f>367000929.77</f>
        <v>367000929.76999998</v>
      </c>
      <c r="E55" s="24">
        <f>109536114.32</f>
        <v>109536114.31999999</v>
      </c>
      <c r="F55" s="24">
        <f>82399378.04</f>
        <v>82399378.040000007</v>
      </c>
      <c r="G55" s="24">
        <f>170333388.67</f>
        <v>170333388.66999999</v>
      </c>
      <c r="H55" s="24">
        <f>4732048.74</f>
        <v>4732048.74</v>
      </c>
      <c r="I55" s="24">
        <f>4182152.41</f>
        <v>4182152.41</v>
      </c>
      <c r="J55" s="24">
        <f>16998582.12</f>
        <v>16998582.120000001</v>
      </c>
      <c r="K55" s="24">
        <f>43709023.78</f>
        <v>43709023.780000001</v>
      </c>
      <c r="L55" s="24">
        <f>6044200198.55</f>
        <v>6044200198.5500002</v>
      </c>
      <c r="M55" s="24">
        <f>1464838648.25</f>
        <v>1464838648.25</v>
      </c>
      <c r="N55" s="24">
        <f>62674426.99</f>
        <v>62674426.990000002</v>
      </c>
      <c r="O55" s="24">
        <f>21109614.28</f>
        <v>21109614.280000001</v>
      </c>
      <c r="P55" s="24">
        <f>18475305.22</f>
        <v>18475305.219999999</v>
      </c>
      <c r="Q55" s="24">
        <f>2634309.06</f>
        <v>2634309.06</v>
      </c>
    </row>
    <row r="56" spans="1:17" ht="26.25" customHeight="1" x14ac:dyDescent="0.2">
      <c r="A56" s="19" t="s">
        <v>41</v>
      </c>
      <c r="B56" s="24">
        <f>4726527836.63</f>
        <v>4726527836.6300001</v>
      </c>
      <c r="C56" s="24">
        <f>4723248297.26</f>
        <v>4723248297.2600002</v>
      </c>
      <c r="D56" s="24">
        <f>529311085.52</f>
        <v>529311085.51999998</v>
      </c>
      <c r="E56" s="24">
        <f>320609470.44</f>
        <v>320609470.44</v>
      </c>
      <c r="F56" s="24">
        <f>28755156.36</f>
        <v>28755156.359999999</v>
      </c>
      <c r="G56" s="24">
        <f>173582013.07</f>
        <v>173582013.06999999</v>
      </c>
      <c r="H56" s="24">
        <f>6364445.65</f>
        <v>6364445.6500000004</v>
      </c>
      <c r="I56" s="24">
        <f>193615.52</f>
        <v>193615.52</v>
      </c>
      <c r="J56" s="24">
        <f>1930661.1</f>
        <v>1930661.1</v>
      </c>
      <c r="K56" s="24">
        <f>38394108.35</f>
        <v>38394108.350000001</v>
      </c>
      <c r="L56" s="24">
        <f>2314518552.42</f>
        <v>2314518552.4200001</v>
      </c>
      <c r="M56" s="24">
        <f>1548100516.03</f>
        <v>1548100516.03</v>
      </c>
      <c r="N56" s="24">
        <f>290799758.32</f>
        <v>290799758.31999999</v>
      </c>
      <c r="O56" s="24">
        <f>3279539.37</f>
        <v>3279539.37</v>
      </c>
      <c r="P56" s="24">
        <f>3112663.84</f>
        <v>3112663.84</v>
      </c>
      <c r="Q56" s="24">
        <f>166875.53</f>
        <v>166875.53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 Kwartał 2025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1586251765.76</f>
        <v>1586251765.76</v>
      </c>
      <c r="G76" s="22">
        <f>181454902</f>
        <v>181454902</v>
      </c>
      <c r="H76" s="22">
        <f>18326769</f>
        <v>18326769</v>
      </c>
      <c r="I76" s="22">
        <f>58623375.09</f>
        <v>58623375.090000004</v>
      </c>
      <c r="J76" s="22">
        <f>104504757.91</f>
        <v>104504757.91</v>
      </c>
      <c r="K76" s="22">
        <f>0</f>
        <v>0</v>
      </c>
      <c r="L76" s="22">
        <f>1404796863.76</f>
        <v>1404796863.76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10759100.03</f>
        <v>10759100.029999999</v>
      </c>
      <c r="G78" s="22">
        <f>1000000</f>
        <v>1000000</v>
      </c>
      <c r="H78" s="22">
        <f>0</f>
        <v>0</v>
      </c>
      <c r="I78" s="22">
        <f>0</f>
        <v>0</v>
      </c>
      <c r="J78" s="22">
        <f>1000000</f>
        <v>1000000</v>
      </c>
      <c r="K78" s="22">
        <f>0</f>
        <v>0</v>
      </c>
      <c r="L78" s="22">
        <f>9759100.03</f>
        <v>9759100.0299999993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34000023.08</f>
        <v>34000023.079999998</v>
      </c>
      <c r="G79" s="22">
        <f>32000023.08</f>
        <v>32000023.079999998</v>
      </c>
      <c r="H79" s="22">
        <f>0</f>
        <v>0</v>
      </c>
      <c r="I79" s="22">
        <f>0</f>
        <v>0</v>
      </c>
      <c r="J79" s="22">
        <f>32000023.08</f>
        <v>32000023.079999998</v>
      </c>
      <c r="K79" s="22">
        <f>0</f>
        <v>0</v>
      </c>
      <c r="L79" s="22">
        <f>2000000</f>
        <v>2000000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7762577.81</f>
        <v>7762577.8099999996</v>
      </c>
      <c r="G80" s="22">
        <f>7762577.81</f>
        <v>7762577.8099999996</v>
      </c>
      <c r="H80" s="22">
        <f>0</f>
        <v>0</v>
      </c>
      <c r="I80" s="22">
        <f>0</f>
        <v>0</v>
      </c>
      <c r="J80" s="22">
        <f>7762577.81</f>
        <v>7762577.8099999996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2021229.21</f>
        <v>2021229.21</v>
      </c>
      <c r="G81" s="22">
        <f>1521229.21</f>
        <v>1521229.21</v>
      </c>
      <c r="H81" s="22">
        <f>0</f>
        <v>0</v>
      </c>
      <c r="I81" s="22">
        <f>0</f>
        <v>0</v>
      </c>
      <c r="J81" s="22">
        <f>1521229.21</f>
        <v>1521229.21</v>
      </c>
      <c r="K81" s="22">
        <f>0</f>
        <v>0</v>
      </c>
      <c r="L81" s="22">
        <f>500000</f>
        <v>500000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 Kwartał 2025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66</f>
        <v>66</v>
      </c>
      <c r="H88" s="60"/>
      <c r="I88" s="46">
        <f>11710203276.96</f>
        <v>11710203276.959999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0</f>
        <v>0</v>
      </c>
      <c r="H89" s="64"/>
      <c r="I89" s="48">
        <f>0</f>
        <v>0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10</v>
      </c>
      <c r="B94" s="8">
        <f>2025</f>
        <v>2025</v>
      </c>
      <c r="C94" s="9"/>
    </row>
    <row r="95" spans="1:13" ht="13.5" customHeight="1" x14ac:dyDescent="0.2">
      <c r="A95" s="8" t="s">
        <v>11</v>
      </c>
      <c r="B95" s="10" t="str">
        <f>"May 17 2025 12:00AM"</f>
        <v>May 17 2025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2025-05-21T12:02:24Z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2025-05-21T14:02:07.4389011+02:00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GRN-c0e4b718-9204-4d2e-a8e0-02abbb82f801</vt:lpwstr>
  </property>
  <property fmtid="{D5CDD505-2E9C-101B-9397-08002B2CF9AE}" pid="7" name="MFHash">
    <vt:lpwstr>oUQB1c6CRWN0RfNE2OGSb5kiIPhqDFRCw35mV0N3omI=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