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 kwartał\2025.05.17 Dane ostateczne\Zbiorówki_2025_k1_2025.05.17\Publikacja\"/>
    </mc:Choice>
  </mc:AlternateContent>
  <xr:revisionPtr revIDLastSave="0" documentId="13_ncr:1_{C8385AC6-4840-472B-9B28-0BE40871BD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 l="1"/>
  <c r="A66" i="7" l="1"/>
  <c r="A30" i="7"/>
  <c r="A85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<sst xmlns="http://schemas.openxmlformats.org/spreadsheetml/2006/main" count="97" uniqueCount="81">
  <si>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</si>
  <si>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sektora finansów publicznych (kol.5+7+8)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</si>
  <si>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</si>
  <si>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</si>
  <si>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</si>
  <si>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</si>
  <si>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</si>
  <si>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</si>
  <si>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</si>
  <si>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</si>
  <si>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</si>
  <si>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</si>
  <si>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</si>
  <si>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</si>
  <si>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</si>
  <si>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</si>
  <si>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</si>
  <si>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</si>
  <si>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</si>
  <si>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</si>
  <si>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</si>
  <si>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</si>
  <si>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</si>
  <si>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</si>
  <si>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</si>
  <si>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</si>
  <si>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</si>
  <si>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</si>
  <si>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</si>
  <si>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</si>
  <si>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</si>
  <si>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</si>
  <si>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</si>
  <si>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</si>
  <si>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</si>
  <si>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</si>
  <si>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</si>
  <si>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</si>
  <si>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</si>
  <si>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</si>
  <si>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</si>
  <si>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</si>
  <si>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</si>
  <si>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</si>
  <si>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</si>
  <si>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</si>
  <si>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</si>
  <si>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</si>
  <si>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</si>
  <si>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</si>
  <si>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</si>
  <si>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</si>
  <si>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</si>
  <si>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</si>
  <si>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</si>
  <si>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</si>
  <si>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</si>
  <si>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</si>
  <si>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</si>
  <si>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</si>
  <si>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</si>
  <si>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</si>
  <si>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</si>
  <si>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</si>
  <si>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</si>
  <si>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</si>
  <si>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</si>
  <si>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</si>
  <si>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</si>
  <si>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</si>
  <si>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</si>
  <si>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</si>
  <si>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</si>
  <si>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</si>
  <si>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</si>
  <si>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</si>
  <si>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</si>
  <si>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</si>
  <si>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tytul</t>
  </si>
  <si>
    <t>w złotych</t>
  </si>
  <si>
    <t>E4  wymagalne zobowiązania (E4.1+E4.2)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</si>
</sst>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7" xfId="0" applyFont="1" applyFill="1" applyBorder="1" applyAlignment="1">
      <alignment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4" width="12.42578125" style="2" customWidth="1"/>
    <col min="5" max="6" width="11.42578125" style="2" customWidth="1"/>
    <col min="7" max="7" width="12.7109375" style="2" customWidth="1"/>
    <col min="8" max="8" width="9.7109375" style="2" customWidth="1"/>
    <col min="9" max="9" width="10.7109375" style="2" customWidth="1"/>
    <col min="10" max="10" width="14" style="2" customWidth="1"/>
    <col min="11" max="11" width="12.140625" style="2" customWidth="1"/>
    <col min="12" max="12" width="11.42578125" style="2" customWidth="1"/>
    <col min="13" max="13" width="12" style="2" customWidth="1"/>
    <col min="14" max="14" width="11.7109375" style="2" customWidth="1"/>
    <col min="15" max="15" width="11.140625" style="2" customWidth="1"/>
    <col min="16" max="16" width="12.5703125" style="2" customWidth="1"/>
    <col min="17" max="16384" width="9.140625" style="2"/>
  </cols>
  <sheetData>
    <row r="1" spans="1:17" ht="75" customHeight="1" x14ac:dyDescent="0.2">
      <c r="A1" s="36" t="str">
        <f>CONCATENATE("Informacja z wykonania budżetów miast na prawach powiatu za  ",$C$93," ",$B$94," roku     ",$B$96,"")</f>
        <v xml:space="preserve">Informacja z wykonania budżetów miast na prawach powiatu za  I Kwartał 2025 roku     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7" t="s">
        <v>64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7" ht="13.5" customHeight="1" x14ac:dyDescent="0.2">
      <c r="B5" s="12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11"/>
      <c r="O5" s="11"/>
      <c r="P5" s="11"/>
      <c r="Q5" s="11"/>
    </row>
    <row r="6" spans="1:17" ht="13.5" customHeight="1" x14ac:dyDescent="0.2">
      <c r="A6" s="26" t="s">
        <v>0</v>
      </c>
      <c r="B6" s="38" t="s">
        <v>65</v>
      </c>
      <c r="C6" s="50" t="s">
        <v>69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  <c r="O6" s="50" t="s">
        <v>68</v>
      </c>
      <c r="P6" s="51"/>
      <c r="Q6" s="52"/>
    </row>
    <row r="7" spans="1:17" ht="13.5" customHeight="1" x14ac:dyDescent="0.2">
      <c r="A7" s="27"/>
      <c r="B7" s="29"/>
      <c r="C7" s="30" t="s">
        <v>66</v>
      </c>
      <c r="D7" s="30" t="s">
        <v>1</v>
      </c>
      <c r="E7" s="30" t="s">
        <v>70</v>
      </c>
      <c r="F7" s="30" t="s">
        <v>71</v>
      </c>
      <c r="G7" s="30" t="s">
        <v>28</v>
      </c>
      <c r="H7" s="30" t="s">
        <v>29</v>
      </c>
      <c r="I7" s="44" t="s">
        <v>67</v>
      </c>
      <c r="J7" s="30" t="s">
        <v>17</v>
      </c>
      <c r="K7" s="30" t="s">
        <v>18</v>
      </c>
      <c r="L7" s="30" t="s">
        <v>19</v>
      </c>
      <c r="M7" s="30" t="s">
        <v>20</v>
      </c>
      <c r="N7" s="29" t="s">
        <v>21</v>
      </c>
      <c r="O7" s="31" t="s">
        <v>22</v>
      </c>
      <c r="P7" s="31" t="s">
        <v>23</v>
      </c>
      <c r="Q7" s="31" t="s">
        <v>24</v>
      </c>
    </row>
    <row r="8" spans="1:17" ht="13.5" customHeight="1" x14ac:dyDescent="0.2">
      <c r="A8" s="27"/>
      <c r="B8" s="29"/>
      <c r="C8" s="31"/>
      <c r="D8" s="31"/>
      <c r="E8" s="31"/>
      <c r="F8" s="31"/>
      <c r="G8" s="31"/>
      <c r="H8" s="31"/>
      <c r="I8" s="44"/>
      <c r="J8" s="31"/>
      <c r="K8" s="31"/>
      <c r="L8" s="31"/>
      <c r="M8" s="31"/>
      <c r="N8" s="29"/>
      <c r="O8" s="31"/>
      <c r="P8" s="31"/>
      <c r="Q8" s="31"/>
    </row>
    <row r="9" spans="1:17" ht="11.25" customHeight="1" x14ac:dyDescent="0.2">
      <c r="A9" s="27"/>
      <c r="B9" s="29"/>
      <c r="C9" s="31"/>
      <c r="D9" s="31"/>
      <c r="E9" s="31"/>
      <c r="F9" s="31"/>
      <c r="G9" s="31"/>
      <c r="H9" s="31"/>
      <c r="I9" s="44"/>
      <c r="J9" s="31"/>
      <c r="K9" s="31"/>
      <c r="L9" s="31"/>
      <c r="M9" s="31"/>
      <c r="N9" s="29"/>
      <c r="O9" s="31"/>
      <c r="P9" s="31"/>
      <c r="Q9" s="31"/>
    </row>
    <row r="10" spans="1:17" ht="11.25" customHeight="1" x14ac:dyDescent="0.2">
      <c r="A10" s="28"/>
      <c r="B10" s="30"/>
      <c r="C10" s="31"/>
      <c r="D10" s="31"/>
      <c r="E10" s="31"/>
      <c r="F10" s="31"/>
      <c r="G10" s="31"/>
      <c r="H10" s="31"/>
      <c r="I10" s="45"/>
      <c r="J10" s="31"/>
      <c r="K10" s="31"/>
      <c r="L10" s="31"/>
      <c r="M10" s="31"/>
      <c r="N10" s="30"/>
      <c r="O10" s="31"/>
      <c r="P10" s="31"/>
      <c r="Q10" s="31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77" t="s">
        <v>79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9"/>
    </row>
    <row r="13" spans="1:17" ht="38.25" customHeight="1" x14ac:dyDescent="0.2">
      <c r="A13" s="20" t="s">
        <v>47</v>
      </c>
      <c r="B13" s="21">
        <f>55600332239.02</f>
        <v>55600332239.019997</v>
      </c>
      <c r="C13" s="21">
        <f>32416971981.83</f>
        <v>32416971981.830002</v>
      </c>
      <c r="D13" s="21">
        <f>650835098.59</f>
        <v>650835098.59000003</v>
      </c>
      <c r="E13" s="21">
        <f>353777273.48</f>
        <v>353777273.48000002</v>
      </c>
      <c r="F13" s="21">
        <f>160418740.36</f>
        <v>160418740.36000001</v>
      </c>
      <c r="G13" s="21">
        <f>136639084.75</f>
        <v>136639084.75</v>
      </c>
      <c r="H13" s="21">
        <f>0</f>
        <v>0</v>
      </c>
      <c r="I13" s="21">
        <f>0</f>
        <v>0</v>
      </c>
      <c r="J13" s="21">
        <f>29922338213.96</f>
        <v>29922338213.959999</v>
      </c>
      <c r="K13" s="21">
        <f>1021276232.11</f>
        <v>1021276232.11</v>
      </c>
      <c r="L13" s="21">
        <f>805217982.72</f>
        <v>805217982.72000003</v>
      </c>
      <c r="M13" s="21">
        <f>13868270.76</f>
        <v>13868270.76</v>
      </c>
      <c r="N13" s="21">
        <f>3436183.69</f>
        <v>3436183.69</v>
      </c>
      <c r="O13" s="21">
        <f>23183360257.19</f>
        <v>23183360257.189999</v>
      </c>
      <c r="P13" s="21">
        <f>23163228677.19</f>
        <v>23163228677.189999</v>
      </c>
      <c r="Q13" s="21">
        <f>20131580</f>
        <v>20131580</v>
      </c>
    </row>
    <row r="14" spans="1:17" ht="38.25" customHeight="1" x14ac:dyDescent="0.2">
      <c r="A14" s="20" t="s">
        <v>48</v>
      </c>
      <c r="B14" s="21">
        <f>7870194000</f>
        <v>7870194000</v>
      </c>
      <c r="C14" s="21">
        <f>7870194000</f>
        <v>7870194000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7711694000</f>
        <v>7711694000</v>
      </c>
      <c r="K14" s="21">
        <f>158500000</f>
        <v>158500000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38.25" customHeight="1" x14ac:dyDescent="0.2">
      <c r="A15" s="18" t="s">
        <v>49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38.25" customHeight="1" x14ac:dyDescent="0.2">
      <c r="A16" s="18" t="s">
        <v>50</v>
      </c>
      <c r="B16" s="22">
        <f>7870194000</f>
        <v>7870194000</v>
      </c>
      <c r="C16" s="22">
        <f>7870194000</f>
        <v>7870194000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7711694000</f>
        <v>7711694000</v>
      </c>
      <c r="K16" s="22">
        <f>158500000</f>
        <v>158500000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8.25" customHeight="1" x14ac:dyDescent="0.2">
      <c r="A17" s="20" t="s">
        <v>51</v>
      </c>
      <c r="B17" s="21">
        <f>47704357990.84</f>
        <v>47704357990.839996</v>
      </c>
      <c r="C17" s="21">
        <f>24520997733.65</f>
        <v>24520997733.650002</v>
      </c>
      <c r="D17" s="21">
        <f>644508017.5</f>
        <v>644508017.5</v>
      </c>
      <c r="E17" s="21">
        <f>353775049</f>
        <v>353775049</v>
      </c>
      <c r="F17" s="21">
        <f>160418270.42</f>
        <v>160418270.41999999</v>
      </c>
      <c r="G17" s="21">
        <f>130314698.08</f>
        <v>130314698.08</v>
      </c>
      <c r="H17" s="21">
        <f>0</f>
        <v>0</v>
      </c>
      <c r="I17" s="21">
        <f>0</f>
        <v>0</v>
      </c>
      <c r="J17" s="21">
        <f>22210644213.96</f>
        <v>22210644213.959999</v>
      </c>
      <c r="K17" s="21">
        <f>862032765.11</f>
        <v>862032765.11000001</v>
      </c>
      <c r="L17" s="21">
        <f>802252737.08</f>
        <v>802252737.08000004</v>
      </c>
      <c r="M17" s="21">
        <f>60000</f>
        <v>60000</v>
      </c>
      <c r="N17" s="21">
        <f>1500000</f>
        <v>1500000</v>
      </c>
      <c r="O17" s="21">
        <f>23183360257.19</f>
        <v>23183360257.189999</v>
      </c>
      <c r="P17" s="21">
        <f>23163228677.19</f>
        <v>23163228677.189999</v>
      </c>
      <c r="Q17" s="21">
        <f>20131580</f>
        <v>20131580</v>
      </c>
    </row>
    <row r="18" spans="1:17" ht="38.25" customHeight="1" x14ac:dyDescent="0.2">
      <c r="A18" s="18" t="s">
        <v>52</v>
      </c>
      <c r="B18" s="22">
        <f>13392929.15</f>
        <v>13392929.15</v>
      </c>
      <c r="C18" s="22">
        <f>13392929.15</f>
        <v>13392929.15</v>
      </c>
      <c r="D18" s="22">
        <f>0</f>
        <v>0</v>
      </c>
      <c r="E18" s="22">
        <f>0</f>
        <v>0</v>
      </c>
      <c r="F18" s="22">
        <f>0</f>
        <v>0</v>
      </c>
      <c r="G18" s="22">
        <f>0</f>
        <v>0</v>
      </c>
      <c r="H18" s="22">
        <f>0</f>
        <v>0</v>
      </c>
      <c r="I18" s="22">
        <f>0</f>
        <v>0</v>
      </c>
      <c r="J18" s="22">
        <f>13155429.15</f>
        <v>13155429.15</v>
      </c>
      <c r="K18" s="22">
        <f>0</f>
        <v>0</v>
      </c>
      <c r="L18" s="22">
        <f>237500</f>
        <v>237500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38.25" customHeight="1" x14ac:dyDescent="0.2">
      <c r="A19" s="18" t="s">
        <v>53</v>
      </c>
      <c r="B19" s="22">
        <f>47690965061.69</f>
        <v>47690965061.690002</v>
      </c>
      <c r="C19" s="22">
        <f>24507604804.5</f>
        <v>24507604804.5</v>
      </c>
      <c r="D19" s="22">
        <f>644508017.5</f>
        <v>644508017.5</v>
      </c>
      <c r="E19" s="22">
        <f>353775049</f>
        <v>353775049</v>
      </c>
      <c r="F19" s="22">
        <f>160418270.42</f>
        <v>160418270.41999999</v>
      </c>
      <c r="G19" s="22">
        <f>130314698.08</f>
        <v>130314698.08</v>
      </c>
      <c r="H19" s="22">
        <f>0</f>
        <v>0</v>
      </c>
      <c r="I19" s="22">
        <f>0</f>
        <v>0</v>
      </c>
      <c r="J19" s="22">
        <f>22197488784.81</f>
        <v>22197488784.810001</v>
      </c>
      <c r="K19" s="22">
        <f>862032765.11</f>
        <v>862032765.11000001</v>
      </c>
      <c r="L19" s="22">
        <f>802015237.08</f>
        <v>802015237.08000004</v>
      </c>
      <c r="M19" s="22">
        <f>60000</f>
        <v>60000</v>
      </c>
      <c r="N19" s="22">
        <f>1500000</f>
        <v>1500000</v>
      </c>
      <c r="O19" s="22">
        <f>23183360257.19</f>
        <v>23183360257.189999</v>
      </c>
      <c r="P19" s="22">
        <f>23163228677.19</f>
        <v>23163228677.189999</v>
      </c>
      <c r="Q19" s="22">
        <f>20131580</f>
        <v>20131580</v>
      </c>
    </row>
    <row r="20" spans="1:17" ht="38.25" customHeight="1" x14ac:dyDescent="0.2">
      <c r="A20" s="20" t="s">
        <v>54</v>
      </c>
      <c r="B20" s="21">
        <f>0</f>
        <v>0</v>
      </c>
      <c r="C20" s="21">
        <f>0</f>
        <v>0</v>
      </c>
      <c r="D20" s="21">
        <f>0</f>
        <v>0</v>
      </c>
      <c r="E20" s="21">
        <f>0</f>
        <v>0</v>
      </c>
      <c r="F20" s="21">
        <f>0</f>
        <v>0</v>
      </c>
      <c r="G20" s="21">
        <f>0</f>
        <v>0</v>
      </c>
      <c r="H20" s="21">
        <f>0</f>
        <v>0</v>
      </c>
      <c r="I20" s="21">
        <f>0</f>
        <v>0</v>
      </c>
      <c r="J20" s="21">
        <f>0</f>
        <v>0</v>
      </c>
      <c r="K20" s="21">
        <f>0</f>
        <v>0</v>
      </c>
      <c r="L20" s="21">
        <f>0</f>
        <v>0</v>
      </c>
      <c r="M20" s="21">
        <f>0</f>
        <v>0</v>
      </c>
      <c r="N20" s="21">
        <f>0</f>
        <v>0</v>
      </c>
      <c r="O20" s="21">
        <f>0</f>
        <v>0</v>
      </c>
      <c r="P20" s="21">
        <f>0</f>
        <v>0</v>
      </c>
      <c r="Q20" s="21">
        <f>0</f>
        <v>0</v>
      </c>
    </row>
    <row r="21" spans="1:17" ht="38.25" customHeight="1" x14ac:dyDescent="0.2">
      <c r="A21" s="20" t="s">
        <v>80</v>
      </c>
      <c r="B21" s="21">
        <f>25780248.18</f>
        <v>25780248.18</v>
      </c>
      <c r="C21" s="21">
        <f>25780248.18</f>
        <v>25780248.18</v>
      </c>
      <c r="D21" s="21">
        <f>6327081.09</f>
        <v>6327081.0899999999</v>
      </c>
      <c r="E21" s="21">
        <f>2224.48</f>
        <v>2224.48</v>
      </c>
      <c r="F21" s="21">
        <f>469.94</f>
        <v>469.94</v>
      </c>
      <c r="G21" s="21">
        <f>6324386.67</f>
        <v>6324386.6699999999</v>
      </c>
      <c r="H21" s="21">
        <f>0</f>
        <v>0</v>
      </c>
      <c r="I21" s="21">
        <f>0</f>
        <v>0</v>
      </c>
      <c r="J21" s="21">
        <f>0</f>
        <v>0</v>
      </c>
      <c r="K21" s="21">
        <f>743467</f>
        <v>743467</v>
      </c>
      <c r="L21" s="21">
        <f>2965245.64</f>
        <v>2965245.64</v>
      </c>
      <c r="M21" s="21">
        <f>13808270.76</f>
        <v>13808270.76</v>
      </c>
      <c r="N21" s="21">
        <f>1936183.69</f>
        <v>1936183.69</v>
      </c>
      <c r="O21" s="21">
        <f>0</f>
        <v>0</v>
      </c>
      <c r="P21" s="21">
        <f>0</f>
        <v>0</v>
      </c>
      <c r="Q21" s="21">
        <f>0</f>
        <v>0</v>
      </c>
    </row>
    <row r="22" spans="1:17" ht="38.25" customHeight="1" x14ac:dyDescent="0.2">
      <c r="A22" s="18" t="s">
        <v>55</v>
      </c>
      <c r="B22" s="22">
        <f>15604534.53</f>
        <v>15604534.529999999</v>
      </c>
      <c r="C22" s="22">
        <f>15604534.53</f>
        <v>15604534.529999999</v>
      </c>
      <c r="D22" s="22">
        <f>155.48</f>
        <v>155.47999999999999</v>
      </c>
      <c r="E22" s="22">
        <f>155.48</f>
        <v>155.47999999999999</v>
      </c>
      <c r="F22" s="22">
        <f>0</f>
        <v>0</v>
      </c>
      <c r="G22" s="22">
        <f>0</f>
        <v>0</v>
      </c>
      <c r="H22" s="22">
        <f>0</f>
        <v>0</v>
      </c>
      <c r="I22" s="22">
        <f>0</f>
        <v>0</v>
      </c>
      <c r="J22" s="22">
        <f>0</f>
        <v>0</v>
      </c>
      <c r="K22" s="22">
        <f>735780.93</f>
        <v>735780.93</v>
      </c>
      <c r="L22" s="22">
        <f>691185.95</f>
        <v>691185.95</v>
      </c>
      <c r="M22" s="22">
        <f>12241611.52</f>
        <v>12241611.52</v>
      </c>
      <c r="N22" s="22">
        <f>1935800.65</f>
        <v>1935800.65</v>
      </c>
      <c r="O22" s="22">
        <f>0</f>
        <v>0</v>
      </c>
      <c r="P22" s="22">
        <f>0</f>
        <v>0</v>
      </c>
      <c r="Q22" s="22">
        <f>0</f>
        <v>0</v>
      </c>
    </row>
    <row r="23" spans="1:17" ht="38.25" customHeight="1" x14ac:dyDescent="0.2">
      <c r="A23" s="18" t="s">
        <v>56</v>
      </c>
      <c r="B23" s="22">
        <f>10175713.65</f>
        <v>10175713.65</v>
      </c>
      <c r="C23" s="22">
        <f>10175713.65</f>
        <v>10175713.65</v>
      </c>
      <c r="D23" s="22">
        <f>6326925.61</f>
        <v>6326925.6100000003</v>
      </c>
      <c r="E23" s="22">
        <f>2069</f>
        <v>2069</v>
      </c>
      <c r="F23" s="22">
        <f>469.94</f>
        <v>469.94</v>
      </c>
      <c r="G23" s="22">
        <f>6324386.67</f>
        <v>6324386.6699999999</v>
      </c>
      <c r="H23" s="22">
        <f>0</f>
        <v>0</v>
      </c>
      <c r="I23" s="22">
        <f>0</f>
        <v>0</v>
      </c>
      <c r="J23" s="22">
        <f>0</f>
        <v>0</v>
      </c>
      <c r="K23" s="22">
        <f>7686.07</f>
        <v>7686.07</v>
      </c>
      <c r="L23" s="22">
        <f>2274059.69</f>
        <v>2274059.69</v>
      </c>
      <c r="M23" s="22">
        <f>1566659.24</f>
        <v>1566659.24</v>
      </c>
      <c r="N23" s="22">
        <f>383.04</f>
        <v>383.04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19.5" customHeight="1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ht="45.75" customHeight="1" x14ac:dyDescent="0.2">
      <c r="A30" s="36" t="str">
        <f>CONCATENATE("Informacja z wykonania budżetów miast na prawach powiatu za  ",$C$93," ",$B$94," roku     ",$B$96,"")</f>
        <v xml:space="preserve">Informacja z wykonania budżetów miast na prawach powiatu za  I Kwartał 2025 roku     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2" spans="1:17" ht="13.5" customHeight="1" x14ac:dyDescent="0.2">
      <c r="A32" s="37" t="s">
        <v>12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  <row r="34" spans="1:17" ht="13.5" customHeight="1" x14ac:dyDescent="0.2">
      <c r="A34" s="26" t="s">
        <v>0</v>
      </c>
      <c r="B34" s="38" t="s">
        <v>13</v>
      </c>
      <c r="C34" s="33" t="s">
        <v>15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5"/>
      <c r="O34" s="33" t="s">
        <v>25</v>
      </c>
      <c r="P34" s="34"/>
      <c r="Q34" s="35"/>
    </row>
    <row r="35" spans="1:17" ht="13.5" customHeight="1" x14ac:dyDescent="0.2">
      <c r="A35" s="27"/>
      <c r="B35" s="29"/>
      <c r="C35" s="29" t="s">
        <v>14</v>
      </c>
      <c r="D35" s="31" t="s">
        <v>16</v>
      </c>
      <c r="E35" s="31" t="s">
        <v>26</v>
      </c>
      <c r="F35" s="31" t="s">
        <v>27</v>
      </c>
      <c r="G35" s="31" t="s">
        <v>75</v>
      </c>
      <c r="H35" s="31" t="s">
        <v>29</v>
      </c>
      <c r="I35" s="31" t="s">
        <v>2</v>
      </c>
      <c r="J35" s="31" t="s">
        <v>17</v>
      </c>
      <c r="K35" s="31" t="s">
        <v>18</v>
      </c>
      <c r="L35" s="31" t="s">
        <v>19</v>
      </c>
      <c r="M35" s="31" t="s">
        <v>20</v>
      </c>
      <c r="N35" s="75" t="s">
        <v>21</v>
      </c>
      <c r="O35" s="31" t="s">
        <v>22</v>
      </c>
      <c r="P35" s="31" t="s">
        <v>23</v>
      </c>
      <c r="Q35" s="38" t="s">
        <v>24</v>
      </c>
    </row>
    <row r="36" spans="1:17" ht="11.25" customHeight="1" x14ac:dyDescent="0.2">
      <c r="A36" s="27"/>
      <c r="B36" s="29"/>
      <c r="C36" s="29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5"/>
      <c r="O36" s="31"/>
      <c r="P36" s="31"/>
      <c r="Q36" s="29"/>
    </row>
    <row r="37" spans="1:17" ht="24.75" customHeight="1" x14ac:dyDescent="0.2">
      <c r="A37" s="28"/>
      <c r="B37" s="30"/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5"/>
      <c r="O37" s="31"/>
      <c r="P37" s="31"/>
      <c r="Q37" s="30"/>
    </row>
    <row r="38" spans="1:17" ht="13.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2.75" customHeight="1" x14ac:dyDescent="0.2">
      <c r="A39" s="13"/>
      <c r="B39" s="61" t="s">
        <v>79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62"/>
    </row>
    <row r="40" spans="1:17" ht="26.25" customHeight="1" x14ac:dyDescent="0.2">
      <c r="A40" s="25" t="s">
        <v>42</v>
      </c>
      <c r="B40" s="23">
        <f>79433.6</f>
        <v>79433.600000000006</v>
      </c>
      <c r="C40" s="23">
        <f>79433.6</f>
        <v>79433.600000000006</v>
      </c>
      <c r="D40" s="23">
        <f>0</f>
        <v>0</v>
      </c>
      <c r="E40" s="23">
        <f>0</f>
        <v>0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0</f>
        <v>0</v>
      </c>
      <c r="K40" s="23">
        <f>0</f>
        <v>0</v>
      </c>
      <c r="L40" s="23">
        <f>79433.6</f>
        <v>79433.600000000006</v>
      </c>
      <c r="M40" s="23">
        <f>0</f>
        <v>0</v>
      </c>
      <c r="N40" s="23">
        <f>0</f>
        <v>0</v>
      </c>
      <c r="O40" s="23">
        <f>0</f>
        <v>0</v>
      </c>
      <c r="P40" s="23">
        <f>0</f>
        <v>0</v>
      </c>
      <c r="Q40" s="23">
        <f>0</f>
        <v>0</v>
      </c>
    </row>
    <row r="41" spans="1:17" ht="26.25" customHeight="1" x14ac:dyDescent="0.2">
      <c r="A41" s="19" t="s">
        <v>30</v>
      </c>
      <c r="B41" s="24">
        <f>0</f>
        <v>0</v>
      </c>
      <c r="C41" s="24">
        <f>0</f>
        <v>0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0</f>
        <v>0</v>
      </c>
      <c r="L41" s="24">
        <f>0</f>
        <v>0</v>
      </c>
      <c r="M41" s="24">
        <f>0</f>
        <v>0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6.25" customHeight="1" x14ac:dyDescent="0.2">
      <c r="A42" s="19" t="s">
        <v>31</v>
      </c>
      <c r="B42" s="24">
        <f>79433.6</f>
        <v>79433.600000000006</v>
      </c>
      <c r="C42" s="24">
        <f>79433.6</f>
        <v>79433.600000000006</v>
      </c>
      <c r="D42" s="24">
        <f>0</f>
        <v>0</v>
      </c>
      <c r="E42" s="24">
        <f>0</f>
        <v>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79433.6</f>
        <v>79433.600000000006</v>
      </c>
      <c r="M42" s="24">
        <f>0</f>
        <v>0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6.25" customHeight="1" x14ac:dyDescent="0.2">
      <c r="A43" s="25" t="s">
        <v>43</v>
      </c>
      <c r="B43" s="23">
        <f>363648338.79</f>
        <v>363648338.79000002</v>
      </c>
      <c r="C43" s="23">
        <f>363648338.79</f>
        <v>363648338.79000002</v>
      </c>
      <c r="D43" s="23">
        <f>144338743.48</f>
        <v>144338743.47999999</v>
      </c>
      <c r="E43" s="23">
        <f>28880</f>
        <v>28880</v>
      </c>
      <c r="F43" s="23">
        <f>0</f>
        <v>0</v>
      </c>
      <c r="G43" s="23">
        <f>144309863.48</f>
        <v>144309863.47999999</v>
      </c>
      <c r="H43" s="23">
        <f>0</f>
        <v>0</v>
      </c>
      <c r="I43" s="23">
        <f>0</f>
        <v>0</v>
      </c>
      <c r="J43" s="23">
        <f>27112</f>
        <v>27112</v>
      </c>
      <c r="K43" s="23">
        <f>0</f>
        <v>0</v>
      </c>
      <c r="L43" s="23">
        <f>133232979.94</f>
        <v>133232979.94</v>
      </c>
      <c r="M43" s="23">
        <f>70627243.61</f>
        <v>70627243.609999999</v>
      </c>
      <c r="N43" s="23">
        <f>15422259.76</f>
        <v>15422259.76</v>
      </c>
      <c r="O43" s="23">
        <f>0</f>
        <v>0</v>
      </c>
      <c r="P43" s="23">
        <f>0</f>
        <v>0</v>
      </c>
      <c r="Q43" s="23">
        <f>0</f>
        <v>0</v>
      </c>
    </row>
    <row r="44" spans="1:17" ht="26.25" customHeight="1" x14ac:dyDescent="0.2">
      <c r="A44" s="19" t="s">
        <v>32</v>
      </c>
      <c r="B44" s="24">
        <f>54771333.4</f>
        <v>54771333.399999999</v>
      </c>
      <c r="C44" s="24">
        <f>54771333.4</f>
        <v>54771333.399999999</v>
      </c>
      <c r="D44" s="24">
        <f>14530952.93</f>
        <v>14530952.93</v>
      </c>
      <c r="E44" s="24">
        <f>28880</f>
        <v>28880</v>
      </c>
      <c r="F44" s="24">
        <f>0</f>
        <v>0</v>
      </c>
      <c r="G44" s="24">
        <f>14502072.93</f>
        <v>14502072.93</v>
      </c>
      <c r="H44" s="24">
        <f>0</f>
        <v>0</v>
      </c>
      <c r="I44" s="24">
        <f>0</f>
        <v>0</v>
      </c>
      <c r="J44" s="24">
        <f>0</f>
        <v>0</v>
      </c>
      <c r="K44" s="24">
        <f>0</f>
        <v>0</v>
      </c>
      <c r="L44" s="24">
        <f>17941292.62</f>
        <v>17941292.620000001</v>
      </c>
      <c r="M44" s="24">
        <f>20485770.72</f>
        <v>20485770.719999999</v>
      </c>
      <c r="N44" s="24">
        <f>1813317.13</f>
        <v>1813317.13</v>
      </c>
      <c r="O44" s="24">
        <f>0</f>
        <v>0</v>
      </c>
      <c r="P44" s="24">
        <f>0</f>
        <v>0</v>
      </c>
      <c r="Q44" s="24">
        <f>0</f>
        <v>0</v>
      </c>
    </row>
    <row r="45" spans="1:17" ht="26.25" customHeight="1" x14ac:dyDescent="0.2">
      <c r="A45" s="19" t="s">
        <v>33</v>
      </c>
      <c r="B45" s="24">
        <f>308877005.39</f>
        <v>308877005.38999999</v>
      </c>
      <c r="C45" s="24">
        <f>308877005.39</f>
        <v>308877005.38999999</v>
      </c>
      <c r="D45" s="24">
        <f>129807790.55</f>
        <v>129807790.55</v>
      </c>
      <c r="E45" s="24">
        <f>0</f>
        <v>0</v>
      </c>
      <c r="F45" s="24">
        <f>0</f>
        <v>0</v>
      </c>
      <c r="G45" s="24">
        <f>129807790.55</f>
        <v>129807790.55</v>
      </c>
      <c r="H45" s="24">
        <f>0</f>
        <v>0</v>
      </c>
      <c r="I45" s="24">
        <f>0</f>
        <v>0</v>
      </c>
      <c r="J45" s="24">
        <f>27112</f>
        <v>27112</v>
      </c>
      <c r="K45" s="24">
        <f>0</f>
        <v>0</v>
      </c>
      <c r="L45" s="24">
        <f>115291687.32</f>
        <v>115291687.31999999</v>
      </c>
      <c r="M45" s="24">
        <f>50141472.89</f>
        <v>50141472.890000001</v>
      </c>
      <c r="N45" s="24">
        <f>13608942.63</f>
        <v>13608942.630000001</v>
      </c>
      <c r="O45" s="24">
        <f>0</f>
        <v>0</v>
      </c>
      <c r="P45" s="24">
        <f>0</f>
        <v>0</v>
      </c>
      <c r="Q45" s="24">
        <f>0</f>
        <v>0</v>
      </c>
    </row>
    <row r="46" spans="1:17" ht="26.25" customHeight="1" x14ac:dyDescent="0.2">
      <c r="A46" s="25" t="s">
        <v>44</v>
      </c>
      <c r="B46" s="23">
        <f>20129016748.45</f>
        <v>20129016748.450001</v>
      </c>
      <c r="C46" s="23">
        <f>20129016748.45</f>
        <v>20129016748.450001</v>
      </c>
      <c r="D46" s="23">
        <f>12886763.41</f>
        <v>12886763.41</v>
      </c>
      <c r="E46" s="23">
        <f>93262.34</f>
        <v>93262.34</v>
      </c>
      <c r="F46" s="23">
        <f>25779.68</f>
        <v>25779.68</v>
      </c>
      <c r="G46" s="23">
        <f>12767721.39</f>
        <v>12767721.390000001</v>
      </c>
      <c r="H46" s="23">
        <f>0</f>
        <v>0</v>
      </c>
      <c r="I46" s="23">
        <f>4844190.12</f>
        <v>4844190.12</v>
      </c>
      <c r="J46" s="23">
        <f>20098947384.35</f>
        <v>20098947384.349998</v>
      </c>
      <c r="K46" s="23">
        <f>102594.06</f>
        <v>102594.06</v>
      </c>
      <c r="L46" s="23">
        <f>12193411.94</f>
        <v>12193411.939999999</v>
      </c>
      <c r="M46" s="23">
        <f>41755.66</f>
        <v>41755.660000000003</v>
      </c>
      <c r="N46" s="23">
        <f>648.91</f>
        <v>648.91</v>
      </c>
      <c r="O46" s="23">
        <f>0</f>
        <v>0</v>
      </c>
      <c r="P46" s="23">
        <f>0</f>
        <v>0</v>
      </c>
      <c r="Q46" s="23">
        <f>0</f>
        <v>0</v>
      </c>
    </row>
    <row r="47" spans="1:17" ht="26.25" customHeight="1" x14ac:dyDescent="0.2">
      <c r="A47" s="19" t="s">
        <v>34</v>
      </c>
      <c r="B47" s="24">
        <f>7994121.91</f>
        <v>7994121.9100000001</v>
      </c>
      <c r="C47" s="24">
        <f>7994121.91</f>
        <v>7994121.9100000001</v>
      </c>
      <c r="D47" s="24">
        <f>7994121.91</f>
        <v>7994121.9100000001</v>
      </c>
      <c r="E47" s="24">
        <f>0</f>
        <v>0</v>
      </c>
      <c r="F47" s="24">
        <f>0</f>
        <v>0</v>
      </c>
      <c r="G47" s="24">
        <f>7994121.91</f>
        <v>7994121.9100000001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6.25" customHeight="1" x14ac:dyDescent="0.2">
      <c r="A48" s="19" t="s">
        <v>35</v>
      </c>
      <c r="B48" s="24">
        <f>10080171554.51</f>
        <v>10080171554.51</v>
      </c>
      <c r="C48" s="24">
        <f>10080171554.51</f>
        <v>10080171554.51</v>
      </c>
      <c r="D48" s="24">
        <f>4653345.82</f>
        <v>4653345.82</v>
      </c>
      <c r="E48" s="24">
        <f>18664</f>
        <v>18664</v>
      </c>
      <c r="F48" s="24">
        <f>0</f>
        <v>0</v>
      </c>
      <c r="G48" s="24">
        <f>4634681.82</f>
        <v>4634681.82</v>
      </c>
      <c r="H48" s="24">
        <f>0</f>
        <v>0</v>
      </c>
      <c r="I48" s="24">
        <f>4760405.59</f>
        <v>4760405.59</v>
      </c>
      <c r="J48" s="24">
        <f>10069870425.04</f>
        <v>10069870425.040001</v>
      </c>
      <c r="K48" s="24">
        <f>102594.06</f>
        <v>102594.06</v>
      </c>
      <c r="L48" s="24">
        <f>784784</f>
        <v>784784</v>
      </c>
      <c r="M48" s="24">
        <f>0</f>
        <v>0</v>
      </c>
      <c r="N48" s="24">
        <f>0</f>
        <v>0</v>
      </c>
      <c r="O48" s="24">
        <f>0</f>
        <v>0</v>
      </c>
      <c r="P48" s="24">
        <f>0</f>
        <v>0</v>
      </c>
      <c r="Q48" s="24">
        <f>0</f>
        <v>0</v>
      </c>
    </row>
    <row r="49" spans="1:17" ht="26.25" customHeight="1" x14ac:dyDescent="0.2">
      <c r="A49" s="19" t="s">
        <v>36</v>
      </c>
      <c r="B49" s="24">
        <f>10040851072.03</f>
        <v>10040851072.030001</v>
      </c>
      <c r="C49" s="24">
        <f>10040851072.03</f>
        <v>10040851072.030001</v>
      </c>
      <c r="D49" s="24">
        <f>239295.68</f>
        <v>239295.68</v>
      </c>
      <c r="E49" s="24">
        <f>74598.34</f>
        <v>74598.34</v>
      </c>
      <c r="F49" s="24">
        <f>25779.68</f>
        <v>25779.68</v>
      </c>
      <c r="G49" s="24">
        <f>138917.66</f>
        <v>138917.66</v>
      </c>
      <c r="H49" s="24">
        <f>0</f>
        <v>0</v>
      </c>
      <c r="I49" s="24">
        <f>83784.53</f>
        <v>83784.53</v>
      </c>
      <c r="J49" s="24">
        <f>10029076959.31</f>
        <v>10029076959.309999</v>
      </c>
      <c r="K49" s="24">
        <f>0</f>
        <v>0</v>
      </c>
      <c r="L49" s="24">
        <f>11408627.94</f>
        <v>11408627.939999999</v>
      </c>
      <c r="M49" s="24">
        <f>41755.66</f>
        <v>41755.660000000003</v>
      </c>
      <c r="N49" s="24">
        <f>648.91</f>
        <v>648.91</v>
      </c>
      <c r="O49" s="24">
        <f>0</f>
        <v>0</v>
      </c>
      <c r="P49" s="24">
        <f>0</f>
        <v>0</v>
      </c>
      <c r="Q49" s="24">
        <f>0</f>
        <v>0</v>
      </c>
    </row>
    <row r="50" spans="1:17" ht="26.25" customHeight="1" x14ac:dyDescent="0.2">
      <c r="A50" s="25" t="s">
        <v>45</v>
      </c>
      <c r="B50" s="23">
        <f>13130503410.26</f>
        <v>13130503410.26</v>
      </c>
      <c r="C50" s="23">
        <f>13076242676.75</f>
        <v>13076242676.75</v>
      </c>
      <c r="D50" s="23">
        <f>332428497.43</f>
        <v>332428497.43000001</v>
      </c>
      <c r="E50" s="23">
        <f>76153740.15</f>
        <v>76153740.150000006</v>
      </c>
      <c r="F50" s="23">
        <f>7090074.05</f>
        <v>7090074.0499999998</v>
      </c>
      <c r="G50" s="23">
        <f>248781357.76</f>
        <v>248781357.75999999</v>
      </c>
      <c r="H50" s="23">
        <f>403325.47</f>
        <v>403325.47</v>
      </c>
      <c r="I50" s="23">
        <f>2</f>
        <v>2</v>
      </c>
      <c r="J50" s="23">
        <f>440628.21</f>
        <v>440628.21</v>
      </c>
      <c r="K50" s="23">
        <f>11063816.83</f>
        <v>11063816.83</v>
      </c>
      <c r="L50" s="23">
        <f>2800027028.81</f>
        <v>2800027028.8099999</v>
      </c>
      <c r="M50" s="23">
        <f>9830105727.54</f>
        <v>9830105727.5400009</v>
      </c>
      <c r="N50" s="23">
        <f>102176975.93</f>
        <v>102176975.93000001</v>
      </c>
      <c r="O50" s="23">
        <f>54260733.51</f>
        <v>54260733.509999998</v>
      </c>
      <c r="P50" s="23">
        <f>11218471.65</f>
        <v>11218471.65</v>
      </c>
      <c r="Q50" s="23">
        <f>43042261.86</f>
        <v>43042261.859999999</v>
      </c>
    </row>
    <row r="51" spans="1:17" ht="26.25" customHeight="1" x14ac:dyDescent="0.2">
      <c r="A51" s="19" t="s">
        <v>37</v>
      </c>
      <c r="B51" s="24">
        <f>5331682564.92</f>
        <v>5331682564.9200001</v>
      </c>
      <c r="C51" s="24">
        <f>5299896507.58</f>
        <v>5299896507.5799999</v>
      </c>
      <c r="D51" s="24">
        <f>65448267.87</f>
        <v>65448267.869999997</v>
      </c>
      <c r="E51" s="24">
        <f>1105270.9</f>
        <v>1105270.8999999999</v>
      </c>
      <c r="F51" s="24">
        <f>2434580.55</f>
        <v>2434580.5499999998</v>
      </c>
      <c r="G51" s="24">
        <f>61820945.74</f>
        <v>61820945.740000002</v>
      </c>
      <c r="H51" s="24">
        <f>87470.68</f>
        <v>87470.68</v>
      </c>
      <c r="I51" s="24">
        <f>0</f>
        <v>0</v>
      </c>
      <c r="J51" s="24">
        <f>15473.95</f>
        <v>15473.95</v>
      </c>
      <c r="K51" s="24">
        <f>557355.28</f>
        <v>557355.28</v>
      </c>
      <c r="L51" s="24">
        <f>731814900.32</f>
        <v>731814900.32000005</v>
      </c>
      <c r="M51" s="24">
        <f>4452304764.51</f>
        <v>4452304764.5100002</v>
      </c>
      <c r="N51" s="24">
        <f>49755745.65</f>
        <v>49755745.649999999</v>
      </c>
      <c r="O51" s="24">
        <f>31786057.34</f>
        <v>31786057.34</v>
      </c>
      <c r="P51" s="24">
        <f>714516.83</f>
        <v>714516.83</v>
      </c>
      <c r="Q51" s="24">
        <f>31071540.51</f>
        <v>31071540.510000002</v>
      </c>
    </row>
    <row r="52" spans="1:17" ht="26.25" customHeight="1" x14ac:dyDescent="0.2">
      <c r="A52" s="19" t="s">
        <v>38</v>
      </c>
      <c r="B52" s="24">
        <f>7798820845.34</f>
        <v>7798820845.3400002</v>
      </c>
      <c r="C52" s="24">
        <f>7776346169.17</f>
        <v>7776346169.1700001</v>
      </c>
      <c r="D52" s="24">
        <f>266980229.56</f>
        <v>266980229.56</v>
      </c>
      <c r="E52" s="24">
        <f>75048469.25</f>
        <v>75048469.25</v>
      </c>
      <c r="F52" s="24">
        <f>4655493.5</f>
        <v>4655493.5</v>
      </c>
      <c r="G52" s="24">
        <f>186960412.02</f>
        <v>186960412.02000001</v>
      </c>
      <c r="H52" s="24">
        <f>315854.79</f>
        <v>315854.78999999998</v>
      </c>
      <c r="I52" s="24">
        <f>2</f>
        <v>2</v>
      </c>
      <c r="J52" s="24">
        <f>425154.26</f>
        <v>425154.26</v>
      </c>
      <c r="K52" s="24">
        <f>10506461.55</f>
        <v>10506461.550000001</v>
      </c>
      <c r="L52" s="24">
        <f>2068212128.49</f>
        <v>2068212128.49</v>
      </c>
      <c r="M52" s="24">
        <f>5377800963.03</f>
        <v>5377800963.0299997</v>
      </c>
      <c r="N52" s="24">
        <f>52421230.28</f>
        <v>52421230.280000001</v>
      </c>
      <c r="O52" s="24">
        <f>22474676.17</f>
        <v>22474676.170000002</v>
      </c>
      <c r="P52" s="24">
        <f>10503954.82</f>
        <v>10503954.82</v>
      </c>
      <c r="Q52" s="24">
        <f>11970721.35</f>
        <v>11970721.35</v>
      </c>
    </row>
    <row r="53" spans="1:17" ht="26.25" customHeight="1" x14ac:dyDescent="0.2">
      <c r="A53" s="25" t="s">
        <v>46</v>
      </c>
      <c r="B53" s="23">
        <f>13875875827.84</f>
        <v>13875875827.84</v>
      </c>
      <c r="C53" s="23">
        <f>13848353612.48</f>
        <v>13848353612.48</v>
      </c>
      <c r="D53" s="23">
        <f>988334103.13</f>
        <v>988334103.13</v>
      </c>
      <c r="E53" s="23">
        <f>448425866.12</f>
        <v>448425866.12</v>
      </c>
      <c r="F53" s="23">
        <f>112073803.87</f>
        <v>112073803.87</v>
      </c>
      <c r="G53" s="23">
        <f>408895428.38</f>
        <v>408895428.38</v>
      </c>
      <c r="H53" s="23">
        <f>18939004.76</f>
        <v>18939004.760000002</v>
      </c>
      <c r="I53" s="23">
        <f>4378719.93</f>
        <v>4378719.93</v>
      </c>
      <c r="J53" s="23">
        <f>19357865.67</f>
        <v>19357865.670000002</v>
      </c>
      <c r="K53" s="23">
        <f>83182986.73</f>
        <v>83182986.730000004</v>
      </c>
      <c r="L53" s="23">
        <f>8885598313.98</f>
        <v>8885598313.9799995</v>
      </c>
      <c r="M53" s="23">
        <f>3499121586.23</f>
        <v>3499121586.23</v>
      </c>
      <c r="N53" s="23">
        <f>368380036.81</f>
        <v>368380036.81</v>
      </c>
      <c r="O53" s="23">
        <f>27522215.36</f>
        <v>27522215.359999999</v>
      </c>
      <c r="P53" s="23">
        <f>24101162.12</f>
        <v>24101162.120000001</v>
      </c>
      <c r="Q53" s="23">
        <f>3421053.24</f>
        <v>3421053.24</v>
      </c>
    </row>
    <row r="54" spans="1:17" ht="26.25" customHeight="1" x14ac:dyDescent="0.2">
      <c r="A54" s="19" t="s">
        <v>39</v>
      </c>
      <c r="B54" s="24">
        <f>1124634415.06</f>
        <v>1124634415.0599999</v>
      </c>
      <c r="C54" s="24">
        <f>1121501353.35</f>
        <v>1121501353.3499999</v>
      </c>
      <c r="D54" s="24">
        <f>92022087.84</f>
        <v>92022087.840000004</v>
      </c>
      <c r="E54" s="24">
        <f>18280281.36</f>
        <v>18280281.359999999</v>
      </c>
      <c r="F54" s="24">
        <f>919269.47</f>
        <v>919269.47</v>
      </c>
      <c r="G54" s="24">
        <f>64980026.64</f>
        <v>64980026.640000001</v>
      </c>
      <c r="H54" s="24">
        <f>7842510.37</f>
        <v>7842510.3700000001</v>
      </c>
      <c r="I54" s="24">
        <f>2952</f>
        <v>2952</v>
      </c>
      <c r="J54" s="24">
        <f>428622.45</f>
        <v>428622.45</v>
      </c>
      <c r="K54" s="24">
        <f>1079854.6</f>
        <v>1079854.6000000001</v>
      </c>
      <c r="L54" s="24">
        <f>526879563.01</f>
        <v>526879563.00999999</v>
      </c>
      <c r="M54" s="24">
        <f>486182421.95</f>
        <v>486182421.94999999</v>
      </c>
      <c r="N54" s="24">
        <f>14905851.5</f>
        <v>14905851.5</v>
      </c>
      <c r="O54" s="24">
        <f>3133061.71</f>
        <v>3133061.71</v>
      </c>
      <c r="P54" s="24">
        <f>2513193.06</f>
        <v>2513193.06</v>
      </c>
      <c r="Q54" s="24">
        <f>619868.65</f>
        <v>619868.65</v>
      </c>
    </row>
    <row r="55" spans="1:17" ht="36.75" customHeight="1" x14ac:dyDescent="0.2">
      <c r="A55" s="19" t="s">
        <v>40</v>
      </c>
      <c r="B55" s="24">
        <f>8024713576.15</f>
        <v>8024713576.1499996</v>
      </c>
      <c r="C55" s="24">
        <f>8003603961.87</f>
        <v>8003603961.8699999</v>
      </c>
      <c r="D55" s="24">
        <f>367000929.77</f>
        <v>367000929.76999998</v>
      </c>
      <c r="E55" s="24">
        <f>109536114.32</f>
        <v>109536114.31999999</v>
      </c>
      <c r="F55" s="24">
        <f>82399378.04</f>
        <v>82399378.040000007</v>
      </c>
      <c r="G55" s="24">
        <f>170333388.67</f>
        <v>170333388.66999999</v>
      </c>
      <c r="H55" s="24">
        <f>4732048.74</f>
        <v>4732048.74</v>
      </c>
      <c r="I55" s="24">
        <f>4182152.41</f>
        <v>4182152.41</v>
      </c>
      <c r="J55" s="24">
        <f>16998582.12</f>
        <v>16998582.120000001</v>
      </c>
      <c r="K55" s="24">
        <f>43709023.78</f>
        <v>43709023.780000001</v>
      </c>
      <c r="L55" s="24">
        <f>6044200198.55</f>
        <v>6044200198.5500002</v>
      </c>
      <c r="M55" s="24">
        <f>1464838648.25</f>
        <v>1464838648.25</v>
      </c>
      <c r="N55" s="24">
        <f>62674426.99</f>
        <v>62674426.990000002</v>
      </c>
      <c r="O55" s="24">
        <f>21109614.28</f>
        <v>21109614.280000001</v>
      </c>
      <c r="P55" s="24">
        <f>18475305.22</f>
        <v>18475305.219999999</v>
      </c>
      <c r="Q55" s="24">
        <f>2634309.06</f>
        <v>2634309.06</v>
      </c>
    </row>
    <row r="56" spans="1:17" ht="26.25" customHeight="1" x14ac:dyDescent="0.2">
      <c r="A56" s="19" t="s">
        <v>41</v>
      </c>
      <c r="B56" s="24">
        <f>4726527836.63</f>
        <v>4726527836.6300001</v>
      </c>
      <c r="C56" s="24">
        <f>4723248297.26</f>
        <v>4723248297.2600002</v>
      </c>
      <c r="D56" s="24">
        <f>529311085.52</f>
        <v>529311085.51999998</v>
      </c>
      <c r="E56" s="24">
        <f>320609470.44</f>
        <v>320609470.44</v>
      </c>
      <c r="F56" s="24">
        <f>28755156.36</f>
        <v>28755156.359999999</v>
      </c>
      <c r="G56" s="24">
        <f>173582013.07</f>
        <v>173582013.06999999</v>
      </c>
      <c r="H56" s="24">
        <f>6364445.65</f>
        <v>6364445.6500000004</v>
      </c>
      <c r="I56" s="24">
        <f>193615.52</f>
        <v>193615.52</v>
      </c>
      <c r="J56" s="24">
        <f>1930661.1</f>
        <v>1930661.1</v>
      </c>
      <c r="K56" s="24">
        <f>38394108.35</f>
        <v>38394108.350000001</v>
      </c>
      <c r="L56" s="24">
        <f>2314518552.42</f>
        <v>2314518552.4200001</v>
      </c>
      <c r="M56" s="24">
        <f>1548100516.03</f>
        <v>1548100516.03</v>
      </c>
      <c r="N56" s="24">
        <f>290799758.32</f>
        <v>290799758.31999999</v>
      </c>
      <c r="O56" s="24">
        <f>3279539.37</f>
        <v>3279539.37</v>
      </c>
      <c r="P56" s="24">
        <f>3112663.84</f>
        <v>3112663.84</v>
      </c>
      <c r="Q56" s="24">
        <f>166875.53</f>
        <v>166875.53</v>
      </c>
    </row>
    <row r="66" spans="1:13" ht="75" customHeight="1" x14ac:dyDescent="0.2">
      <c r="A66" s="36" t="str">
        <f>CONCATENATE("Informacja z wykonania budżetów miast na prawach powiatu za  ",$C$93," ",$B$94," roku     ",$B$96,"")</f>
        <v xml:space="preserve">Informacja z wykonania budżetów miast na prawach powiatu za  I Kwartał 2025 roku     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1:13" ht="13.5" customHeight="1" x14ac:dyDescent="0.2">
      <c r="B67" s="37" t="s">
        <v>3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</row>
    <row r="69" spans="1:13" ht="13.5" customHeight="1" x14ac:dyDescent="0.2">
      <c r="B69" s="65" t="s">
        <v>0</v>
      </c>
      <c r="C69" s="66"/>
      <c r="D69" s="66"/>
      <c r="E69" s="67"/>
      <c r="F69" s="40" t="s">
        <v>73</v>
      </c>
      <c r="G69" s="61" t="s">
        <v>72</v>
      </c>
      <c r="H69" s="74"/>
      <c r="I69" s="74"/>
      <c r="J69" s="74"/>
      <c r="K69" s="74"/>
      <c r="L69" s="62"/>
    </row>
    <row r="70" spans="1:13" ht="13.5" customHeight="1" x14ac:dyDescent="0.2">
      <c r="B70" s="68"/>
      <c r="C70" s="69"/>
      <c r="D70" s="69"/>
      <c r="E70" s="70"/>
      <c r="F70" s="41"/>
      <c r="G70" s="43" t="s">
        <v>74</v>
      </c>
      <c r="H70" s="32" t="s">
        <v>70</v>
      </c>
      <c r="I70" s="32" t="s">
        <v>71</v>
      </c>
      <c r="J70" s="32" t="s">
        <v>75</v>
      </c>
      <c r="K70" s="32" t="s">
        <v>76</v>
      </c>
      <c r="L70" s="80" t="s">
        <v>77</v>
      </c>
    </row>
    <row r="71" spans="1:13" ht="13.5" customHeight="1" x14ac:dyDescent="0.2">
      <c r="B71" s="68"/>
      <c r="C71" s="69"/>
      <c r="D71" s="69"/>
      <c r="E71" s="70"/>
      <c r="F71" s="41"/>
      <c r="G71" s="43"/>
      <c r="H71" s="32"/>
      <c r="I71" s="32"/>
      <c r="J71" s="32"/>
      <c r="K71" s="32"/>
      <c r="L71" s="80"/>
    </row>
    <row r="72" spans="1:13" ht="11.25" customHeight="1" x14ac:dyDescent="0.2">
      <c r="B72" s="68"/>
      <c r="C72" s="69"/>
      <c r="D72" s="69"/>
      <c r="E72" s="70"/>
      <c r="F72" s="41"/>
      <c r="G72" s="43"/>
      <c r="H72" s="32"/>
      <c r="I72" s="32"/>
      <c r="J72" s="32"/>
      <c r="K72" s="32"/>
      <c r="L72" s="80"/>
    </row>
    <row r="73" spans="1:13" ht="11.25" customHeight="1" x14ac:dyDescent="0.2">
      <c r="B73" s="71"/>
      <c r="C73" s="72"/>
      <c r="D73" s="72"/>
      <c r="E73" s="73"/>
      <c r="F73" s="42"/>
      <c r="G73" s="43"/>
      <c r="H73" s="32"/>
      <c r="I73" s="32"/>
      <c r="J73" s="32"/>
      <c r="K73" s="32"/>
      <c r="L73" s="80"/>
    </row>
    <row r="74" spans="1:13" ht="11.25" customHeight="1" x14ac:dyDescent="0.2">
      <c r="B74" s="32">
        <v>1</v>
      </c>
      <c r="C74" s="32"/>
      <c r="D74" s="32"/>
      <c r="E74" s="32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13">
        <v>8</v>
      </c>
    </row>
    <row r="75" spans="1:13" ht="11.25" customHeight="1" x14ac:dyDescent="0.2">
      <c r="B75" s="76"/>
      <c r="C75" s="76"/>
      <c r="D75" s="76"/>
      <c r="E75" s="76"/>
      <c r="F75" s="32" t="s">
        <v>79</v>
      </c>
      <c r="G75" s="32"/>
      <c r="H75" s="32"/>
      <c r="I75" s="32"/>
      <c r="J75" s="32"/>
      <c r="K75" s="32"/>
      <c r="L75" s="32"/>
    </row>
    <row r="76" spans="1:13" ht="47.25" customHeight="1" x14ac:dyDescent="0.2">
      <c r="B76" s="53" t="s">
        <v>57</v>
      </c>
      <c r="C76" s="54"/>
      <c r="D76" s="54"/>
      <c r="E76" s="55"/>
      <c r="F76" s="22">
        <f>1586251765.76</f>
        <v>1586251765.76</v>
      </c>
      <c r="G76" s="22">
        <f>181454902</f>
        <v>181454902</v>
      </c>
      <c r="H76" s="22">
        <f>18326769</f>
        <v>18326769</v>
      </c>
      <c r="I76" s="22">
        <f>58623375.09</f>
        <v>58623375.090000004</v>
      </c>
      <c r="J76" s="22">
        <f>104504757.91</f>
        <v>104504757.91</v>
      </c>
      <c r="K76" s="22">
        <f>0</f>
        <v>0</v>
      </c>
      <c r="L76" s="22">
        <f>1404796863.76</f>
        <v>1404796863.76</v>
      </c>
    </row>
    <row r="77" spans="1:13" ht="47.25" customHeight="1" x14ac:dyDescent="0.2">
      <c r="B77" s="53" t="s">
        <v>58</v>
      </c>
      <c r="C77" s="54"/>
      <c r="D77" s="54"/>
      <c r="E77" s="55"/>
      <c r="F77" s="22">
        <f>0</f>
        <v>0</v>
      </c>
      <c r="G77" s="22">
        <f>0</f>
        <v>0</v>
      </c>
      <c r="H77" s="22">
        <f>0</f>
        <v>0</v>
      </c>
      <c r="I77" s="22">
        <f>0</f>
        <v>0</v>
      </c>
      <c r="J77" s="22">
        <f>0</f>
        <v>0</v>
      </c>
      <c r="K77" s="22">
        <f>0</f>
        <v>0</v>
      </c>
      <c r="L77" s="22">
        <f>0</f>
        <v>0</v>
      </c>
    </row>
    <row r="78" spans="1:13" ht="47.25" customHeight="1" x14ac:dyDescent="0.2">
      <c r="B78" s="53" t="s">
        <v>59</v>
      </c>
      <c r="C78" s="54"/>
      <c r="D78" s="54"/>
      <c r="E78" s="55"/>
      <c r="F78" s="22">
        <f>10759100.03</f>
        <v>10759100.029999999</v>
      </c>
      <c r="G78" s="22">
        <f>1000000</f>
        <v>1000000</v>
      </c>
      <c r="H78" s="22">
        <f>0</f>
        <v>0</v>
      </c>
      <c r="I78" s="22">
        <f>0</f>
        <v>0</v>
      </c>
      <c r="J78" s="22">
        <f>1000000</f>
        <v>1000000</v>
      </c>
      <c r="K78" s="22">
        <f>0</f>
        <v>0</v>
      </c>
      <c r="L78" s="22">
        <f>9759100.03</f>
        <v>9759100.0299999993</v>
      </c>
    </row>
    <row r="79" spans="1:13" ht="47.25" customHeight="1" x14ac:dyDescent="0.2">
      <c r="B79" s="53" t="s">
        <v>60</v>
      </c>
      <c r="C79" s="54"/>
      <c r="D79" s="54"/>
      <c r="E79" s="55"/>
      <c r="F79" s="22">
        <f>34000023.08</f>
        <v>34000023.079999998</v>
      </c>
      <c r="G79" s="22">
        <f>32000023.08</f>
        <v>32000023.079999998</v>
      </c>
      <c r="H79" s="22">
        <f>0</f>
        <v>0</v>
      </c>
      <c r="I79" s="22">
        <f>0</f>
        <v>0</v>
      </c>
      <c r="J79" s="22">
        <f>32000023.08</f>
        <v>32000023.079999998</v>
      </c>
      <c r="K79" s="22">
        <f>0</f>
        <v>0</v>
      </c>
      <c r="L79" s="22">
        <f>2000000</f>
        <v>2000000</v>
      </c>
    </row>
    <row r="80" spans="1:13" ht="47.25" customHeight="1" x14ac:dyDescent="0.2">
      <c r="B80" s="53" t="s">
        <v>61</v>
      </c>
      <c r="C80" s="54"/>
      <c r="D80" s="54"/>
      <c r="E80" s="55"/>
      <c r="F80" s="22">
        <f>7762577.81</f>
        <v>7762577.8099999996</v>
      </c>
      <c r="G80" s="22">
        <f>7762577.81</f>
        <v>7762577.8099999996</v>
      </c>
      <c r="H80" s="22">
        <f>0</f>
        <v>0</v>
      </c>
      <c r="I80" s="22">
        <f>0</f>
        <v>0</v>
      </c>
      <c r="J80" s="22">
        <f>7762577.81</f>
        <v>7762577.8099999996</v>
      </c>
      <c r="K80" s="22">
        <f>0</f>
        <v>0</v>
      </c>
      <c r="L80" s="22">
        <f>0</f>
        <v>0</v>
      </c>
    </row>
    <row r="81" spans="1:13" ht="47.25" customHeight="1" x14ac:dyDescent="0.2">
      <c r="B81" s="53" t="s">
        <v>62</v>
      </c>
      <c r="C81" s="54"/>
      <c r="D81" s="54"/>
      <c r="E81" s="55"/>
      <c r="F81" s="22">
        <f>2021229.21</f>
        <v>2021229.21</v>
      </c>
      <c r="G81" s="22">
        <f>1521229.21</f>
        <v>1521229.21</v>
      </c>
      <c r="H81" s="22">
        <f>0</f>
        <v>0</v>
      </c>
      <c r="I81" s="22">
        <f>0</f>
        <v>0</v>
      </c>
      <c r="J81" s="22">
        <f>1521229.21</f>
        <v>1521229.21</v>
      </c>
      <c r="K81" s="22">
        <f>0</f>
        <v>0</v>
      </c>
      <c r="L81" s="22">
        <f>500000</f>
        <v>500000</v>
      </c>
    </row>
    <row r="82" spans="1:13" ht="47.25" customHeight="1" x14ac:dyDescent="0.2">
      <c r="B82" s="53" t="s">
        <v>63</v>
      </c>
      <c r="C82" s="54"/>
      <c r="D82" s="54"/>
      <c r="E82" s="55"/>
      <c r="F82" s="22">
        <f>0</f>
        <v>0</v>
      </c>
      <c r="G82" s="22">
        <f>0</f>
        <v>0</v>
      </c>
      <c r="H82" s="22">
        <f>0</f>
        <v>0</v>
      </c>
      <c r="I82" s="22">
        <f>0</f>
        <v>0</v>
      </c>
      <c r="J82" s="22">
        <f>0</f>
        <v>0</v>
      </c>
      <c r="K82" s="22">
        <f>0</f>
        <v>0</v>
      </c>
      <c r="L82" s="22">
        <f>0</f>
        <v>0</v>
      </c>
    </row>
    <row r="85" spans="1:13" ht="75" customHeight="1" x14ac:dyDescent="0.2">
      <c r="A85" s="36" t="str">
        <f>CONCATENATE("Informacja z wykonania budżetów miast na prawach powiatu za  ",$C$93," ",$B$94," roku     ",$B$96,"")</f>
        <v xml:space="preserve">Informacja z wykonania budżetów miast na prawach powiatu za  I Kwartał 2025 roku     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</row>
    <row r="86" spans="1:13" ht="13.5" customHeight="1" x14ac:dyDescent="0.2">
      <c r="B86" s="4"/>
    </row>
    <row r="87" spans="1:13" ht="13.5" customHeight="1" x14ac:dyDescent="0.2">
      <c r="B87" s="5"/>
      <c r="C87" s="61"/>
      <c r="D87" s="74"/>
      <c r="E87" s="74"/>
      <c r="F87" s="62"/>
      <c r="G87" s="61" t="s">
        <v>4</v>
      </c>
      <c r="H87" s="62"/>
      <c r="I87" s="61" t="s">
        <v>5</v>
      </c>
      <c r="J87" s="62"/>
      <c r="K87" s="5"/>
    </row>
    <row r="88" spans="1:13" ht="13.5" customHeight="1" x14ac:dyDescent="0.2">
      <c r="B88" s="6"/>
      <c r="C88" s="53" t="s">
        <v>6</v>
      </c>
      <c r="D88" s="54"/>
      <c r="E88" s="54"/>
      <c r="F88" s="55"/>
      <c r="G88" s="59">
        <f>66</f>
        <v>66</v>
      </c>
      <c r="H88" s="60"/>
      <c r="I88" s="46">
        <f>11710203276.96</f>
        <v>11710203276.959999</v>
      </c>
      <c r="J88" s="47"/>
      <c r="K88" s="7"/>
    </row>
    <row r="89" spans="1:13" ht="13.5" customHeight="1" x14ac:dyDescent="0.2">
      <c r="B89" s="6"/>
      <c r="C89" s="56" t="s">
        <v>7</v>
      </c>
      <c r="D89" s="57"/>
      <c r="E89" s="57"/>
      <c r="F89" s="58"/>
      <c r="G89" s="63">
        <f>0</f>
        <v>0</v>
      </c>
      <c r="H89" s="64"/>
      <c r="I89" s="48">
        <f>0</f>
        <v>0</v>
      </c>
      <c r="J89" s="49"/>
      <c r="K89" s="7"/>
    </row>
    <row r="90" spans="1:13" ht="13.5" customHeight="1" x14ac:dyDescent="0.2">
      <c r="B90" s="6"/>
      <c r="C90" s="53" t="s">
        <v>8</v>
      </c>
      <c r="D90" s="54"/>
      <c r="E90" s="54"/>
      <c r="F90" s="55"/>
      <c r="G90" s="59">
        <f>0</f>
        <v>0</v>
      </c>
      <c r="H90" s="60"/>
      <c r="I90" s="46">
        <f>0</f>
        <v>0</v>
      </c>
      <c r="J90" s="47"/>
      <c r="K90" s="7"/>
    </row>
    <row r="93" spans="1:13" ht="13.5" customHeight="1" x14ac:dyDescent="0.2">
      <c r="A93" s="8" t="s">
        <v>9</v>
      </c>
      <c r="B93" s="8">
        <f>1</f>
        <v>1</v>
      </c>
      <c r="C93" s="8" t="str">
        <f>IF(B93=1,"I Kwartał",IF(B93=2,"II Kwartały",IF(B93=3,"III Kwartały",IF(B93=4,"IV Kwartały","-"))))</f>
        <v>I Kwartał</v>
      </c>
    </row>
    <row r="94" spans="1:13" ht="13.5" customHeight="1" x14ac:dyDescent="0.2">
      <c r="A94" s="8" t="s">
        <v>10</v>
      </c>
      <c r="B94" s="8">
        <f>2025</f>
        <v>2025</v>
      </c>
      <c r="C94" s="9"/>
    </row>
    <row r="95" spans="1:13" ht="13.5" customHeight="1" x14ac:dyDescent="0.2">
      <c r="A95" s="8" t="s">
        <v>11</v>
      </c>
      <c r="B95" s="10" t="str">
        <f>"May 17 2025 12:00AM"</f>
        <v>May 17 2025 12:00AM</v>
      </c>
      <c r="C95" s="9"/>
    </row>
    <row r="96" spans="1:13" ht="13.5" customHeight="1" x14ac:dyDescent="0.2">
      <c r="A96" s="15" t="s">
        <v>78</v>
      </c>
      <c r="B96" s="10" t="str">
        <f>""</f>
        <v/>
      </c>
    </row>
  </sheetData>
  <mergeCells count="79">
    <mergeCell ref="O6:Q6"/>
    <mergeCell ref="O7:O10"/>
    <mergeCell ref="A66:M66"/>
    <mergeCell ref="L35:L37"/>
    <mergeCell ref="P35:P37"/>
    <mergeCell ref="B75:E75"/>
    <mergeCell ref="F75:L75"/>
    <mergeCell ref="B12:Q12"/>
    <mergeCell ref="B39:Q39"/>
    <mergeCell ref="L70:L73"/>
    <mergeCell ref="G90:H90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C87:F87"/>
    <mergeCell ref="B81:E81"/>
    <mergeCell ref="G69:L69"/>
    <mergeCell ref="H70:H73"/>
    <mergeCell ref="I70:I73"/>
    <mergeCell ref="J70:J73"/>
    <mergeCell ref="I90:J90"/>
    <mergeCell ref="I89:J89"/>
    <mergeCell ref="A6:A10"/>
    <mergeCell ref="C6:N6"/>
    <mergeCell ref="D7:D10"/>
    <mergeCell ref="E7:E10"/>
    <mergeCell ref="B80:E80"/>
    <mergeCell ref="B77:E77"/>
    <mergeCell ref="M35:M37"/>
    <mergeCell ref="B76:E76"/>
    <mergeCell ref="C88:F88"/>
    <mergeCell ref="C89:F89"/>
    <mergeCell ref="C90:F90"/>
    <mergeCell ref="G88:H88"/>
    <mergeCell ref="G87:H87"/>
    <mergeCell ref="G89:H89"/>
    <mergeCell ref="A1:M1"/>
    <mergeCell ref="C5:M5"/>
    <mergeCell ref="A3:M3"/>
    <mergeCell ref="K7:K10"/>
    <mergeCell ref="C7:C10"/>
    <mergeCell ref="B6:B10"/>
    <mergeCell ref="G7:G10"/>
    <mergeCell ref="F7:F10"/>
    <mergeCell ref="I7:I10"/>
    <mergeCell ref="J7:J10"/>
    <mergeCell ref="H7:H10"/>
    <mergeCell ref="Q7:Q10"/>
    <mergeCell ref="C34:N34"/>
    <mergeCell ref="L7:L10"/>
    <mergeCell ref="M7:M10"/>
    <mergeCell ref="N7:N10"/>
    <mergeCell ref="P7:P10"/>
    <mergeCell ref="A30:M30"/>
    <mergeCell ref="O34:Q34"/>
    <mergeCell ref="A32:M32"/>
    <mergeCell ref="B34:B37"/>
    <mergeCell ref="Q35:Q37"/>
    <mergeCell ref="N35:N37"/>
    <mergeCell ref="O35:O37"/>
    <mergeCell ref="D35:D37"/>
    <mergeCell ref="A34:A37"/>
    <mergeCell ref="C35:C37"/>
    <mergeCell ref="E35:E37"/>
    <mergeCell ref="K70:K73"/>
    <mergeCell ref="F35:F37"/>
    <mergeCell ref="G35:G37"/>
    <mergeCell ref="H35:H37"/>
    <mergeCell ref="K35:K37"/>
    <mergeCell ref="I35:I37"/>
    <mergeCell ref="J35:J37"/>
    <mergeCell ref="F69:F73"/>
    <mergeCell ref="G70:G73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2016-08-26T11:41:03Z</cp:lastPrinted>
  <dcterms:created xsi:type="dcterms:W3CDTF">2001-05-17T08:58:03Z</dcterms:created>
  <dcterms:modified xsi:type="dcterms:W3CDTF">2025-05-21T12:02:24Z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2025-05-21T14:02:07.4389011+02:00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GRN-c0e4b718-9204-4d2e-a8e0-02abbb82f801</vt:lpwstr>
  </property>
  <property fmtid="{D5CDD505-2E9C-101B-9397-08002B2CF9AE}" pid="7" name="MFHash">
    <vt:lpwstr>oUQB1c6CRWN0RfNE2OGSb5kiIPhqDFRCw35mV0N3omI=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