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miesięczne\sprawozdanie na koniec marca 2021\"/>
    </mc:Choice>
  </mc:AlternateContent>
  <xr:revisionPtr revIDLastSave="0" documentId="13_ncr:1_{93B99860-F871-40D8-B026-282BCE37DD2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ne - 31 marc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F48" i="1"/>
  <c r="F46" i="1"/>
  <c r="D15" i="2" l="1"/>
  <c r="D36" i="2" l="1"/>
  <c r="E24" i="2"/>
  <c r="J46" i="1"/>
  <c r="Q46" i="1"/>
  <c r="AA46" i="1"/>
  <c r="AF46" i="1"/>
  <c r="AN46" i="1"/>
  <c r="AR46" i="1"/>
  <c r="J47" i="1"/>
  <c r="Q47" i="1"/>
  <c r="AA47" i="1"/>
  <c r="AF47" i="1"/>
  <c r="AN47" i="1"/>
  <c r="AR47" i="1"/>
  <c r="J48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B40" i="1"/>
  <c r="Q39" i="1"/>
  <c r="AA40" i="1" l="1"/>
  <c r="AR40" i="1"/>
  <c r="AR28" i="1"/>
  <c r="AA28" i="1"/>
  <c r="AN40" i="1"/>
  <c r="AF40" i="1"/>
  <c r="J40" i="1"/>
  <c r="F40" i="1"/>
  <c r="AN28" i="1"/>
  <c r="AF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F45" i="1" s="1"/>
  <c r="B49" i="1"/>
  <c r="B54" i="1"/>
  <c r="B58" i="1"/>
  <c r="AR58" i="1" s="1"/>
  <c r="J45" i="1" l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B6" i="1"/>
  <c r="AA6" i="1" l="1"/>
  <c r="AR6" i="1"/>
  <c r="AN6" i="1"/>
  <c r="AF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<sst xmlns="http://schemas.openxmlformats.org/spreadsheetml/2006/main" count="335" uniqueCount="235">
  <si>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</si>
  <si>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</si>
  <si>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</si>
  <si>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</si>
  <si>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</si>
  <si>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</si>
  <si>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</si>
  <si>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</si>
  <si>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</si>
  <si>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</si>
  <si>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</si>
  <si>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</si>
  <si>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</si>
  <si>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</si>
  <si>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</si>
  <si>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</si>
  <si>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</si>
  <si>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</si>
  <si>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</si>
  <si>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</si>
  <si>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</si>
  <si>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</si>
  <si>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</si>
  <si>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</si>
  <si>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</si>
  <si>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</si>
  <si>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</si>
  <si>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</si>
  <si>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</si>
  <si>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</si>
  <si>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</si>
  <si>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</si>
  <si>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</si>
  <si>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</si>
  <si>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</si>
  <si>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</si>
  <si>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</si>
  <si>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</si>
  <si>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</si>
  <si>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</si>
  <si>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</si>
  <si>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</si>
  <si>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</si>
  <si>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</si>
  <si>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</si>
  <si>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</si>
  <si>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</si>
  <si>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</si>
  <si>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</si>
  <si>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</si>
  <si>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</si>
  <si>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</si>
  <si>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</si>
  <si>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</si>
  <si>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</si>
  <si>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</si>
  <si>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</si>
  <si>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</si>
  <si>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</si>
  <si>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</si>
  <si>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</si>
  <si>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</si>
  <si>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</si>
  <si>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</si>
  <si>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</si>
  <si>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</si>
  <si>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</si>
  <si>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</si>
  <si>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</si>
  <si>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</si>
  <si>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</si>
  <si>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</si>
  <si>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</si>
  <si>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</si>
  <si>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</si>
  <si>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</si>
  <si>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</si>
  <si>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</si>
  <si>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</si>
  <si>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</si>
  <si>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</si>
  <si>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</si>
  <si>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</si>
  <si>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</si>
  <si>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</si>
  <si>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</si>
  <si>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</si>
  <si>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</si>
  <si>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</si>
  <si>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</si>
  <si>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</si>
  <si>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</si>
  <si>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</si>
  <si>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</si>
  <si>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</si>
  <si>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</si>
  <si>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</si>
  <si>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</si>
  <si>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</si>
  <si>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</si>
  <si>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</si>
  <si>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</si>
  <si>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</si>
  <si>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</si>
  <si>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</si>
  <si>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</si>
  <si>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</si>
  <si>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</si>
  <si>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</si>
  <si>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</si>
  <si>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</si>
  <si>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</si>
  <si>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</si>
  <si>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</si>
  <si>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</si>
  <si>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</si>
  <si>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</si>
  <si>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</si>
  <si>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</si>
  <si>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</si>
  <si>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</si>
  <si>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</si>
  <si>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</si>
  <si>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</si>
  <si>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</si>
  <si>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</si>
  <si>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</si>
  <si>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</si>
  <si>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</si>
  <si>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</si>
  <si>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</si>
  <si>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</si>
  <si>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</si>
  <si>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</si>
  <si>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</si>
  <si>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</si>
  <si>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</si>
  <si>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</si>
  <si>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</si>
  <si>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</si>
  <si>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</si>
  <si>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</si>
  <si>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</si>
  <si>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</si>
  <si>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</si>
  <si>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</si>
  <si>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</si>
  <si>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</si>
  <si>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</si>
  <si>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</si>
  <si>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</si>
  <si>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</si>
  <si>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</si>
  <si>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</si>
  <si>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</si>
  <si>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</si>
  <si>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</si>
  <si>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</si>
  <si>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</si>
  <si>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</si>
  <si>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</si>
  <si>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</si>
  <si>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</si>
  <si>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</si>
  <si>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</si>
  <si>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</si>
  <si>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</si>
  <si>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</si>
  <si>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</si>
  <si>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</si>
  <si>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</si>
  <si>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</si>
  <si>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</si>
  <si>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</si>
  <si>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</si>
  <si>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</si>
  <si>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</si>
  <si>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</si>
  <si>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</si>
  <si>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</si>
  <si>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</si>
  <si>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</si>
  <si>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</si>
  <si>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</si>
  <si>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</si>
  <si>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</si>
  <si>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</si>
  <si>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</si>
  <si>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</si>
  <si>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</si>
  <si>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</si>
  <si>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</si>
  <si>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</si>
  <si>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</si>
  <si>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</si>
  <si>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</si>
  <si>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</si>
  <si>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</si>
  <si>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</si>
  <si>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</si>
  <si>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</si>
  <si>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</si>
  <si>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</si>
  <si>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</si>
  <si>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</si>
  <si>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</si>
  <si>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</si>
  <si>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</si>
  <si>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</si>
  <si>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</si>
  <si>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</si>
  <si>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</si>
  <si>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</si>
  <si>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</si>
  <si>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</si>
  <si>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</si>
  <si>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</si>
  <si>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</si>
  <si>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</si>
  <si>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</si>
  <si>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</si>
  <si>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</si>
  <si>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</si>
  <si>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</si>
  <si>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</si>
  <si>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</si>
  <si>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</si>
  <si>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* Alokacjaz rezerwą wykonania</t>
  </si>
  <si>
    <t>Tymczasowe zaprzestanie działalności połowowej-COVID</t>
  </si>
  <si>
    <t>1.10a</t>
  </si>
  <si>
    <t>1.10b</t>
  </si>
  <si>
    <t>2.8.</t>
  </si>
  <si>
    <t>Środki dotyczące zdrowia publicznego</t>
  </si>
  <si>
    <t>31.03.2021 r.</t>
  </si>
  <si>
    <t xml:space="preserve">Limit finansowy zgodny z arkuszem kalkulacyjnym z dnia 05.04.2021, kurs 1 EUR= 4,5860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</si>
</sst>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  <numFmt numFmtId="173" formatCode="0.0000000000%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171" fontId="10" fillId="0" borderId="0" xfId="0" applyNumberFormat="1" applyFont="1"/>
    <xf numFmtId="3" fontId="0" fillId="0" borderId="6" xfId="0" applyNumberFormat="1" applyBorder="1"/>
    <xf numFmtId="173" fontId="28" fillId="8" borderId="1" xfId="0" applyNumberFormat="1" applyFont="1" applyFill="1" applyBorder="1" applyAlignment="1">
      <alignment horizontal="center" vertical="center"/>
    </xf>
    <xf numFmtId="173" fontId="28" fillId="7" borderId="1" xfId="0" applyNumberFormat="1" applyFont="1" applyFill="1" applyBorder="1" applyAlignment="1">
      <alignment horizontal="center" vertical="center"/>
    </xf>
    <xf numFmtId="4" fontId="4" fillId="15" borderId="1" xfId="0" applyNumberFormat="1" applyFont="1" applyFill="1" applyBorder="1" applyAlignment="1">
      <alignment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 xr:uid="{00000000-0005-0000-0000-000001000000}"/>
    <cellStyle name="Dziesiętny 2 2" xfId="16" xr:uid="{CAE8756F-6C22-4073-A580-DFE4297F1976}"/>
    <cellStyle name="Dziesiętny 3" xfId="13" xr:uid="{42AD5224-B8FF-46DE-B26B-D4AFA520C28B}"/>
    <cellStyle name="Normalny" xfId="0" builtinId="0"/>
    <cellStyle name="Normalny 17" xfId="7" xr:uid="{00000000-0005-0000-0000-000003000000}"/>
    <cellStyle name="Normalny 2" xfId="9" xr:uid="{00000000-0005-0000-0000-000004000000}"/>
    <cellStyle name="Normalny 2 2" xfId="15" xr:uid="{DFAEE084-792A-4CF4-B160-E9F93BED6362}"/>
    <cellStyle name="Normalny 3" xfId="12" xr:uid="{00000000-0005-0000-0000-000005000000}"/>
    <cellStyle name="Normalny 3 2" xfId="17" xr:uid="{15A69448-91F3-4AA4-A0D4-FA2BD98078E8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  <cellStyle name="Walutowy 2" xfId="14" xr:uid="{21275B9B-1E03-486F-9354-BF8A3051B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244"/>
  <sheetViews>
    <sheetView showGridLines="0" tabSelected="1" zoomScale="80" zoomScaleNormal="8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F56" sqref="F56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0.140625" style="78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7.28515625" style="78" bestFit="1" customWidth="1"/>
    <col min="46" max="46" width="11" style="78" bestFit="1" customWidth="1"/>
    <col min="47" max="16384" width="9.140625" style="78"/>
  </cols>
  <sheetData>
    <row r="1" spans="1:46" s="56" customFormat="1" ht="20.25" customHeight="1" x14ac:dyDescent="0.2">
      <c r="A1" s="65" t="s">
        <v>66</v>
      </c>
      <c r="B1" s="66"/>
      <c r="C1" s="50"/>
      <c r="D1" s="51"/>
      <c r="E1" s="51"/>
      <c r="F1" s="52"/>
      <c r="G1" s="53"/>
      <c r="H1" s="53"/>
      <c r="I1" s="53"/>
      <c r="J1" s="53"/>
      <c r="K1" s="243"/>
      <c r="L1" s="243"/>
      <c r="M1" s="243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6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J2" s="57"/>
      <c r="AK2" s="55"/>
      <c r="AL2" s="55"/>
      <c r="AM2" s="55"/>
      <c r="AN2" s="55"/>
      <c r="AO2" s="55"/>
      <c r="AP2" s="57"/>
      <c r="AQ2" s="57"/>
      <c r="AR2" s="55"/>
    </row>
    <row r="3" spans="1:46" s="56" customFormat="1" ht="45" customHeight="1" thickBot="1" x14ac:dyDescent="0.25">
      <c r="A3" s="67" t="s">
        <v>234</v>
      </c>
      <c r="B3" s="128">
        <v>4.5860000000000003</v>
      </c>
      <c r="C3" s="245"/>
      <c r="D3" s="245"/>
      <c r="E3" s="58"/>
      <c r="F3" s="246"/>
      <c r="G3" s="246"/>
      <c r="H3" s="246"/>
      <c r="I3" s="246"/>
      <c r="J3" s="246"/>
      <c r="K3" s="68"/>
      <c r="L3" s="68"/>
      <c r="M3" s="69"/>
      <c r="N3" s="70"/>
      <c r="O3" s="71" t="s">
        <v>0</v>
      </c>
      <c r="P3" s="252" t="s">
        <v>233</v>
      </c>
      <c r="Q3" s="252"/>
      <c r="R3" s="247"/>
      <c r="S3" s="247"/>
      <c r="T3" s="247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6" s="72" customFormat="1" ht="28.5" customHeight="1" thickBot="1" x14ac:dyDescent="0.3">
      <c r="A4" s="253" t="s">
        <v>1</v>
      </c>
      <c r="B4" s="254" t="s">
        <v>2</v>
      </c>
      <c r="C4" s="241" t="s">
        <v>177</v>
      </c>
      <c r="D4" s="241"/>
      <c r="E4" s="241"/>
      <c r="F4" s="255"/>
      <c r="G4" s="256" t="s">
        <v>176</v>
      </c>
      <c r="H4" s="257"/>
      <c r="I4" s="257"/>
      <c r="J4" s="258"/>
      <c r="K4" s="248" t="s">
        <v>178</v>
      </c>
      <c r="L4" s="248"/>
      <c r="M4" s="248"/>
      <c r="N4" s="248" t="s">
        <v>3</v>
      </c>
      <c r="O4" s="248"/>
      <c r="P4" s="248"/>
      <c r="Q4" s="249"/>
      <c r="R4" s="250"/>
      <c r="S4" s="250"/>
      <c r="T4" s="250"/>
      <c r="U4" s="248" t="s">
        <v>4</v>
      </c>
      <c r="V4" s="248"/>
      <c r="W4" s="248"/>
      <c r="X4" s="248" t="s">
        <v>218</v>
      </c>
      <c r="Y4" s="248"/>
      <c r="Z4" s="248"/>
      <c r="AA4" s="249"/>
      <c r="AB4" s="241" t="s">
        <v>5</v>
      </c>
      <c r="AC4" s="251"/>
      <c r="AD4" s="251"/>
      <c r="AE4" s="251"/>
      <c r="AF4" s="242"/>
      <c r="AG4" s="251"/>
      <c r="AH4" s="251"/>
      <c r="AI4" s="241" t="s">
        <v>220</v>
      </c>
      <c r="AJ4" s="241"/>
      <c r="AK4" s="241"/>
      <c r="AL4" s="241"/>
      <c r="AM4" s="241"/>
      <c r="AN4" s="242"/>
      <c r="AO4" s="241" t="s">
        <v>223</v>
      </c>
      <c r="AP4" s="241"/>
      <c r="AQ4" s="241"/>
      <c r="AR4" s="242"/>
    </row>
    <row r="5" spans="1:46" s="72" customFormat="1" ht="60.75" thickBot="1" x14ac:dyDescent="0.3">
      <c r="A5" s="253"/>
      <c r="B5" s="254"/>
      <c r="C5" s="111" t="s">
        <v>6</v>
      </c>
      <c r="D5" s="110" t="s">
        <v>7</v>
      </c>
      <c r="E5" s="110" t="s">
        <v>8</v>
      </c>
      <c r="F5" s="88" t="s">
        <v>9</v>
      </c>
      <c r="G5" s="111" t="s">
        <v>6</v>
      </c>
      <c r="H5" s="110" t="s">
        <v>7</v>
      </c>
      <c r="I5" s="110" t="s">
        <v>8</v>
      </c>
      <c r="J5" s="88" t="s">
        <v>9</v>
      </c>
      <c r="K5" s="112" t="s">
        <v>171</v>
      </c>
      <c r="L5" s="110" t="s">
        <v>172</v>
      </c>
      <c r="M5" s="110" t="s">
        <v>8</v>
      </c>
      <c r="N5" s="111" t="s">
        <v>6</v>
      </c>
      <c r="O5" s="110" t="s">
        <v>10</v>
      </c>
      <c r="P5" s="110" t="s">
        <v>8</v>
      </c>
      <c r="Q5" s="88" t="s">
        <v>9</v>
      </c>
      <c r="R5" s="112" t="s">
        <v>173</v>
      </c>
      <c r="S5" s="110" t="s">
        <v>174</v>
      </c>
      <c r="T5" s="110" t="s">
        <v>8</v>
      </c>
      <c r="U5" s="111" t="s">
        <v>6</v>
      </c>
      <c r="V5" s="110" t="s">
        <v>10</v>
      </c>
      <c r="W5" s="110" t="s">
        <v>8</v>
      </c>
      <c r="X5" s="112" t="s">
        <v>6</v>
      </c>
      <c r="Y5" s="110" t="s">
        <v>10</v>
      </c>
      <c r="Z5" s="110" t="s">
        <v>8</v>
      </c>
      <c r="AA5" s="88" t="s">
        <v>9</v>
      </c>
      <c r="AB5" s="112" t="s">
        <v>11</v>
      </c>
      <c r="AC5" s="112" t="s">
        <v>12</v>
      </c>
      <c r="AD5" s="110" t="s">
        <v>7</v>
      </c>
      <c r="AE5" s="110" t="s">
        <v>8</v>
      </c>
      <c r="AF5" s="88" t="s">
        <v>9</v>
      </c>
      <c r="AG5" s="112" t="s">
        <v>175</v>
      </c>
      <c r="AH5" s="110" t="s">
        <v>179</v>
      </c>
      <c r="AI5" s="112" t="s">
        <v>11</v>
      </c>
      <c r="AJ5" s="110" t="s">
        <v>10</v>
      </c>
      <c r="AK5" s="110" t="s">
        <v>8</v>
      </c>
      <c r="AL5" s="110" t="s">
        <v>13</v>
      </c>
      <c r="AM5" s="110" t="s">
        <v>14</v>
      </c>
      <c r="AN5" s="88" t="s">
        <v>9</v>
      </c>
      <c r="AO5" s="112" t="s">
        <v>11</v>
      </c>
      <c r="AP5" s="110" t="s">
        <v>10</v>
      </c>
      <c r="AQ5" s="110" t="s">
        <v>8</v>
      </c>
      <c r="AR5" s="88" t="s">
        <v>9</v>
      </c>
    </row>
    <row r="6" spans="1:46" s="72" customFormat="1" ht="81.75" customHeight="1" thickBot="1" x14ac:dyDescent="0.3">
      <c r="A6" s="161" t="s">
        <v>180</v>
      </c>
      <c r="B6" s="132">
        <f>SUM(B7+B8+B9+B10+B14+B15+B16+B17+B18+B19+B22+B23+B24+B25+B26+B27)</f>
        <v>1068434873.4498221</v>
      </c>
      <c r="C6" s="142">
        <v>6178</v>
      </c>
      <c r="D6" s="143">
        <v>1632455368.27</v>
      </c>
      <c r="E6" s="143">
        <v>1167147182.2450001</v>
      </c>
      <c r="F6" s="191">
        <f>D6/B6</f>
        <v>1.5278941270412085</v>
      </c>
      <c r="G6" s="142">
        <v>5496</v>
      </c>
      <c r="H6" s="143">
        <v>1017800770.29</v>
      </c>
      <c r="I6" s="143">
        <v>706156233.76000011</v>
      </c>
      <c r="J6" s="191">
        <f>H6/B6</f>
        <v>0.95260908791161791</v>
      </c>
      <c r="K6" s="142">
        <v>628</v>
      </c>
      <c r="L6" s="143">
        <v>308202126.70000005</v>
      </c>
      <c r="M6" s="143">
        <v>226923216.7775</v>
      </c>
      <c r="N6" s="142">
        <v>5229</v>
      </c>
      <c r="O6" s="143">
        <v>1068276702.37</v>
      </c>
      <c r="P6" s="143">
        <v>748837482.78999996</v>
      </c>
      <c r="Q6" s="191">
        <f>O6/B6</f>
        <v>0.99985196001763654</v>
      </c>
      <c r="R6" s="142">
        <v>59</v>
      </c>
      <c r="S6" s="143">
        <v>203199190.68000001</v>
      </c>
      <c r="T6" s="143">
        <v>151494041.09999999</v>
      </c>
      <c r="U6" s="142">
        <v>98</v>
      </c>
      <c r="V6" s="143">
        <v>2686141.37</v>
      </c>
      <c r="W6" s="143">
        <v>2014606.0275000001</v>
      </c>
      <c r="X6" s="142">
        <v>5170</v>
      </c>
      <c r="Y6" s="143">
        <v>862391370.32000017</v>
      </c>
      <c r="Z6" s="143">
        <v>595328835.66250002</v>
      </c>
      <c r="AA6" s="191">
        <f>Y6/B6</f>
        <v>0.80715389561879691</v>
      </c>
      <c r="AB6" s="142">
        <v>4811</v>
      </c>
      <c r="AC6" s="142">
        <v>4947</v>
      </c>
      <c r="AD6" s="143">
        <v>604476000.81999993</v>
      </c>
      <c r="AE6" s="143">
        <v>404539233.37249994</v>
      </c>
      <c r="AF6" s="191">
        <f>AD6/B6</f>
        <v>0.56575839654899518</v>
      </c>
      <c r="AG6" s="142">
        <v>11</v>
      </c>
      <c r="AH6" s="143">
        <v>1191448.8699999999</v>
      </c>
      <c r="AI6" s="142">
        <v>5028</v>
      </c>
      <c r="AJ6" s="143">
        <v>661695833.61000013</v>
      </c>
      <c r="AK6" s="143">
        <v>445134524.70999998</v>
      </c>
      <c r="AL6" s="143">
        <v>278658875.31999999</v>
      </c>
      <c r="AM6" s="143">
        <v>208994155.59</v>
      </c>
      <c r="AN6" s="191">
        <f>AJ6/B6</f>
        <v>0.61931321230041825</v>
      </c>
      <c r="AO6" s="142">
        <v>4721</v>
      </c>
      <c r="AP6" s="143">
        <v>562170326.44999993</v>
      </c>
      <c r="AQ6" s="143">
        <v>370490394.82999998</v>
      </c>
      <c r="AR6" s="191">
        <f>AP6/B6</f>
        <v>0.52616246476009632</v>
      </c>
      <c r="AS6" s="211"/>
      <c r="AT6" s="211"/>
    </row>
    <row r="7" spans="1:46" x14ac:dyDescent="0.2">
      <c r="A7" s="162" t="s">
        <v>16</v>
      </c>
      <c r="B7" s="171">
        <v>9054231.5200000014</v>
      </c>
      <c r="C7" s="136">
        <v>3</v>
      </c>
      <c r="D7" s="137">
        <v>9954416.0800000001</v>
      </c>
      <c r="E7" s="138">
        <v>7465812.0600000005</v>
      </c>
      <c r="F7" s="190">
        <f t="shared" ref="F7:F60" si="0">D7/B7</f>
        <v>1.099421420582362</v>
      </c>
      <c r="G7" s="139">
        <v>1</v>
      </c>
      <c r="H7" s="137">
        <v>8181268.0800000001</v>
      </c>
      <c r="I7" s="137">
        <v>6135951.0600000005</v>
      </c>
      <c r="J7" s="190">
        <f t="shared" ref="J7:J60" si="1">H7/B7</f>
        <v>0.90358503225020237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0.90353009329719447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0.90353009329719447</v>
      </c>
      <c r="AB7" s="139">
        <v>1</v>
      </c>
      <c r="AC7" s="141">
        <v>1</v>
      </c>
      <c r="AD7" s="137">
        <v>755343.71</v>
      </c>
      <c r="AE7" s="137">
        <v>566507.78249999997</v>
      </c>
      <c r="AF7" s="190">
        <f t="shared" ref="AF7:AF60" si="3">AD7/B7</f>
        <v>8.3424386523749935E-2</v>
      </c>
      <c r="AG7" s="141">
        <v>0</v>
      </c>
      <c r="AH7" s="140">
        <v>0</v>
      </c>
      <c r="AI7" s="139">
        <v>1</v>
      </c>
      <c r="AJ7" s="137">
        <v>510000</v>
      </c>
      <c r="AK7" s="137">
        <v>382500</v>
      </c>
      <c r="AL7" s="137">
        <v>510000</v>
      </c>
      <c r="AM7" s="137">
        <v>382500</v>
      </c>
      <c r="AN7" s="190">
        <f t="shared" ref="AN7:AN60" si="4">AJ7/B7</f>
        <v>5.6327254154419935E-2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1"/>
      <c r="AT7" s="211"/>
    </row>
    <row r="8" spans="1:46" x14ac:dyDescent="0.2">
      <c r="A8" s="163" t="s">
        <v>17</v>
      </c>
      <c r="B8" s="172">
        <v>16360164.640133332</v>
      </c>
      <c r="C8" s="73">
        <v>359</v>
      </c>
      <c r="D8" s="74">
        <v>21704961.059999999</v>
      </c>
      <c r="E8" s="89">
        <v>16278720.794999998</v>
      </c>
      <c r="F8" s="190">
        <f t="shared" si="0"/>
        <v>1.3266957599409042</v>
      </c>
      <c r="G8" s="76">
        <v>276</v>
      </c>
      <c r="H8" s="74">
        <v>16810705.98</v>
      </c>
      <c r="I8" s="74">
        <v>12608029.484999999</v>
      </c>
      <c r="J8" s="190">
        <f t="shared" si="1"/>
        <v>1.0275389245632307</v>
      </c>
      <c r="K8" s="76">
        <v>71</v>
      </c>
      <c r="L8" s="74">
        <v>4389657.08</v>
      </c>
      <c r="M8" s="75">
        <v>3292242.8099999996</v>
      </c>
      <c r="N8" s="76">
        <v>279</v>
      </c>
      <c r="O8" s="74">
        <v>15588404.68</v>
      </c>
      <c r="P8" s="74">
        <v>11691303.470000001</v>
      </c>
      <c r="Q8" s="190">
        <f t="shared" ref="Q8:Q27" si="6">O8/$B8</f>
        <v>0.95282688303514262</v>
      </c>
      <c r="R8" s="76">
        <v>12</v>
      </c>
      <c r="S8" s="74">
        <v>466058.8</v>
      </c>
      <c r="T8" s="75">
        <v>349544.1</v>
      </c>
      <c r="U8" s="76">
        <v>15</v>
      </c>
      <c r="V8" s="74">
        <v>43459.31</v>
      </c>
      <c r="W8" s="75">
        <v>32594.482500000002</v>
      </c>
      <c r="X8" s="76">
        <v>267</v>
      </c>
      <c r="Y8" s="74">
        <v>15078886.57</v>
      </c>
      <c r="Z8" s="74">
        <v>11309164.887499999</v>
      </c>
      <c r="AA8" s="190">
        <f t="shared" si="2"/>
        <v>0.92168305770039671</v>
      </c>
      <c r="AB8" s="76">
        <v>253</v>
      </c>
      <c r="AC8" s="77">
        <v>256</v>
      </c>
      <c r="AD8" s="74">
        <v>14005478.91</v>
      </c>
      <c r="AE8" s="74">
        <v>10504109.182500001</v>
      </c>
      <c r="AF8" s="190">
        <f t="shared" si="3"/>
        <v>0.85607200282342988</v>
      </c>
      <c r="AG8" s="77">
        <v>1</v>
      </c>
      <c r="AH8" s="75">
        <v>59760</v>
      </c>
      <c r="AI8" s="76">
        <v>245</v>
      </c>
      <c r="AJ8" s="74">
        <v>13868779.949999999</v>
      </c>
      <c r="AK8" s="74">
        <v>10401584.899999999</v>
      </c>
      <c r="AL8" s="74">
        <v>12034052.220000001</v>
      </c>
      <c r="AM8" s="74">
        <v>9025539.1600000001</v>
      </c>
      <c r="AN8" s="190">
        <f t="shared" si="4"/>
        <v>0.84771640475905208</v>
      </c>
      <c r="AO8" s="76">
        <v>222</v>
      </c>
      <c r="AP8" s="74">
        <v>12108038.16</v>
      </c>
      <c r="AQ8" s="74">
        <v>9081028.5500000007</v>
      </c>
      <c r="AR8" s="190">
        <f t="shared" si="5"/>
        <v>0.74009268404901096</v>
      </c>
      <c r="AS8" s="211"/>
      <c r="AT8" s="211"/>
    </row>
    <row r="9" spans="1:46" s="79" customFormat="1" ht="25.5" x14ac:dyDescent="0.2">
      <c r="A9" s="163" t="s">
        <v>18</v>
      </c>
      <c r="B9" s="172">
        <v>10777100</v>
      </c>
      <c r="C9" s="99">
        <v>6</v>
      </c>
      <c r="D9" s="95">
        <v>22278380.25</v>
      </c>
      <c r="E9" s="96">
        <v>16708785.187500002</v>
      </c>
      <c r="F9" s="190">
        <f t="shared" si="0"/>
        <v>2.0671962076996593</v>
      </c>
      <c r="G9" s="97">
        <v>2</v>
      </c>
      <c r="H9" s="95">
        <v>4194998.17</v>
      </c>
      <c r="I9" s="95">
        <v>3146248.6274999999</v>
      </c>
      <c r="J9" s="190">
        <f t="shared" si="1"/>
        <v>0.38925111300813764</v>
      </c>
      <c r="K9" s="97">
        <v>3</v>
      </c>
      <c r="L9" s="95">
        <v>12090510.48</v>
      </c>
      <c r="M9" s="100">
        <v>9067882.8599999994</v>
      </c>
      <c r="N9" s="97">
        <v>2</v>
      </c>
      <c r="O9" s="95">
        <v>4194517.53</v>
      </c>
      <c r="P9" s="95">
        <v>3145888.14</v>
      </c>
      <c r="Q9" s="190">
        <f t="shared" si="6"/>
        <v>0.38920651473958673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0.38920651473958673</v>
      </c>
      <c r="AB9" s="97">
        <v>0</v>
      </c>
      <c r="AC9" s="98">
        <v>0</v>
      </c>
      <c r="AD9" s="95">
        <v>0</v>
      </c>
      <c r="AE9" s="95">
        <v>0</v>
      </c>
      <c r="AF9" s="190">
        <f t="shared" si="3"/>
        <v>0</v>
      </c>
      <c r="AG9" s="98">
        <v>0</v>
      </c>
      <c r="AH9" s="100">
        <v>0</v>
      </c>
      <c r="AI9" s="97">
        <v>2</v>
      </c>
      <c r="AJ9" s="95">
        <v>854293.91</v>
      </c>
      <c r="AK9" s="95">
        <v>640720.42000000004</v>
      </c>
      <c r="AL9" s="95">
        <v>854293.91</v>
      </c>
      <c r="AM9" s="95">
        <v>640720.42000000004</v>
      </c>
      <c r="AN9" s="190">
        <f t="shared" si="4"/>
        <v>7.926936838296017E-2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1"/>
      <c r="AT9" s="211"/>
    </row>
    <row r="10" spans="1:46" s="79" customFormat="1" ht="25.5" x14ac:dyDescent="0.2">
      <c r="A10" s="163" t="s">
        <v>19</v>
      </c>
      <c r="B10" s="172">
        <v>163750307.15453526</v>
      </c>
      <c r="C10" s="76">
        <v>62</v>
      </c>
      <c r="D10" s="101">
        <v>186141007.26000002</v>
      </c>
      <c r="E10" s="101">
        <v>139605755.44499999</v>
      </c>
      <c r="F10" s="190">
        <f t="shared" si="0"/>
        <v>1.136736843396172</v>
      </c>
      <c r="G10" s="76">
        <v>41</v>
      </c>
      <c r="H10" s="101">
        <v>158113153.19</v>
      </c>
      <c r="I10" s="101">
        <v>118584864.8925</v>
      </c>
      <c r="J10" s="190">
        <f t="shared" si="1"/>
        <v>0.96557469685100905</v>
      </c>
      <c r="K10" s="76">
        <v>16</v>
      </c>
      <c r="L10" s="101">
        <v>17448125.07</v>
      </c>
      <c r="M10" s="75">
        <v>13086093.8025</v>
      </c>
      <c r="N10" s="97">
        <v>36</v>
      </c>
      <c r="O10" s="101">
        <v>138976634.29999998</v>
      </c>
      <c r="P10" s="101">
        <v>104232475.63</v>
      </c>
      <c r="Q10" s="190">
        <f t="shared" si="6"/>
        <v>0.84871067856284543</v>
      </c>
      <c r="R10" s="76">
        <v>0</v>
      </c>
      <c r="S10" s="101">
        <v>0</v>
      </c>
      <c r="T10" s="75">
        <v>0</v>
      </c>
      <c r="U10" s="97">
        <v>17</v>
      </c>
      <c r="V10" s="101">
        <v>1057819.75</v>
      </c>
      <c r="W10" s="101">
        <v>793364.8125</v>
      </c>
      <c r="X10" s="97">
        <v>36</v>
      </c>
      <c r="Y10" s="101">
        <v>137918814.54999998</v>
      </c>
      <c r="Z10" s="101">
        <v>103439110.8175</v>
      </c>
      <c r="AA10" s="190">
        <f t="shared" si="2"/>
        <v>0.84225072274119483</v>
      </c>
      <c r="AB10" s="97">
        <v>33</v>
      </c>
      <c r="AC10" s="98">
        <v>53</v>
      </c>
      <c r="AD10" s="101">
        <v>113106844.78</v>
      </c>
      <c r="AE10" s="101">
        <v>84830133.584999993</v>
      </c>
      <c r="AF10" s="190">
        <f t="shared" si="3"/>
        <v>0.69072752744981569</v>
      </c>
      <c r="AG10" s="97">
        <v>1</v>
      </c>
      <c r="AH10" s="75">
        <v>0</v>
      </c>
      <c r="AI10" s="97">
        <v>34</v>
      </c>
      <c r="AJ10" s="101">
        <v>120082075.94</v>
      </c>
      <c r="AK10" s="101">
        <v>90061556.800000012</v>
      </c>
      <c r="AL10" s="101">
        <v>117923550.16</v>
      </c>
      <c r="AM10" s="101">
        <v>88442662.549999997</v>
      </c>
      <c r="AN10" s="190">
        <f t="shared" si="4"/>
        <v>0.73332427906028619</v>
      </c>
      <c r="AO10" s="97">
        <v>31</v>
      </c>
      <c r="AP10" s="101">
        <v>97603771.260000005</v>
      </c>
      <c r="AQ10" s="101">
        <v>73202828.309999987</v>
      </c>
      <c r="AR10" s="190">
        <f t="shared" si="5"/>
        <v>0.59605244689946679</v>
      </c>
      <c r="AS10" s="211"/>
      <c r="AT10" s="211"/>
    </row>
    <row r="11" spans="1:46" s="129" customFormat="1" outlineLevel="1" collapsed="1" x14ac:dyDescent="0.2">
      <c r="A11" s="164" t="s">
        <v>20</v>
      </c>
      <c r="B11" s="173">
        <v>85281406.50410302</v>
      </c>
      <c r="C11" s="73">
        <v>15</v>
      </c>
      <c r="D11" s="74">
        <v>91804817.5</v>
      </c>
      <c r="E11" s="89">
        <v>68853613.125</v>
      </c>
      <c r="F11" s="190">
        <f t="shared" si="0"/>
        <v>1.0764927697995124</v>
      </c>
      <c r="G11" s="76">
        <v>14</v>
      </c>
      <c r="H11" s="74">
        <v>85778346.5</v>
      </c>
      <c r="I11" s="74">
        <v>64333759.875</v>
      </c>
      <c r="J11" s="190">
        <f t="shared" si="1"/>
        <v>1.0058270614459561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0.98319667506850883</v>
      </c>
      <c r="R11" s="76">
        <v>0</v>
      </c>
      <c r="S11" s="74">
        <v>0</v>
      </c>
      <c r="T11" s="75">
        <v>0</v>
      </c>
      <c r="U11" s="76">
        <v>12</v>
      </c>
      <c r="V11" s="74">
        <v>809017.82000000007</v>
      </c>
      <c r="W11" s="75">
        <v>606763.36499999999</v>
      </c>
      <c r="X11" s="76">
        <v>14</v>
      </c>
      <c r="Y11" s="74">
        <v>83039377.5</v>
      </c>
      <c r="Z11" s="74">
        <v>62279533.094999999</v>
      </c>
      <c r="AA11" s="190">
        <f t="shared" si="2"/>
        <v>0.97371022481910929</v>
      </c>
      <c r="AB11" s="76">
        <v>14</v>
      </c>
      <c r="AC11" s="77">
        <v>28</v>
      </c>
      <c r="AD11" s="74">
        <v>83126445.460000008</v>
      </c>
      <c r="AE11" s="74">
        <v>62344834.094999999</v>
      </c>
      <c r="AF11" s="190">
        <f t="shared" si="3"/>
        <v>0.97473117374067542</v>
      </c>
      <c r="AG11" s="77">
        <v>1</v>
      </c>
      <c r="AH11" s="75">
        <v>0</v>
      </c>
      <c r="AI11" s="76">
        <v>14</v>
      </c>
      <c r="AJ11" s="74">
        <v>83604737.120000005</v>
      </c>
      <c r="AK11" s="74">
        <v>62703552.759999998</v>
      </c>
      <c r="AL11" s="74">
        <v>82204176.569999993</v>
      </c>
      <c r="AM11" s="74">
        <v>61653132.379999995</v>
      </c>
      <c r="AN11" s="190">
        <f t="shared" si="4"/>
        <v>0.98033956693687563</v>
      </c>
      <c r="AO11" s="76">
        <v>12</v>
      </c>
      <c r="AP11" s="74">
        <v>67930255.040000007</v>
      </c>
      <c r="AQ11" s="74">
        <v>50947691.219999999</v>
      </c>
      <c r="AR11" s="190">
        <f t="shared" si="5"/>
        <v>0.79654238625545859</v>
      </c>
      <c r="AS11" s="211"/>
      <c r="AT11" s="211"/>
    </row>
    <row r="12" spans="1:46" s="129" customFormat="1" ht="25.5" outlineLevel="1" x14ac:dyDescent="0.2">
      <c r="A12" s="164" t="s">
        <v>21</v>
      </c>
      <c r="B12" s="173">
        <v>77024468.167121872</v>
      </c>
      <c r="C12" s="73">
        <v>22</v>
      </c>
      <c r="D12" s="74">
        <v>92933936.660000011</v>
      </c>
      <c r="E12" s="89">
        <v>69700452.495000005</v>
      </c>
      <c r="F12" s="190">
        <f t="shared" si="0"/>
        <v>1.2065508386031174</v>
      </c>
      <c r="G12" s="76">
        <v>15</v>
      </c>
      <c r="H12" s="74">
        <v>71793744.090000004</v>
      </c>
      <c r="I12" s="74">
        <v>53845308.067500003</v>
      </c>
      <c r="J12" s="190">
        <f t="shared" si="1"/>
        <v>0.93209009810009158</v>
      </c>
      <c r="K12" s="76">
        <v>6</v>
      </c>
      <c r="L12" s="74">
        <v>11140192.57</v>
      </c>
      <c r="M12" s="75">
        <v>8355144.4275000002</v>
      </c>
      <c r="N12" s="76">
        <v>10</v>
      </c>
      <c r="O12" s="74">
        <v>54599247.780000001</v>
      </c>
      <c r="P12" s="74">
        <v>40949435.790000007</v>
      </c>
      <c r="Q12" s="190">
        <f t="shared" si="6"/>
        <v>0.70885588799567789</v>
      </c>
      <c r="R12" s="76">
        <v>0</v>
      </c>
      <c r="S12" s="74">
        <v>0</v>
      </c>
      <c r="T12" s="75">
        <v>0</v>
      </c>
      <c r="U12" s="76">
        <v>5</v>
      </c>
      <c r="V12" s="74">
        <v>248801.93000000002</v>
      </c>
      <c r="W12" s="75">
        <v>186601.44750000001</v>
      </c>
      <c r="X12" s="76">
        <v>10</v>
      </c>
      <c r="Y12" s="74">
        <v>54350445.849999994</v>
      </c>
      <c r="Z12" s="74">
        <v>40762834.342500001</v>
      </c>
      <c r="AA12" s="190">
        <f t="shared" si="2"/>
        <v>0.70562572054473005</v>
      </c>
      <c r="AB12" s="76">
        <v>7</v>
      </c>
      <c r="AC12" s="77">
        <v>13</v>
      </c>
      <c r="AD12" s="74">
        <v>29451408.619999997</v>
      </c>
      <c r="AE12" s="74">
        <v>22088556.464999996</v>
      </c>
      <c r="AF12" s="190">
        <f t="shared" si="3"/>
        <v>0.38236432293305234</v>
      </c>
      <c r="AG12" s="77">
        <v>0</v>
      </c>
      <c r="AH12" s="75">
        <v>0</v>
      </c>
      <c r="AI12" s="76">
        <v>8</v>
      </c>
      <c r="AJ12" s="74">
        <v>35948347.619999997</v>
      </c>
      <c r="AK12" s="74">
        <v>26961260.690000001</v>
      </c>
      <c r="AL12" s="74">
        <v>35719373.589999996</v>
      </c>
      <c r="AM12" s="74">
        <v>26789530.170000002</v>
      </c>
      <c r="AN12" s="190">
        <f t="shared" si="4"/>
        <v>0.46671335064595304</v>
      </c>
      <c r="AO12" s="76">
        <v>7</v>
      </c>
      <c r="AP12" s="74">
        <v>29144525.02</v>
      </c>
      <c r="AQ12" s="74">
        <v>21858393.739999998</v>
      </c>
      <c r="AR12" s="190">
        <f t="shared" si="5"/>
        <v>0.37838008769842346</v>
      </c>
      <c r="AS12" s="211"/>
      <c r="AT12" s="211"/>
    </row>
    <row r="13" spans="1:46" s="130" customFormat="1" ht="25.5" outlineLevel="1" x14ac:dyDescent="0.2">
      <c r="A13" s="164" t="s">
        <v>22</v>
      </c>
      <c r="B13" s="173">
        <v>1444432.483310357</v>
      </c>
      <c r="C13" s="73">
        <v>25</v>
      </c>
      <c r="D13" s="74">
        <v>1402253.0999999999</v>
      </c>
      <c r="E13" s="89">
        <v>1051689.825</v>
      </c>
      <c r="F13" s="190">
        <f t="shared" si="0"/>
        <v>0.97079864666731241</v>
      </c>
      <c r="G13" s="76">
        <v>12</v>
      </c>
      <c r="H13" s="74">
        <v>541062.60000000009</v>
      </c>
      <c r="I13" s="74">
        <v>405796.95000000007</v>
      </c>
      <c r="J13" s="190">
        <f t="shared" si="1"/>
        <v>0.37458490185708809</v>
      </c>
      <c r="K13" s="76">
        <v>9</v>
      </c>
      <c r="L13" s="74">
        <v>281461.5</v>
      </c>
      <c r="M13" s="75">
        <v>211096.125</v>
      </c>
      <c r="N13" s="76">
        <v>12</v>
      </c>
      <c r="O13" s="74">
        <v>528991.19999999995</v>
      </c>
      <c r="P13" s="74">
        <v>396743.38</v>
      </c>
      <c r="Q13" s="190">
        <f t="shared" si="6"/>
        <v>0.36622770957605127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0.36622770957605127</v>
      </c>
      <c r="AB13" s="76">
        <v>12</v>
      </c>
      <c r="AC13" s="77">
        <v>12</v>
      </c>
      <c r="AD13" s="74">
        <v>528990.69999999995</v>
      </c>
      <c r="AE13" s="74">
        <v>396743.02500000002</v>
      </c>
      <c r="AF13" s="190">
        <f t="shared" si="3"/>
        <v>0.3662273634193387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396743.35000000003</v>
      </c>
      <c r="AL13" s="74">
        <v>0</v>
      </c>
      <c r="AM13" s="74">
        <v>0</v>
      </c>
      <c r="AN13" s="190">
        <f t="shared" si="4"/>
        <v>0.36622770957605127</v>
      </c>
      <c r="AO13" s="76">
        <v>12</v>
      </c>
      <c r="AP13" s="74">
        <v>528991.19999999995</v>
      </c>
      <c r="AQ13" s="74">
        <v>396743.35</v>
      </c>
      <c r="AR13" s="190">
        <f t="shared" si="5"/>
        <v>0.36622770957605127</v>
      </c>
      <c r="AS13" s="211"/>
      <c r="AT13" s="211"/>
    </row>
    <row r="14" spans="1:46" ht="36.75" customHeight="1" x14ac:dyDescent="0.2">
      <c r="A14" s="163" t="s">
        <v>23</v>
      </c>
      <c r="B14" s="172">
        <v>33628620.533306666</v>
      </c>
      <c r="C14" s="73">
        <v>13</v>
      </c>
      <c r="D14" s="74">
        <v>30276905.75</v>
      </c>
      <c r="E14" s="89">
        <v>22707679.3125</v>
      </c>
      <c r="F14" s="190">
        <f t="shared" si="0"/>
        <v>0.90033148163222931</v>
      </c>
      <c r="G14" s="76">
        <v>11</v>
      </c>
      <c r="H14" s="74">
        <v>25712899.84</v>
      </c>
      <c r="I14" s="74">
        <v>19284674.879999999</v>
      </c>
      <c r="J14" s="190">
        <f t="shared" si="1"/>
        <v>0.76461357713240929</v>
      </c>
      <c r="K14" s="76">
        <v>2</v>
      </c>
      <c r="L14" s="74">
        <v>4564005.91</v>
      </c>
      <c r="M14" s="75">
        <v>3423004.4325000001</v>
      </c>
      <c r="N14" s="76">
        <v>11</v>
      </c>
      <c r="O14" s="74">
        <v>25076104.82</v>
      </c>
      <c r="P14" s="74">
        <v>18807078.579999998</v>
      </c>
      <c r="Q14" s="190">
        <f t="shared" si="6"/>
        <v>0.74567747419683683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</v>
      </c>
      <c r="Z14" s="74">
        <v>18807078.579999998</v>
      </c>
      <c r="AA14" s="190">
        <f t="shared" si="2"/>
        <v>0.74567747419683683</v>
      </c>
      <c r="AB14" s="76">
        <v>8</v>
      </c>
      <c r="AC14" s="77">
        <v>11</v>
      </c>
      <c r="AD14" s="74">
        <v>15709858.369999999</v>
      </c>
      <c r="AE14" s="74">
        <v>11782393.7775</v>
      </c>
      <c r="AF14" s="190">
        <f t="shared" si="3"/>
        <v>0.4671573832307675</v>
      </c>
      <c r="AG14" s="77">
        <v>0</v>
      </c>
      <c r="AH14" s="75">
        <v>0</v>
      </c>
      <c r="AI14" s="76">
        <v>11</v>
      </c>
      <c r="AJ14" s="74">
        <v>19541342.330000002</v>
      </c>
      <c r="AK14" s="74">
        <v>14656006.710000001</v>
      </c>
      <c r="AL14" s="74">
        <v>17364354.550000001</v>
      </c>
      <c r="AM14" s="74">
        <v>13023265.890000001</v>
      </c>
      <c r="AN14" s="190">
        <f t="shared" si="4"/>
        <v>0.5810925937519722</v>
      </c>
      <c r="AO14" s="76">
        <v>8</v>
      </c>
      <c r="AP14" s="74">
        <v>13880641.57</v>
      </c>
      <c r="AQ14" s="74">
        <v>10410481.140000001</v>
      </c>
      <c r="AR14" s="190">
        <f t="shared" si="5"/>
        <v>0.41276274048328121</v>
      </c>
      <c r="AS14" s="211"/>
      <c r="AT14" s="211"/>
    </row>
    <row r="15" spans="1:46" x14ac:dyDescent="0.2">
      <c r="A15" s="163" t="s">
        <v>24</v>
      </c>
      <c r="B15" s="172">
        <v>64686389.269920006</v>
      </c>
      <c r="C15" s="73">
        <v>207</v>
      </c>
      <c r="D15" s="74">
        <v>71015925.830000013</v>
      </c>
      <c r="E15" s="89">
        <v>35507962.915000007</v>
      </c>
      <c r="F15" s="190">
        <f t="shared" si="0"/>
        <v>1.097849588321717</v>
      </c>
      <c r="G15" s="76">
        <v>207</v>
      </c>
      <c r="H15" s="74">
        <v>71015925.830000013</v>
      </c>
      <c r="I15" s="74">
        <v>35507962.915000007</v>
      </c>
      <c r="J15" s="190">
        <f t="shared" si="1"/>
        <v>1.097849588321717</v>
      </c>
      <c r="K15" s="76">
        <v>51</v>
      </c>
      <c r="L15" s="74">
        <v>11225762.99</v>
      </c>
      <c r="M15" s="75">
        <v>5612881.4950000001</v>
      </c>
      <c r="N15" s="76">
        <v>156</v>
      </c>
      <c r="O15" s="74">
        <v>58485169.599999994</v>
      </c>
      <c r="P15" s="74">
        <v>29242584.700000003</v>
      </c>
      <c r="Q15" s="190">
        <f t="shared" si="6"/>
        <v>0.90413408848584997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0.84995874434387009</v>
      </c>
      <c r="AB15" s="76">
        <v>46</v>
      </c>
      <c r="AC15" s="77">
        <v>46</v>
      </c>
      <c r="AD15" s="74">
        <v>44344668.969999999</v>
      </c>
      <c r="AE15" s="74">
        <v>22172334.484999999</v>
      </c>
      <c r="AF15" s="190">
        <f t="shared" si="3"/>
        <v>0.68553322376614445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0.82971698615056078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0.82971698615056078</v>
      </c>
      <c r="AS15" s="211"/>
      <c r="AT15" s="211"/>
    </row>
    <row r="16" spans="1:46" x14ac:dyDescent="0.2">
      <c r="A16" s="163" t="s">
        <v>25</v>
      </c>
      <c r="B16" s="172">
        <v>2837300.4743466671</v>
      </c>
      <c r="C16" s="73">
        <v>3</v>
      </c>
      <c r="D16" s="74">
        <v>2700000</v>
      </c>
      <c r="E16" s="89">
        <v>2025000</v>
      </c>
      <c r="F16" s="190">
        <f t="shared" si="0"/>
        <v>0.95160876488476864</v>
      </c>
      <c r="G16" s="76">
        <v>3</v>
      </c>
      <c r="H16" s="74">
        <v>2700000</v>
      </c>
      <c r="I16" s="74">
        <v>2025000</v>
      </c>
      <c r="J16" s="190">
        <f t="shared" si="1"/>
        <v>0.95160876488476864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0.95160876488476864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0.95160876488476864</v>
      </c>
      <c r="AB16" s="76">
        <v>1</v>
      </c>
      <c r="AC16" s="77">
        <v>1</v>
      </c>
      <c r="AD16" s="74">
        <v>283649.59999999998</v>
      </c>
      <c r="AE16" s="74">
        <v>212737.19999999998</v>
      </c>
      <c r="AF16" s="190">
        <f t="shared" si="3"/>
        <v>9.9971646487429122E-2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9.9971646487429122E-2</v>
      </c>
      <c r="AO16" s="76">
        <v>1</v>
      </c>
      <c r="AP16" s="74">
        <v>283649.59999999998</v>
      </c>
      <c r="AQ16" s="74">
        <v>212737.2</v>
      </c>
      <c r="AR16" s="190">
        <f t="shared" si="5"/>
        <v>9.9971646487429122E-2</v>
      </c>
      <c r="AS16" s="211"/>
      <c r="AT16" s="211"/>
    </row>
    <row r="17" spans="1:46" ht="25.5" x14ac:dyDescent="0.2">
      <c r="A17" s="163" t="s">
        <v>26</v>
      </c>
      <c r="B17" s="172">
        <v>66959114.02136001</v>
      </c>
      <c r="C17" s="73">
        <v>377</v>
      </c>
      <c r="D17" s="74">
        <v>92490683.74000001</v>
      </c>
      <c r="E17" s="89">
        <v>69368012.804999992</v>
      </c>
      <c r="F17" s="190">
        <f t="shared" si="0"/>
        <v>1.3813008892336212</v>
      </c>
      <c r="G17" s="76">
        <v>218</v>
      </c>
      <c r="H17" s="74">
        <v>53096275.82</v>
      </c>
      <c r="I17" s="74">
        <v>39822206.865000002</v>
      </c>
      <c r="J17" s="190">
        <f t="shared" si="1"/>
        <v>0.79296562680118865</v>
      </c>
      <c r="K17" s="76">
        <v>146</v>
      </c>
      <c r="L17" s="74">
        <v>36134651.109999999</v>
      </c>
      <c r="M17" s="75">
        <v>27100988.332500003</v>
      </c>
      <c r="N17" s="76">
        <v>173</v>
      </c>
      <c r="O17" s="74">
        <v>36552666.18</v>
      </c>
      <c r="P17" s="74">
        <v>27414499.149999999</v>
      </c>
      <c r="Q17" s="190">
        <f t="shared" si="6"/>
        <v>0.54589530811802067</v>
      </c>
      <c r="R17" s="76">
        <v>13</v>
      </c>
      <c r="S17" s="74">
        <v>2492634.02</v>
      </c>
      <c r="T17" s="75">
        <v>1869475.48</v>
      </c>
      <c r="U17" s="76">
        <v>5</v>
      </c>
      <c r="V17" s="74">
        <v>121260.5</v>
      </c>
      <c r="W17" s="75">
        <v>90945.375</v>
      </c>
      <c r="X17" s="76">
        <v>160</v>
      </c>
      <c r="Y17" s="74">
        <v>33938771.659999996</v>
      </c>
      <c r="Z17" s="74">
        <v>25454078.295000002</v>
      </c>
      <c r="AA17" s="190">
        <f t="shared" si="2"/>
        <v>0.5068581350878314</v>
      </c>
      <c r="AB17" s="76">
        <v>106</v>
      </c>
      <c r="AC17" s="77">
        <v>110</v>
      </c>
      <c r="AD17" s="74">
        <v>20139747.289999999</v>
      </c>
      <c r="AE17" s="74">
        <v>15104810.467499999</v>
      </c>
      <c r="AF17" s="190">
        <f t="shared" si="3"/>
        <v>0.30077678870684288</v>
      </c>
      <c r="AG17" s="77">
        <v>1</v>
      </c>
      <c r="AH17" s="75">
        <v>117000</v>
      </c>
      <c r="AI17" s="76">
        <v>134</v>
      </c>
      <c r="AJ17" s="75">
        <v>23818194.240000002</v>
      </c>
      <c r="AK17" s="101">
        <v>17863645.280000001</v>
      </c>
      <c r="AL17" s="74">
        <v>21651480.149999999</v>
      </c>
      <c r="AM17" s="74">
        <v>16238609.809999999</v>
      </c>
      <c r="AN17" s="190">
        <f t="shared" si="4"/>
        <v>0.35571250587936365</v>
      </c>
      <c r="AO17" s="76">
        <v>81</v>
      </c>
      <c r="AP17" s="74">
        <v>14943760.08</v>
      </c>
      <c r="AQ17" s="74">
        <v>11207819.800000001</v>
      </c>
      <c r="AR17" s="190">
        <f t="shared" si="5"/>
        <v>0.22317738665468198</v>
      </c>
      <c r="AS17" s="211"/>
      <c r="AT17" s="211"/>
    </row>
    <row r="18" spans="1:46" x14ac:dyDescent="0.2">
      <c r="A18" s="163" t="s">
        <v>27</v>
      </c>
      <c r="B18" s="172">
        <v>37836150.985714391</v>
      </c>
      <c r="C18" s="73">
        <v>499</v>
      </c>
      <c r="D18" s="74">
        <v>63798204.24000001</v>
      </c>
      <c r="E18" s="89">
        <v>47848653.180000007</v>
      </c>
      <c r="F18" s="190">
        <f t="shared" si="0"/>
        <v>1.6861705690964175</v>
      </c>
      <c r="G18" s="76">
        <v>289</v>
      </c>
      <c r="H18" s="74">
        <v>36278011.420000002</v>
      </c>
      <c r="I18" s="74">
        <v>27208508.565000001</v>
      </c>
      <c r="J18" s="190">
        <f t="shared" si="1"/>
        <v>0.95881876128724908</v>
      </c>
      <c r="K18" s="76">
        <v>88</v>
      </c>
      <c r="L18" s="74">
        <v>10335135.27</v>
      </c>
      <c r="M18" s="75">
        <v>7751351.4525000006</v>
      </c>
      <c r="N18" s="76">
        <v>276</v>
      </c>
      <c r="O18" s="74">
        <v>27696999.810000002</v>
      </c>
      <c r="P18" s="74">
        <v>20772749.490000002</v>
      </c>
      <c r="Q18" s="190">
        <f t="shared" si="6"/>
        <v>0.73202477229931295</v>
      </c>
      <c r="R18" s="76">
        <v>17</v>
      </c>
      <c r="S18" s="74">
        <v>1769555.46</v>
      </c>
      <c r="T18" s="75">
        <v>1327166.57</v>
      </c>
      <c r="U18" s="76">
        <v>31</v>
      </c>
      <c r="V18" s="74">
        <v>537145.40999999992</v>
      </c>
      <c r="W18" s="75">
        <v>402859.0575</v>
      </c>
      <c r="X18" s="76">
        <v>259</v>
      </c>
      <c r="Y18" s="74">
        <v>25390298.940000001</v>
      </c>
      <c r="Z18" s="74">
        <v>19042723.862499997</v>
      </c>
      <c r="AA18" s="190">
        <f t="shared" si="2"/>
        <v>0.67105924568242925</v>
      </c>
      <c r="AB18" s="76">
        <v>206</v>
      </c>
      <c r="AC18" s="77">
        <v>210</v>
      </c>
      <c r="AD18" s="74">
        <v>17214444.16</v>
      </c>
      <c r="AE18" s="74">
        <v>12910833.119999999</v>
      </c>
      <c r="AF18" s="190">
        <f t="shared" si="3"/>
        <v>0.45497345029888409</v>
      </c>
      <c r="AG18" s="77">
        <v>1</v>
      </c>
      <c r="AH18" s="75">
        <v>36049.64</v>
      </c>
      <c r="AI18" s="76">
        <v>231</v>
      </c>
      <c r="AJ18" s="74">
        <v>18916973.02</v>
      </c>
      <c r="AK18" s="74">
        <v>14187729.439999999</v>
      </c>
      <c r="AL18" s="74">
        <v>16663919.240000002</v>
      </c>
      <c r="AM18" s="74">
        <v>12497939.23</v>
      </c>
      <c r="AN18" s="190">
        <f t="shared" si="4"/>
        <v>0.49997086191833806</v>
      </c>
      <c r="AO18" s="76">
        <v>175</v>
      </c>
      <c r="AP18" s="74">
        <v>13103446.140000001</v>
      </c>
      <c r="AQ18" s="74">
        <v>9827584.4499999993</v>
      </c>
      <c r="AR18" s="190">
        <f t="shared" si="5"/>
        <v>0.34632080163089013</v>
      </c>
      <c r="AS18" s="211"/>
      <c r="AT18" s="211"/>
    </row>
    <row r="19" spans="1:46" ht="25.5" x14ac:dyDescent="0.2">
      <c r="A19" s="163" t="s">
        <v>28</v>
      </c>
      <c r="B19" s="172">
        <v>344351362.13440681</v>
      </c>
      <c r="C19" s="73">
        <v>3969</v>
      </c>
      <c r="D19" s="74">
        <v>350290101</v>
      </c>
      <c r="E19" s="89">
        <v>223277213.25</v>
      </c>
      <c r="F19" s="190">
        <f t="shared" si="0"/>
        <v>1.0172461605169292</v>
      </c>
      <c r="G19" s="114">
        <v>3969</v>
      </c>
      <c r="H19" s="113">
        <v>350290101</v>
      </c>
      <c r="I19" s="113">
        <v>223277213.25</v>
      </c>
      <c r="J19" s="190">
        <f t="shared" si="1"/>
        <v>1.0172461605169292</v>
      </c>
      <c r="K19" s="76">
        <v>115</v>
      </c>
      <c r="L19" s="74">
        <v>8908150</v>
      </c>
      <c r="M19" s="75">
        <v>5259175</v>
      </c>
      <c r="N19" s="76">
        <v>3849</v>
      </c>
      <c r="O19" s="74">
        <v>339194650</v>
      </c>
      <c r="P19" s="74">
        <v>216647237.5</v>
      </c>
      <c r="Q19" s="190">
        <f t="shared" si="6"/>
        <v>0.9850248533868321</v>
      </c>
      <c r="R19" s="76">
        <v>2</v>
      </c>
      <c r="S19" s="74">
        <v>319350</v>
      </c>
      <c r="T19" s="75">
        <v>210262.5</v>
      </c>
      <c r="U19" s="76">
        <v>1</v>
      </c>
      <c r="V19" s="74">
        <v>25150</v>
      </c>
      <c r="W19" s="75">
        <v>18862.5</v>
      </c>
      <c r="X19" s="76">
        <v>3847</v>
      </c>
      <c r="Y19" s="74">
        <v>338850150</v>
      </c>
      <c r="Z19" s="74">
        <v>216418112.5</v>
      </c>
      <c r="AA19" s="190">
        <f t="shared" si="2"/>
        <v>0.98402442174089733</v>
      </c>
      <c r="AB19" s="76">
        <v>3865</v>
      </c>
      <c r="AC19" s="77">
        <v>3956</v>
      </c>
      <c r="AD19" s="74">
        <v>317012812.5</v>
      </c>
      <c r="AE19" s="74">
        <v>200028009.375</v>
      </c>
      <c r="AF19" s="190">
        <f t="shared" si="3"/>
        <v>0.92060856253057</v>
      </c>
      <c r="AG19" s="77">
        <v>3</v>
      </c>
      <c r="AH19" s="75">
        <v>160500</v>
      </c>
      <c r="AI19" s="76">
        <v>3852</v>
      </c>
      <c r="AJ19" s="74">
        <v>315769850</v>
      </c>
      <c r="AK19" s="74">
        <v>199107887.5</v>
      </c>
      <c r="AL19" s="74">
        <v>0</v>
      </c>
      <c r="AM19" s="74">
        <v>0</v>
      </c>
      <c r="AN19" s="190">
        <f t="shared" si="4"/>
        <v>0.91699898627596865</v>
      </c>
      <c r="AO19" s="76">
        <v>3848</v>
      </c>
      <c r="AP19" s="74">
        <v>315769850</v>
      </c>
      <c r="AQ19" s="74">
        <v>199107887.5</v>
      </c>
      <c r="AR19" s="190">
        <f t="shared" si="5"/>
        <v>0.91699898627596865</v>
      </c>
      <c r="AS19" s="211"/>
      <c r="AT19" s="211"/>
    </row>
    <row r="20" spans="1:46" outlineLevel="1" x14ac:dyDescent="0.2">
      <c r="A20" s="164" t="s">
        <v>224</v>
      </c>
      <c r="B20" s="173">
        <v>151719857.38415998</v>
      </c>
      <c r="C20" s="216">
        <v>2745</v>
      </c>
      <c r="D20" s="217">
        <v>157761450</v>
      </c>
      <c r="E20" s="218">
        <v>78880725</v>
      </c>
      <c r="F20" s="219">
        <f t="shared" si="0"/>
        <v>1.0398207111448998</v>
      </c>
      <c r="G20" s="220">
        <v>2745</v>
      </c>
      <c r="H20" s="221">
        <v>157761450</v>
      </c>
      <c r="I20" s="221">
        <v>78880725</v>
      </c>
      <c r="J20" s="219">
        <f t="shared" si="1"/>
        <v>1.0398207111448998</v>
      </c>
      <c r="K20" s="222">
        <v>98</v>
      </c>
      <c r="L20" s="217">
        <v>5687750</v>
      </c>
      <c r="M20" s="223">
        <v>2843875</v>
      </c>
      <c r="N20" s="222">
        <v>2646</v>
      </c>
      <c r="O20" s="217">
        <v>150995000</v>
      </c>
      <c r="P20" s="217">
        <v>75497500</v>
      </c>
      <c r="Q20" s="219">
        <f t="shared" si="6"/>
        <v>0.99522239608804386</v>
      </c>
      <c r="R20" s="222">
        <v>1</v>
      </c>
      <c r="S20" s="217">
        <v>117000</v>
      </c>
      <c r="T20" s="223">
        <v>58500</v>
      </c>
      <c r="U20" s="222">
        <v>0</v>
      </c>
      <c r="V20" s="217">
        <v>0</v>
      </c>
      <c r="W20" s="223">
        <v>0</v>
      </c>
      <c r="X20" s="222">
        <v>2645</v>
      </c>
      <c r="Y20" s="217">
        <v>150878000</v>
      </c>
      <c r="Z20" s="217">
        <v>75439000</v>
      </c>
      <c r="AA20" s="219">
        <f t="shared" si="2"/>
        <v>0.99445123796795842</v>
      </c>
      <c r="AB20" s="76">
        <v>2646</v>
      </c>
      <c r="AC20" s="77">
        <v>2648</v>
      </c>
      <c r="AD20" s="74">
        <v>150926400</v>
      </c>
      <c r="AE20" s="74">
        <v>75463200</v>
      </c>
      <c r="AF20" s="219">
        <f t="shared" si="3"/>
        <v>0.99477024696806216</v>
      </c>
      <c r="AG20" s="77">
        <v>3</v>
      </c>
      <c r="AH20" s="75">
        <v>160500</v>
      </c>
      <c r="AI20" s="76">
        <v>2645</v>
      </c>
      <c r="AJ20" s="74">
        <v>150878000</v>
      </c>
      <c r="AK20" s="74">
        <v>75439000</v>
      </c>
      <c r="AL20" s="74">
        <v>0</v>
      </c>
      <c r="AM20" s="74">
        <v>0</v>
      </c>
      <c r="AN20" s="219">
        <f t="shared" si="4"/>
        <v>0.99445123796795842</v>
      </c>
      <c r="AO20" s="76">
        <v>2645</v>
      </c>
      <c r="AP20" s="74">
        <v>150878000</v>
      </c>
      <c r="AQ20" s="74">
        <v>75439000</v>
      </c>
      <c r="AR20" s="219">
        <f t="shared" si="5"/>
        <v>0.99445123796795842</v>
      </c>
      <c r="AS20" s="211"/>
      <c r="AT20" s="211"/>
    </row>
    <row r="21" spans="1:46" ht="25.5" outlineLevel="1" x14ac:dyDescent="0.2">
      <c r="A21" s="164" t="s">
        <v>226</v>
      </c>
      <c r="B21" s="173">
        <v>192631504.75024682</v>
      </c>
      <c r="C21" s="216">
        <v>1224</v>
      </c>
      <c r="D21" s="217">
        <v>192528651</v>
      </c>
      <c r="E21" s="218">
        <v>144396488.25</v>
      </c>
      <c r="F21" s="219">
        <f t="shared" si="0"/>
        <v>0.99946605956081702</v>
      </c>
      <c r="G21" s="220">
        <v>1224</v>
      </c>
      <c r="H21" s="221">
        <v>192528651</v>
      </c>
      <c r="I21" s="221">
        <v>144396488.25</v>
      </c>
      <c r="J21" s="219">
        <f t="shared" si="1"/>
        <v>0.99946605956081702</v>
      </c>
      <c r="K21" s="222">
        <v>17</v>
      </c>
      <c r="L21" s="217">
        <v>3220400</v>
      </c>
      <c r="M21" s="223">
        <v>2415300</v>
      </c>
      <c r="N21" s="222">
        <v>1203</v>
      </c>
      <c r="O21" s="217">
        <v>188199650</v>
      </c>
      <c r="P21" s="217">
        <v>141149737.5</v>
      </c>
      <c r="Q21" s="219">
        <f t="shared" si="6"/>
        <v>0.97699309489383435</v>
      </c>
      <c r="R21" s="222">
        <v>1</v>
      </c>
      <c r="S21" s="217">
        <v>202350</v>
      </c>
      <c r="T21" s="223">
        <v>151762.5</v>
      </c>
      <c r="U21" s="222">
        <v>1</v>
      </c>
      <c r="V21" s="217">
        <v>25150</v>
      </c>
      <c r="W21" s="223">
        <v>18862.5</v>
      </c>
      <c r="X21" s="222">
        <v>1202</v>
      </c>
      <c r="Y21" s="217">
        <v>187972150</v>
      </c>
      <c r="Z21" s="217">
        <v>140979112.5</v>
      </c>
      <c r="AA21" s="219">
        <f t="shared" si="2"/>
        <v>0.97581208350997506</v>
      </c>
      <c r="AB21" s="76">
        <v>1219</v>
      </c>
      <c r="AC21" s="77">
        <v>1308</v>
      </c>
      <c r="AD21" s="74">
        <v>166086412.5</v>
      </c>
      <c r="AE21" s="74">
        <v>124564809.375</v>
      </c>
      <c r="AF21" s="219">
        <f t="shared" si="3"/>
        <v>0.86219755545873233</v>
      </c>
      <c r="AG21" s="77">
        <v>0</v>
      </c>
      <c r="AH21" s="75">
        <v>0</v>
      </c>
      <c r="AI21" s="76">
        <v>1207</v>
      </c>
      <c r="AJ21" s="74">
        <v>164891850</v>
      </c>
      <c r="AK21" s="74">
        <v>123668887.5</v>
      </c>
      <c r="AL21" s="74">
        <v>0</v>
      </c>
      <c r="AM21" s="74">
        <v>0</v>
      </c>
      <c r="AN21" s="219">
        <f t="shared" si="4"/>
        <v>0.85599627233244002</v>
      </c>
      <c r="AO21" s="76">
        <v>1203</v>
      </c>
      <c r="AP21" s="74">
        <v>164891850</v>
      </c>
      <c r="AQ21" s="74">
        <v>123668887.5</v>
      </c>
      <c r="AR21" s="219">
        <f t="shared" si="5"/>
        <v>0.85599627233244002</v>
      </c>
      <c r="AS21" s="211"/>
      <c r="AT21" s="211"/>
    </row>
    <row r="22" spans="1:46" ht="25.5" x14ac:dyDescent="0.2">
      <c r="A22" s="163" t="s">
        <v>29</v>
      </c>
      <c r="B22" s="172">
        <v>105635090.65968001</v>
      </c>
      <c r="C22" s="73">
        <v>501</v>
      </c>
      <c r="D22" s="74">
        <v>129050790.12</v>
      </c>
      <c r="E22" s="89">
        <v>96788092.590000004</v>
      </c>
      <c r="F22" s="190">
        <f t="shared" si="0"/>
        <v>1.2216659191002859</v>
      </c>
      <c r="G22" s="76">
        <v>396</v>
      </c>
      <c r="H22" s="74">
        <v>103566773.41</v>
      </c>
      <c r="I22" s="74">
        <v>77675080.057500005</v>
      </c>
      <c r="J22" s="190">
        <f t="shared" si="1"/>
        <v>0.98042016874540849</v>
      </c>
      <c r="K22" s="76">
        <v>94</v>
      </c>
      <c r="L22" s="74">
        <v>23190762.829999998</v>
      </c>
      <c r="M22" s="75">
        <v>17393072.122499999</v>
      </c>
      <c r="N22" s="76">
        <v>393</v>
      </c>
      <c r="O22" s="74">
        <v>87636698.040000007</v>
      </c>
      <c r="P22" s="74">
        <v>65727523.149999991</v>
      </c>
      <c r="Q22" s="190">
        <f t="shared" si="6"/>
        <v>0.82961729376780069</v>
      </c>
      <c r="R22" s="76">
        <v>11</v>
      </c>
      <c r="S22" s="74">
        <v>2102417.4</v>
      </c>
      <c r="T22" s="75">
        <v>1576813.05</v>
      </c>
      <c r="U22" s="76">
        <v>28</v>
      </c>
      <c r="V22" s="74">
        <v>901294.15999999992</v>
      </c>
      <c r="W22" s="75">
        <v>675970.62</v>
      </c>
      <c r="X22" s="76">
        <v>382</v>
      </c>
      <c r="Y22" s="74">
        <v>84632986.480000019</v>
      </c>
      <c r="Z22" s="74">
        <v>63474739.480000004</v>
      </c>
      <c r="AA22" s="190">
        <f t="shared" si="2"/>
        <v>0.80118250433142946</v>
      </c>
      <c r="AB22" s="76">
        <v>284</v>
      </c>
      <c r="AC22" s="77">
        <v>294</v>
      </c>
      <c r="AD22" s="74">
        <v>58075750.599999994</v>
      </c>
      <c r="AE22" s="74">
        <v>43556812.950000003</v>
      </c>
      <c r="AF22" s="190">
        <f t="shared" si="3"/>
        <v>0.54977706969647167</v>
      </c>
      <c r="AG22" s="77">
        <v>3</v>
      </c>
      <c r="AH22" s="75">
        <v>743286.03</v>
      </c>
      <c r="AI22" s="76">
        <v>332</v>
      </c>
      <c r="AJ22" s="74">
        <v>67242471.459999993</v>
      </c>
      <c r="AK22" s="74">
        <v>50431853.210000001</v>
      </c>
      <c r="AL22" s="74">
        <v>64726200.609999999</v>
      </c>
      <c r="AM22" s="74">
        <v>48544650.189999998</v>
      </c>
      <c r="AN22" s="190">
        <f t="shared" si="4"/>
        <v>0.63655430255304224</v>
      </c>
      <c r="AO22" s="76">
        <v>196</v>
      </c>
      <c r="AP22" s="74">
        <v>38481611.170000002</v>
      </c>
      <c r="AQ22" s="74">
        <v>28861208.129999999</v>
      </c>
      <c r="AR22" s="190">
        <f t="shared" si="5"/>
        <v>0.36428814449522784</v>
      </c>
      <c r="AS22" s="211"/>
      <c r="AT22" s="211"/>
    </row>
    <row r="23" spans="1:46" ht="25.5" collapsed="1" x14ac:dyDescent="0.2">
      <c r="A23" s="163" t="s">
        <v>30</v>
      </c>
      <c r="B23" s="172">
        <v>144040410.24624002</v>
      </c>
      <c r="C23" s="73">
        <v>42</v>
      </c>
      <c r="D23" s="74">
        <v>522491641.90999997</v>
      </c>
      <c r="E23" s="89">
        <v>391868731.4325</v>
      </c>
      <c r="F23" s="190">
        <f t="shared" si="0"/>
        <v>3.6273962356590754</v>
      </c>
      <c r="G23" s="76">
        <v>15</v>
      </c>
      <c r="H23" s="74">
        <v>138025598.5</v>
      </c>
      <c r="I23" s="74">
        <v>103519198.875</v>
      </c>
      <c r="J23" s="190">
        <f t="shared" si="1"/>
        <v>0.95824219234062458</v>
      </c>
      <c r="K23" s="76">
        <v>23</v>
      </c>
      <c r="L23" s="74">
        <v>156363221.55000001</v>
      </c>
      <c r="M23" s="75">
        <v>117272416.16249999</v>
      </c>
      <c r="N23" s="76">
        <v>10</v>
      </c>
      <c r="O23" s="74">
        <v>276994968.18000001</v>
      </c>
      <c r="P23" s="74">
        <v>207746226.09999999</v>
      </c>
      <c r="Q23" s="190">
        <f t="shared" si="6"/>
        <v>1.9230365125069517</v>
      </c>
      <c r="R23" s="76">
        <v>1</v>
      </c>
      <c r="S23" s="74">
        <v>188897941</v>
      </c>
      <c r="T23" s="75">
        <v>141673455.75</v>
      </c>
      <c r="U23" s="76">
        <v>0</v>
      </c>
      <c r="V23" s="74">
        <v>0</v>
      </c>
      <c r="W23" s="75">
        <v>0</v>
      </c>
      <c r="X23" s="76">
        <v>9</v>
      </c>
      <c r="Y23" s="74">
        <v>88097027.179999992</v>
      </c>
      <c r="Z23" s="74">
        <v>66072770.350000009</v>
      </c>
      <c r="AA23" s="190">
        <f t="shared" si="2"/>
        <v>0.61161327595079973</v>
      </c>
      <c r="AB23" s="76">
        <v>4</v>
      </c>
      <c r="AC23" s="116">
        <v>4</v>
      </c>
      <c r="AD23" s="113">
        <v>274119.87</v>
      </c>
      <c r="AE23" s="113">
        <v>205589.9025</v>
      </c>
      <c r="AF23" s="190">
        <f t="shared" si="3"/>
        <v>1.903076154333263E-3</v>
      </c>
      <c r="AG23" s="77">
        <v>1</v>
      </c>
      <c r="AH23" s="75">
        <v>74853.2</v>
      </c>
      <c r="AI23" s="76">
        <v>6</v>
      </c>
      <c r="AJ23" s="74">
        <v>7715127.1900000004</v>
      </c>
      <c r="AK23" s="74">
        <v>5786345.3799999999</v>
      </c>
      <c r="AL23" s="74">
        <v>7549352.3799999999</v>
      </c>
      <c r="AM23" s="74">
        <v>5662014.2800000003</v>
      </c>
      <c r="AN23" s="190">
        <f t="shared" si="4"/>
        <v>5.3562241157261582E-2</v>
      </c>
      <c r="AO23" s="76">
        <v>2</v>
      </c>
      <c r="AP23" s="74">
        <v>177774.81</v>
      </c>
      <c r="AQ23" s="74">
        <v>133331.1</v>
      </c>
      <c r="AR23" s="190">
        <f t="shared" si="5"/>
        <v>1.2342009419168574E-3</v>
      </c>
      <c r="AS23" s="211"/>
      <c r="AT23" s="211"/>
    </row>
    <row r="24" spans="1:46" x14ac:dyDescent="0.2">
      <c r="A24" s="163" t="s">
        <v>31</v>
      </c>
      <c r="B24" s="172">
        <v>41696117.040509969</v>
      </c>
      <c r="C24" s="73">
        <v>23</v>
      </c>
      <c r="D24" s="74">
        <v>102686972.27000001</v>
      </c>
      <c r="E24" s="89">
        <v>77015229.202500001</v>
      </c>
      <c r="F24" s="190">
        <f t="shared" si="0"/>
        <v>2.4627466430563358</v>
      </c>
      <c r="G24" s="76">
        <v>6</v>
      </c>
      <c r="H24" s="74">
        <v>35863817.25</v>
      </c>
      <c r="I24" s="74">
        <v>26897862.9375</v>
      </c>
      <c r="J24" s="190">
        <f t="shared" si="1"/>
        <v>0.86012367087219221</v>
      </c>
      <c r="K24" s="76">
        <v>5</v>
      </c>
      <c r="L24" s="74">
        <v>17906377.990000002</v>
      </c>
      <c r="M24" s="75">
        <v>13429783.4925</v>
      </c>
      <c r="N24" s="76">
        <v>7</v>
      </c>
      <c r="O24" s="74">
        <v>38090811.899999999</v>
      </c>
      <c r="P24" s="74">
        <v>28568108.91</v>
      </c>
      <c r="Q24" s="190">
        <f t="shared" si="6"/>
        <v>0.91353379171956883</v>
      </c>
      <c r="R24" s="76">
        <v>1</v>
      </c>
      <c r="S24" s="74">
        <v>3646826.6</v>
      </c>
      <c r="T24" s="75">
        <v>2735119.95</v>
      </c>
      <c r="U24" s="76">
        <v>1</v>
      </c>
      <c r="V24" s="74">
        <v>12.24</v>
      </c>
      <c r="W24" s="75">
        <v>9.18</v>
      </c>
      <c r="X24" s="76">
        <v>6</v>
      </c>
      <c r="Y24" s="74">
        <v>34443973.060000002</v>
      </c>
      <c r="Z24" s="74">
        <v>25832979.780000001</v>
      </c>
      <c r="AA24" s="190">
        <f t="shared" si="2"/>
        <v>0.82607147870713893</v>
      </c>
      <c r="AB24" s="76">
        <v>1</v>
      </c>
      <c r="AC24" s="77">
        <v>2</v>
      </c>
      <c r="AD24" s="74">
        <v>2403115.2799999998</v>
      </c>
      <c r="AE24" s="74">
        <v>1802336.46</v>
      </c>
      <c r="AF24" s="190">
        <f t="shared" si="3"/>
        <v>5.7634030470157374E-2</v>
      </c>
      <c r="AG24" s="77">
        <v>0</v>
      </c>
      <c r="AH24" s="75">
        <v>0</v>
      </c>
      <c r="AI24" s="76">
        <v>7</v>
      </c>
      <c r="AJ24" s="74">
        <v>16181806.060000001</v>
      </c>
      <c r="AK24" s="74">
        <v>12136354.539999999</v>
      </c>
      <c r="AL24" s="74">
        <v>16181798.140000001</v>
      </c>
      <c r="AM24" s="74">
        <v>12136348.600000001</v>
      </c>
      <c r="AN24" s="190">
        <f t="shared" si="4"/>
        <v>0.38808904062405919</v>
      </c>
      <c r="AO24" s="76">
        <v>1</v>
      </c>
      <c r="AP24" s="74">
        <v>1094304.76</v>
      </c>
      <c r="AQ24" s="74">
        <v>820728.57</v>
      </c>
      <c r="AR24" s="190">
        <f t="shared" si="5"/>
        <v>2.6244764205185473E-2</v>
      </c>
      <c r="AS24" s="211"/>
      <c r="AT24" s="211"/>
    </row>
    <row r="25" spans="1:46" x14ac:dyDescent="0.2">
      <c r="A25" s="163" t="s">
        <v>32</v>
      </c>
      <c r="B25" s="172">
        <v>9172000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1"/>
      <c r="AT25" s="211"/>
    </row>
    <row r="26" spans="1:46" x14ac:dyDescent="0.2">
      <c r="A26" s="163" t="s">
        <v>33</v>
      </c>
      <c r="B26" s="172">
        <v>10777100</v>
      </c>
      <c r="C26" s="73">
        <v>95</v>
      </c>
      <c r="D26" s="74">
        <v>18435485.5</v>
      </c>
      <c r="E26" s="89">
        <v>13826614.125</v>
      </c>
      <c r="F26" s="190">
        <f t="shared" si="0"/>
        <v>1.7106165387720258</v>
      </c>
      <c r="G26" s="76">
        <v>52</v>
      </c>
      <c r="H26" s="74">
        <v>9663119.0399999991</v>
      </c>
      <c r="I26" s="74">
        <v>7247339.2799999993</v>
      </c>
      <c r="J26" s="190">
        <f t="shared" si="1"/>
        <v>0.89663444154735494</v>
      </c>
      <c r="K26" s="76">
        <v>7</v>
      </c>
      <c r="L26" s="74">
        <v>1161409.92</v>
      </c>
      <c r="M26" s="75">
        <v>871057.44000000006</v>
      </c>
      <c r="N26" s="76">
        <v>23</v>
      </c>
      <c r="O26" s="74">
        <v>4868278.72</v>
      </c>
      <c r="P26" s="74">
        <v>3651209.04</v>
      </c>
      <c r="Q26" s="190">
        <f t="shared" si="6"/>
        <v>0.45172437112024566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23</v>
      </c>
      <c r="Y26" s="74">
        <v>4868278.72</v>
      </c>
      <c r="Z26" s="74">
        <v>3651209.04</v>
      </c>
      <c r="AA26" s="190">
        <f t="shared" si="2"/>
        <v>0.45172437112024566</v>
      </c>
      <c r="AB26" s="76">
        <v>0</v>
      </c>
      <c r="AC26" s="77">
        <v>0</v>
      </c>
      <c r="AD26" s="74">
        <v>0</v>
      </c>
      <c r="AE26" s="74">
        <v>0</v>
      </c>
      <c r="AF26" s="190">
        <f t="shared" si="3"/>
        <v>0</v>
      </c>
      <c r="AG26" s="77">
        <v>0</v>
      </c>
      <c r="AH26" s="75">
        <v>0</v>
      </c>
      <c r="AI26" s="76">
        <v>13</v>
      </c>
      <c r="AJ26" s="74">
        <v>1901054</v>
      </c>
      <c r="AK26" s="74">
        <v>1425790.5</v>
      </c>
      <c r="AL26" s="74">
        <v>1901054</v>
      </c>
      <c r="AM26" s="74">
        <v>1425790.5</v>
      </c>
      <c r="AN26" s="190">
        <f t="shared" si="4"/>
        <v>0.17639754664984086</v>
      </c>
      <c r="AO26" s="76">
        <v>0</v>
      </c>
      <c r="AP26" s="74">
        <v>0</v>
      </c>
      <c r="AQ26" s="74">
        <v>0</v>
      </c>
      <c r="AR26" s="190">
        <f t="shared" si="5"/>
        <v>0</v>
      </c>
      <c r="AS26" s="211"/>
      <c r="AT26" s="211"/>
    </row>
    <row r="27" spans="1:46" ht="13.5" thickBot="1" x14ac:dyDescent="0.25">
      <c r="A27" s="165" t="s">
        <v>34</v>
      </c>
      <c r="B27" s="174">
        <v>6873414.769668974</v>
      </c>
      <c r="C27" s="99">
        <v>19</v>
      </c>
      <c r="D27" s="95">
        <v>9139893.2599999998</v>
      </c>
      <c r="E27" s="96">
        <v>6854919.9450000003</v>
      </c>
      <c r="F27" s="190">
        <f t="shared" si="0"/>
        <v>1.3297456309973537</v>
      </c>
      <c r="G27" s="97">
        <v>10</v>
      </c>
      <c r="H27" s="95">
        <v>4288122.76</v>
      </c>
      <c r="I27" s="95">
        <v>3216092.07</v>
      </c>
      <c r="J27" s="190">
        <f t="shared" si="1"/>
        <v>0.62387079838723558</v>
      </c>
      <c r="K27" s="97">
        <v>5</v>
      </c>
      <c r="L27" s="95">
        <v>2711208.5</v>
      </c>
      <c r="M27" s="100">
        <v>2033406.375</v>
      </c>
      <c r="N27" s="97">
        <v>10</v>
      </c>
      <c r="O27" s="95">
        <v>4040027.96</v>
      </c>
      <c r="P27" s="95">
        <v>3030020.95</v>
      </c>
      <c r="Q27" s="190">
        <f t="shared" si="6"/>
        <v>0.58777595931324378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10</v>
      </c>
      <c r="Y27" s="95">
        <v>4040027.96</v>
      </c>
      <c r="Z27" s="95">
        <v>3030020.95</v>
      </c>
      <c r="AA27" s="190">
        <f t="shared" si="2"/>
        <v>0.58777595931324378</v>
      </c>
      <c r="AB27" s="97">
        <v>3</v>
      </c>
      <c r="AC27" s="98">
        <v>3</v>
      </c>
      <c r="AD27" s="95">
        <v>1150166.78</v>
      </c>
      <c r="AE27" s="95">
        <v>862625.08499999996</v>
      </c>
      <c r="AF27" s="190">
        <f t="shared" si="3"/>
        <v>0.16733557024311402</v>
      </c>
      <c r="AG27" s="98">
        <v>0</v>
      </c>
      <c r="AH27" s="100">
        <v>0</v>
      </c>
      <c r="AI27" s="97">
        <v>5</v>
      </c>
      <c r="AJ27" s="95">
        <v>1338819.96</v>
      </c>
      <c r="AK27" s="95">
        <v>1004114.96</v>
      </c>
      <c r="AL27" s="95">
        <v>1298819.96</v>
      </c>
      <c r="AM27" s="95">
        <v>974114.96</v>
      </c>
      <c r="AN27" s="190">
        <f t="shared" si="4"/>
        <v>0.19478236144106256</v>
      </c>
      <c r="AO27" s="97">
        <v>2</v>
      </c>
      <c r="AP27" s="95">
        <v>1052082.95</v>
      </c>
      <c r="AQ27" s="95">
        <v>789062.21</v>
      </c>
      <c r="AR27" s="190">
        <f t="shared" si="5"/>
        <v>0.1530655409655525</v>
      </c>
      <c r="AS27" s="211"/>
      <c r="AT27" s="211"/>
    </row>
    <row r="28" spans="1:46" s="80" customFormat="1" ht="59.25" customHeight="1" thickBot="1" x14ac:dyDescent="0.25">
      <c r="A28" s="161" t="s">
        <v>181</v>
      </c>
      <c r="B28" s="132">
        <f>SUM(B29+B30+B31+B35+B36+B37+B38+B39)</f>
        <v>948899563.72973859</v>
      </c>
      <c r="C28" s="142">
        <v>2805</v>
      </c>
      <c r="D28" s="143">
        <v>1305502612.8199999</v>
      </c>
      <c r="E28" s="143">
        <v>979126959.61499989</v>
      </c>
      <c r="F28" s="191">
        <f t="shared" si="0"/>
        <v>1.3758069480911126</v>
      </c>
      <c r="G28" s="142">
        <v>2238</v>
      </c>
      <c r="H28" s="143">
        <v>778103192.32000017</v>
      </c>
      <c r="I28" s="143">
        <v>583577394.24000013</v>
      </c>
      <c r="J28" s="191">
        <f t="shared" si="1"/>
        <v>0.82000584894526951</v>
      </c>
      <c r="K28" s="142">
        <v>523</v>
      </c>
      <c r="L28" s="143">
        <v>460742278.37</v>
      </c>
      <c r="M28" s="143">
        <v>345556708.77749997</v>
      </c>
      <c r="N28" s="142">
        <v>2241</v>
      </c>
      <c r="O28" s="143">
        <v>695490217.26999998</v>
      </c>
      <c r="P28" s="143">
        <v>521617657.27999997</v>
      </c>
      <c r="Q28" s="191">
        <f t="shared" ref="Q28" si="7">O28/B28</f>
        <v>0.73294397410860912</v>
      </c>
      <c r="R28" s="142">
        <v>27</v>
      </c>
      <c r="S28" s="143">
        <v>12587814.349999998</v>
      </c>
      <c r="T28" s="143">
        <v>9440860.6999999993</v>
      </c>
      <c r="U28" s="142">
        <v>69</v>
      </c>
      <c r="V28" s="143">
        <v>1740789.65</v>
      </c>
      <c r="W28" s="143">
        <v>1305592.2374999998</v>
      </c>
      <c r="X28" s="142">
        <v>2214</v>
      </c>
      <c r="Y28" s="143">
        <v>681161613.26999998</v>
      </c>
      <c r="Z28" s="143">
        <v>510871204.34250009</v>
      </c>
      <c r="AA28" s="191">
        <f t="shared" si="2"/>
        <v>0.71784374164177134</v>
      </c>
      <c r="AB28" s="142">
        <v>415</v>
      </c>
      <c r="AC28" s="142">
        <v>500</v>
      </c>
      <c r="AD28" s="143">
        <v>174071629.99000001</v>
      </c>
      <c r="AE28" s="143">
        <v>130553722.49249999</v>
      </c>
      <c r="AF28" s="191">
        <f t="shared" si="3"/>
        <v>0.18344578988506979</v>
      </c>
      <c r="AG28" s="142">
        <v>16</v>
      </c>
      <c r="AH28" s="143">
        <v>5350561.7700000005</v>
      </c>
      <c r="AI28" s="142">
        <v>2080</v>
      </c>
      <c r="AJ28" s="143">
        <v>495595142</v>
      </c>
      <c r="AK28" s="143">
        <v>371696348.2700001</v>
      </c>
      <c r="AL28" s="143">
        <v>159930456.38000003</v>
      </c>
      <c r="AM28" s="143">
        <v>119947841.73</v>
      </c>
      <c r="AN28" s="191">
        <f t="shared" si="4"/>
        <v>0.52228408668670567</v>
      </c>
      <c r="AO28" s="142">
        <v>1926</v>
      </c>
      <c r="AP28" s="143">
        <v>382591286.58000004</v>
      </c>
      <c r="AQ28" s="143">
        <v>286943506.5</v>
      </c>
      <c r="AR28" s="191">
        <f t="shared" si="5"/>
        <v>0.40319471227933668</v>
      </c>
      <c r="AS28" s="211"/>
      <c r="AT28" s="211"/>
    </row>
    <row r="29" spans="1:46" s="79" customFormat="1" x14ac:dyDescent="0.2">
      <c r="A29" s="166" t="s">
        <v>36</v>
      </c>
      <c r="B29" s="171">
        <v>91912020.21437335</v>
      </c>
      <c r="C29" s="205">
        <v>22</v>
      </c>
      <c r="D29" s="151">
        <v>142472057.74000001</v>
      </c>
      <c r="E29" s="151">
        <v>106854043.30499998</v>
      </c>
      <c r="F29" s="190">
        <f t="shared" si="0"/>
        <v>1.5500916790611463</v>
      </c>
      <c r="G29" s="146">
        <v>10</v>
      </c>
      <c r="H29" s="145">
        <v>55123483.359999999</v>
      </c>
      <c r="I29" s="145">
        <v>41342612.519999996</v>
      </c>
      <c r="J29" s="190">
        <f t="shared" si="1"/>
        <v>0.59974183171506112</v>
      </c>
      <c r="K29" s="146">
        <v>9</v>
      </c>
      <c r="L29" s="145">
        <v>67299785.640000001</v>
      </c>
      <c r="M29" s="147">
        <v>50474839.229999997</v>
      </c>
      <c r="N29" s="146">
        <v>7</v>
      </c>
      <c r="O29" s="145">
        <v>38038198.859999999</v>
      </c>
      <c r="P29" s="145">
        <v>28528649.109999999</v>
      </c>
      <c r="Q29" s="190">
        <f t="shared" ref="Q29:Q60" si="8">O29/$B29</f>
        <v>0.41385445310940433</v>
      </c>
      <c r="R29" s="146">
        <v>0</v>
      </c>
      <c r="S29" s="145">
        <v>0</v>
      </c>
      <c r="T29" s="147">
        <v>0</v>
      </c>
      <c r="U29" s="146">
        <v>2</v>
      </c>
      <c r="V29" s="145">
        <v>2505.9499999999998</v>
      </c>
      <c r="W29" s="147">
        <v>1879.4624999999999</v>
      </c>
      <c r="X29" s="146">
        <v>7</v>
      </c>
      <c r="Y29" s="145">
        <v>38035692.910000004</v>
      </c>
      <c r="Z29" s="145">
        <v>28526769.647500001</v>
      </c>
      <c r="AA29" s="190">
        <f t="shared" si="2"/>
        <v>0.4138271884491983</v>
      </c>
      <c r="AB29" s="146">
        <v>3</v>
      </c>
      <c r="AC29" s="148">
        <v>5</v>
      </c>
      <c r="AD29" s="145">
        <v>9865160</v>
      </c>
      <c r="AE29" s="145">
        <v>7398870</v>
      </c>
      <c r="AF29" s="190">
        <f t="shared" si="3"/>
        <v>0.10733264242251168</v>
      </c>
      <c r="AG29" s="148">
        <v>0</v>
      </c>
      <c r="AH29" s="147">
        <v>0</v>
      </c>
      <c r="AI29" s="146">
        <v>7</v>
      </c>
      <c r="AJ29" s="145">
        <v>18985063.419999998</v>
      </c>
      <c r="AK29" s="145">
        <v>14238797.49</v>
      </c>
      <c r="AL29" s="145">
        <v>18760303.219999999</v>
      </c>
      <c r="AM29" s="145">
        <v>14070227.350000001</v>
      </c>
      <c r="AN29" s="190">
        <f t="shared" si="4"/>
        <v>0.20655691579534102</v>
      </c>
      <c r="AO29" s="146">
        <v>2</v>
      </c>
      <c r="AP29" s="145">
        <v>3725425.4</v>
      </c>
      <c r="AQ29" s="145">
        <v>2794069.02</v>
      </c>
      <c r="AR29" s="190">
        <f t="shared" si="5"/>
        <v>4.0532515674347153E-2</v>
      </c>
      <c r="AS29" s="211"/>
      <c r="AT29" s="211"/>
    </row>
    <row r="30" spans="1:46" s="72" customFormat="1" x14ac:dyDescent="0.25">
      <c r="A30" s="163" t="s">
        <v>37</v>
      </c>
      <c r="B30" s="172">
        <v>18335361.832400002</v>
      </c>
      <c r="C30" s="73">
        <v>34</v>
      </c>
      <c r="D30" s="95">
        <v>17356707.68</v>
      </c>
      <c r="E30" s="95">
        <v>13017530.76</v>
      </c>
      <c r="F30" s="190">
        <f t="shared" si="0"/>
        <v>0.94662477013839763</v>
      </c>
      <c r="G30" s="76">
        <v>12</v>
      </c>
      <c r="H30" s="95">
        <v>8876041.6500000004</v>
      </c>
      <c r="I30" s="95">
        <v>6657031.2375000007</v>
      </c>
      <c r="J30" s="190">
        <f t="shared" si="1"/>
        <v>0.48409416356951018</v>
      </c>
      <c r="K30" s="76">
        <v>22</v>
      </c>
      <c r="L30" s="95">
        <v>8480666.0299999993</v>
      </c>
      <c r="M30" s="75">
        <v>6360499.522499999</v>
      </c>
      <c r="N30" s="76">
        <v>12</v>
      </c>
      <c r="O30" s="95">
        <v>8485207.120000001</v>
      </c>
      <c r="P30" s="95">
        <v>6363905.3300000001</v>
      </c>
      <c r="Q30" s="190">
        <f t="shared" si="8"/>
        <v>0.46277827498369756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8485207.120000001</v>
      </c>
      <c r="Z30" s="95">
        <v>6363905.3300000001</v>
      </c>
      <c r="AA30" s="190">
        <f t="shared" si="2"/>
        <v>0.46277827498369756</v>
      </c>
      <c r="AB30" s="76">
        <v>8</v>
      </c>
      <c r="AC30" s="98">
        <v>9</v>
      </c>
      <c r="AD30" s="95">
        <v>2567507.58</v>
      </c>
      <c r="AE30" s="95">
        <v>1925630.6850000001</v>
      </c>
      <c r="AF30" s="190">
        <f t="shared" si="3"/>
        <v>0.14003037428271614</v>
      </c>
      <c r="AG30" s="98">
        <v>0</v>
      </c>
      <c r="AH30" s="75">
        <v>0</v>
      </c>
      <c r="AI30" s="76">
        <v>10</v>
      </c>
      <c r="AJ30" s="95">
        <v>2258519.61</v>
      </c>
      <c r="AK30" s="95">
        <v>1693889.67</v>
      </c>
      <c r="AL30" s="95">
        <v>1842485.3</v>
      </c>
      <c r="AM30" s="95">
        <v>1381863.95</v>
      </c>
      <c r="AN30" s="190">
        <f t="shared" si="4"/>
        <v>0.12317834960906095</v>
      </c>
      <c r="AO30" s="76">
        <v>4</v>
      </c>
      <c r="AP30" s="95">
        <v>481284.31</v>
      </c>
      <c r="AQ30" s="95">
        <v>360963.22</v>
      </c>
      <c r="AR30" s="190">
        <f t="shared" si="5"/>
        <v>2.6248967126982648E-2</v>
      </c>
      <c r="AS30" s="211"/>
      <c r="AT30" s="211"/>
    </row>
    <row r="31" spans="1:46" s="72" customFormat="1" ht="39" customHeight="1" x14ac:dyDescent="0.25">
      <c r="A31" s="163" t="s">
        <v>38</v>
      </c>
      <c r="B31" s="172">
        <v>545665824.65803194</v>
      </c>
      <c r="C31" s="76">
        <v>1004</v>
      </c>
      <c r="D31" s="101">
        <v>847358253.61000001</v>
      </c>
      <c r="E31" s="101">
        <v>635518690.20749998</v>
      </c>
      <c r="F31" s="190">
        <f t="shared" si="0"/>
        <v>1.5528886276523517</v>
      </c>
      <c r="G31" s="76">
        <v>586</v>
      </c>
      <c r="H31" s="101">
        <v>429280611.41000003</v>
      </c>
      <c r="I31" s="101">
        <v>321960458.5575</v>
      </c>
      <c r="J31" s="190">
        <f t="shared" si="1"/>
        <v>0.78670972601047473</v>
      </c>
      <c r="K31" s="76">
        <v>384</v>
      </c>
      <c r="L31" s="101">
        <v>371748983.02999997</v>
      </c>
      <c r="M31" s="101">
        <v>278811737.27249998</v>
      </c>
      <c r="N31" s="97">
        <v>591</v>
      </c>
      <c r="O31" s="101">
        <v>373824261.25999999</v>
      </c>
      <c r="P31" s="101">
        <v>280368194.60000002</v>
      </c>
      <c r="Q31" s="190">
        <f t="shared" si="8"/>
        <v>0.68507911686474987</v>
      </c>
      <c r="R31" s="76">
        <v>20</v>
      </c>
      <c r="S31" s="101">
        <v>11831551.829999998</v>
      </c>
      <c r="T31" s="75">
        <v>8873663.8300000001</v>
      </c>
      <c r="U31" s="97">
        <v>64</v>
      </c>
      <c r="V31" s="101">
        <v>1734271.5999999999</v>
      </c>
      <c r="W31" s="101">
        <v>1300703.7</v>
      </c>
      <c r="X31" s="97">
        <v>571</v>
      </c>
      <c r="Y31" s="101">
        <v>360258437.82999998</v>
      </c>
      <c r="Z31" s="101">
        <v>270193827.07000005</v>
      </c>
      <c r="AA31" s="190">
        <f t="shared" si="2"/>
        <v>0.66021807038359692</v>
      </c>
      <c r="AB31" s="97">
        <v>396</v>
      </c>
      <c r="AC31" s="98">
        <v>474</v>
      </c>
      <c r="AD31" s="101">
        <v>158255801.28999999</v>
      </c>
      <c r="AE31" s="101">
        <v>118691850.96749999</v>
      </c>
      <c r="AF31" s="190">
        <f t="shared" si="3"/>
        <v>0.29002329656466702</v>
      </c>
      <c r="AG31" s="97">
        <v>16</v>
      </c>
      <c r="AH31" s="75">
        <v>5350561.7700000005</v>
      </c>
      <c r="AI31" s="97">
        <v>439</v>
      </c>
      <c r="AJ31" s="101">
        <v>204463734.74000001</v>
      </c>
      <c r="AK31" s="101">
        <v>153347799.91</v>
      </c>
      <c r="AL31" s="101">
        <v>136482034.75</v>
      </c>
      <c r="AM31" s="101">
        <v>102361525.64</v>
      </c>
      <c r="AN31" s="190">
        <f t="shared" si="4"/>
        <v>0.37470504015555156</v>
      </c>
      <c r="AO31" s="97">
        <v>301</v>
      </c>
      <c r="AP31" s="101">
        <v>110385241.54000001</v>
      </c>
      <c r="AQ31" s="101">
        <v>82788979.719999999</v>
      </c>
      <c r="AR31" s="190">
        <f t="shared" si="5"/>
        <v>0.20229458498556016</v>
      </c>
      <c r="AS31" s="211"/>
      <c r="AT31" s="211"/>
    </row>
    <row r="32" spans="1:46" s="131" customFormat="1" ht="35.25" customHeight="1" outlineLevel="1" x14ac:dyDescent="0.25">
      <c r="A32" s="164" t="s">
        <v>39</v>
      </c>
      <c r="B32" s="173">
        <v>315574633.61666346</v>
      </c>
      <c r="C32" s="73">
        <v>709</v>
      </c>
      <c r="D32" s="74">
        <v>487920272.21000004</v>
      </c>
      <c r="E32" s="74">
        <v>365940204.15750003</v>
      </c>
      <c r="F32" s="190">
        <f t="shared" si="0"/>
        <v>1.5461327376606866</v>
      </c>
      <c r="G32" s="76">
        <v>420</v>
      </c>
      <c r="H32" s="74">
        <v>260517012.93000001</v>
      </c>
      <c r="I32" s="74">
        <v>195387759.69749999</v>
      </c>
      <c r="J32" s="190">
        <f t="shared" si="1"/>
        <v>0.82553217267284118</v>
      </c>
      <c r="K32" s="76">
        <v>275</v>
      </c>
      <c r="L32" s="74">
        <v>220417651.25999999</v>
      </c>
      <c r="M32" s="75">
        <v>165313238.44499999</v>
      </c>
      <c r="N32" s="76">
        <v>429</v>
      </c>
      <c r="O32" s="74">
        <v>241893871.12</v>
      </c>
      <c r="P32" s="74">
        <v>181420402.24000001</v>
      </c>
      <c r="Q32" s="190">
        <f t="shared" si="8"/>
        <v>0.7665187418512055</v>
      </c>
      <c r="R32" s="76">
        <v>14</v>
      </c>
      <c r="S32" s="74">
        <v>5784260.5399999991</v>
      </c>
      <c r="T32" s="75">
        <v>4338195.37</v>
      </c>
      <c r="U32" s="76">
        <v>57</v>
      </c>
      <c r="V32" s="74">
        <v>1420744.18</v>
      </c>
      <c r="W32" s="75">
        <v>1065558.135</v>
      </c>
      <c r="X32" s="76">
        <v>415</v>
      </c>
      <c r="Y32" s="74">
        <v>234688866.39999998</v>
      </c>
      <c r="Z32" s="74">
        <v>176016648.73500001</v>
      </c>
      <c r="AA32" s="190">
        <f t="shared" si="2"/>
        <v>0.74368736076893471</v>
      </c>
      <c r="AB32" s="76">
        <v>324</v>
      </c>
      <c r="AC32" s="77">
        <v>396</v>
      </c>
      <c r="AD32" s="74">
        <v>139812363.00999999</v>
      </c>
      <c r="AE32" s="74">
        <v>104859272.25750001</v>
      </c>
      <c r="AF32" s="190">
        <f t="shared" si="3"/>
        <v>0.44304056193513203</v>
      </c>
      <c r="AG32" s="77">
        <v>15</v>
      </c>
      <c r="AH32" s="75">
        <v>5313561.7700000005</v>
      </c>
      <c r="AI32" s="76">
        <v>346</v>
      </c>
      <c r="AJ32" s="74">
        <v>157345461.67000002</v>
      </c>
      <c r="AK32" s="74">
        <v>118009095.24000001</v>
      </c>
      <c r="AL32" s="74">
        <v>95537998.030000016</v>
      </c>
      <c r="AM32" s="74">
        <v>71653498.170000002</v>
      </c>
      <c r="AN32" s="190">
        <f t="shared" si="4"/>
        <v>0.49859983949512099</v>
      </c>
      <c r="AO32" s="76">
        <v>252</v>
      </c>
      <c r="AP32" s="74">
        <v>97587865.260000005</v>
      </c>
      <c r="AQ32" s="74">
        <v>73190947.579999998</v>
      </c>
      <c r="AR32" s="190">
        <f t="shared" si="5"/>
        <v>0.30923862333796598</v>
      </c>
      <c r="AS32" s="211"/>
      <c r="AT32" s="211"/>
    </row>
    <row r="33" spans="1:46" s="131" customFormat="1" outlineLevel="1" x14ac:dyDescent="0.25">
      <c r="A33" s="164" t="s">
        <v>40</v>
      </c>
      <c r="B33" s="173">
        <v>47832360.874082848</v>
      </c>
      <c r="C33" s="73">
        <v>179</v>
      </c>
      <c r="D33" s="74">
        <v>46521497.069999993</v>
      </c>
      <c r="E33" s="74">
        <v>34891122.802499995</v>
      </c>
      <c r="F33" s="190">
        <f t="shared" si="0"/>
        <v>0.97259462464055113</v>
      </c>
      <c r="G33" s="76">
        <v>118</v>
      </c>
      <c r="H33" s="74">
        <v>28420378.359999999</v>
      </c>
      <c r="I33" s="74">
        <v>21315283.77</v>
      </c>
      <c r="J33" s="190">
        <f t="shared" si="1"/>
        <v>0.59416633092428228</v>
      </c>
      <c r="K33" s="76">
        <v>60</v>
      </c>
      <c r="L33" s="74">
        <v>18050868.699999999</v>
      </c>
      <c r="M33" s="75">
        <v>13538151.525</v>
      </c>
      <c r="N33" s="76">
        <v>115</v>
      </c>
      <c r="O33" s="74">
        <v>20839585.369999997</v>
      </c>
      <c r="P33" s="74">
        <v>15629688.879999999</v>
      </c>
      <c r="Q33" s="190">
        <f t="shared" si="8"/>
        <v>0.43567963172170271</v>
      </c>
      <c r="R33" s="76">
        <v>1</v>
      </c>
      <c r="S33" s="74">
        <v>50250</v>
      </c>
      <c r="T33" s="75">
        <v>37687.5</v>
      </c>
      <c r="U33" s="76">
        <v>4</v>
      </c>
      <c r="V33" s="74">
        <v>21376.42</v>
      </c>
      <c r="W33" s="75">
        <v>16032.315000000001</v>
      </c>
      <c r="X33" s="76">
        <v>114</v>
      </c>
      <c r="Y33" s="74">
        <v>20767958.949999999</v>
      </c>
      <c r="Z33" s="74">
        <v>15575969.065000001</v>
      </c>
      <c r="AA33" s="190">
        <f t="shared" si="2"/>
        <v>0.43418218483237703</v>
      </c>
      <c r="AB33" s="76">
        <v>46</v>
      </c>
      <c r="AC33" s="77">
        <v>47</v>
      </c>
      <c r="AD33" s="74">
        <v>6379024.9399999995</v>
      </c>
      <c r="AE33" s="74">
        <v>4784268.7050000001</v>
      </c>
      <c r="AF33" s="190">
        <f t="shared" si="3"/>
        <v>0.13336211768414646</v>
      </c>
      <c r="AG33" s="77">
        <v>0</v>
      </c>
      <c r="AH33" s="75">
        <v>0</v>
      </c>
      <c r="AI33" s="76">
        <v>57</v>
      </c>
      <c r="AJ33" s="74">
        <v>8760858.3399999999</v>
      </c>
      <c r="AK33" s="74">
        <v>6570643.6999999993</v>
      </c>
      <c r="AL33" s="74">
        <v>6909519.1399999997</v>
      </c>
      <c r="AM33" s="74">
        <v>5182139.32</v>
      </c>
      <c r="AN33" s="190">
        <f t="shared" si="4"/>
        <v>0.18315755651414903</v>
      </c>
      <c r="AO33" s="76">
        <v>35</v>
      </c>
      <c r="AP33" s="74">
        <v>5307324.95</v>
      </c>
      <c r="AQ33" s="74">
        <v>3980493.69</v>
      </c>
      <c r="AR33" s="190">
        <f t="shared" si="5"/>
        <v>0.11095678434044605</v>
      </c>
      <c r="AS33" s="211"/>
      <c r="AT33" s="211"/>
    </row>
    <row r="34" spans="1:46" s="131" customFormat="1" outlineLevel="1" x14ac:dyDescent="0.25">
      <c r="A34" s="164" t="s">
        <v>41</v>
      </c>
      <c r="B34" s="173">
        <v>182258830.16728562</v>
      </c>
      <c r="C34" s="73">
        <v>116</v>
      </c>
      <c r="D34" s="74">
        <v>312916484.32999998</v>
      </c>
      <c r="E34" s="74">
        <v>234687363.2475</v>
      </c>
      <c r="F34" s="190">
        <f t="shared" si="0"/>
        <v>1.7168796927029033</v>
      </c>
      <c r="G34" s="76">
        <v>48</v>
      </c>
      <c r="H34" s="74">
        <v>140343220.12</v>
      </c>
      <c r="I34" s="74">
        <v>105257415.09</v>
      </c>
      <c r="J34" s="190">
        <f t="shared" si="1"/>
        <v>0.77002151276394393</v>
      </c>
      <c r="K34" s="76">
        <v>49</v>
      </c>
      <c r="L34" s="74">
        <v>133280463.06999999</v>
      </c>
      <c r="M34" s="75">
        <v>99960347.302499995</v>
      </c>
      <c r="N34" s="76">
        <v>47</v>
      </c>
      <c r="O34" s="74">
        <v>111090804.77000001</v>
      </c>
      <c r="P34" s="74">
        <v>83318103.479999989</v>
      </c>
      <c r="Q34" s="190">
        <f t="shared" si="8"/>
        <v>0.60952220898178544</v>
      </c>
      <c r="R34" s="76">
        <v>5</v>
      </c>
      <c r="S34" s="74">
        <v>5997041.29</v>
      </c>
      <c r="T34" s="75">
        <v>4497780.96</v>
      </c>
      <c r="U34" s="76">
        <v>3</v>
      </c>
      <c r="V34" s="74">
        <v>292151</v>
      </c>
      <c r="W34" s="75">
        <v>219113.25</v>
      </c>
      <c r="X34" s="76">
        <v>42</v>
      </c>
      <c r="Y34" s="74">
        <v>104801612.48</v>
      </c>
      <c r="Z34" s="74">
        <v>78601209.270000011</v>
      </c>
      <c r="AA34" s="190">
        <f t="shared" si="2"/>
        <v>0.57501528120096135</v>
      </c>
      <c r="AB34" s="76">
        <v>26</v>
      </c>
      <c r="AC34" s="77">
        <v>31</v>
      </c>
      <c r="AD34" s="74">
        <v>12064413.34</v>
      </c>
      <c r="AE34" s="74">
        <v>9048310.004999999</v>
      </c>
      <c r="AF34" s="190">
        <f t="shared" si="3"/>
        <v>6.6193848215346934E-2</v>
      </c>
      <c r="AG34" s="77">
        <v>1</v>
      </c>
      <c r="AH34" s="75">
        <v>37000</v>
      </c>
      <c r="AI34" s="76">
        <v>36</v>
      </c>
      <c r="AJ34" s="74">
        <v>38357414.730000004</v>
      </c>
      <c r="AK34" s="74">
        <v>28768060.970000003</v>
      </c>
      <c r="AL34" s="74">
        <v>34034517.579999998</v>
      </c>
      <c r="AM34" s="74">
        <v>25525888.149999999</v>
      </c>
      <c r="AN34" s="190">
        <f t="shared" si="4"/>
        <v>0.21045572768569723</v>
      </c>
      <c r="AO34" s="76">
        <v>14</v>
      </c>
      <c r="AP34" s="74">
        <v>7490051.3300000001</v>
      </c>
      <c r="AQ34" s="74">
        <v>5617538.4500000002</v>
      </c>
      <c r="AR34" s="190">
        <f t="shared" si="5"/>
        <v>4.1095684215273869E-2</v>
      </c>
      <c r="AS34" s="211"/>
      <c r="AT34" s="211"/>
    </row>
    <row r="35" spans="1:46" s="72" customFormat="1" x14ac:dyDescent="0.25">
      <c r="A35" s="163" t="s">
        <v>42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1"/>
      <c r="AT35" s="211"/>
    </row>
    <row r="36" spans="1:46" x14ac:dyDescent="0.2">
      <c r="A36" s="163" t="s">
        <v>43</v>
      </c>
      <c r="B36" s="172">
        <v>220254802.48141336</v>
      </c>
      <c r="C36" s="73">
        <v>967</v>
      </c>
      <c r="D36" s="74">
        <v>221662935.52000001</v>
      </c>
      <c r="E36" s="74">
        <v>166247201.63999999</v>
      </c>
      <c r="F36" s="190">
        <f t="shared" si="0"/>
        <v>1.0063932001605527</v>
      </c>
      <c r="G36" s="76">
        <v>906</v>
      </c>
      <c r="H36" s="74">
        <v>216441156.27000007</v>
      </c>
      <c r="I36" s="74">
        <v>162330867.20250005</v>
      </c>
      <c r="J36" s="190">
        <f t="shared" si="1"/>
        <v>0.98268529826161177</v>
      </c>
      <c r="K36" s="76">
        <v>55</v>
      </c>
      <c r="L36" s="74">
        <v>4388073.3500000006</v>
      </c>
      <c r="M36" s="75">
        <v>3291055.0124999993</v>
      </c>
      <c r="N36" s="76">
        <v>912</v>
      </c>
      <c r="O36" s="74">
        <v>210198815.06000003</v>
      </c>
      <c r="P36" s="74">
        <v>157649107.99000001</v>
      </c>
      <c r="Q36" s="190">
        <f t="shared" si="8"/>
        <v>0.95434384490997903</v>
      </c>
      <c r="R36" s="76">
        <v>6</v>
      </c>
      <c r="S36" s="74">
        <v>681292.5199999999</v>
      </c>
      <c r="T36" s="75">
        <v>510969.37000000005</v>
      </c>
      <c r="U36" s="76">
        <v>3</v>
      </c>
      <c r="V36" s="74">
        <v>4012.0999999999995</v>
      </c>
      <c r="W36" s="75">
        <v>3009.0749999999998</v>
      </c>
      <c r="X36" s="76">
        <v>906</v>
      </c>
      <c r="Y36" s="74">
        <v>209513510.44</v>
      </c>
      <c r="Z36" s="74">
        <v>157135129.54500002</v>
      </c>
      <c r="AA36" s="190">
        <f t="shared" si="2"/>
        <v>0.9512324275321089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912</v>
      </c>
      <c r="AJ36" s="74">
        <v>210195368.61000001</v>
      </c>
      <c r="AK36" s="74">
        <v>157646523.12000003</v>
      </c>
      <c r="AL36" s="74">
        <v>0</v>
      </c>
      <c r="AM36" s="74">
        <v>0</v>
      </c>
      <c r="AN36" s="190">
        <f t="shared" si="4"/>
        <v>0.95432819735105556</v>
      </c>
      <c r="AO36" s="76">
        <v>912</v>
      </c>
      <c r="AP36" s="74">
        <v>210195368.61000001</v>
      </c>
      <c r="AQ36" s="74">
        <v>157646523.12</v>
      </c>
      <c r="AR36" s="190">
        <f t="shared" si="5"/>
        <v>0.95432819735105556</v>
      </c>
      <c r="AS36" s="211"/>
      <c r="AT36" s="211"/>
    </row>
    <row r="37" spans="1:46" x14ac:dyDescent="0.2">
      <c r="A37" s="163" t="s">
        <v>44</v>
      </c>
      <c r="B37" s="172">
        <v>8527554.5435200017</v>
      </c>
      <c r="C37" s="73">
        <v>24</v>
      </c>
      <c r="D37" s="74">
        <v>12327574.620000001</v>
      </c>
      <c r="E37" s="74">
        <v>9245680.9649999999</v>
      </c>
      <c r="F37" s="190">
        <f t="shared" si="0"/>
        <v>1.4456166251516496</v>
      </c>
      <c r="G37" s="76">
        <v>11</v>
      </c>
      <c r="H37" s="74">
        <v>7747782.1900000004</v>
      </c>
      <c r="I37" s="74">
        <v>5810836.6425000001</v>
      </c>
      <c r="J37" s="190">
        <f t="shared" si="1"/>
        <v>0.90855850296348539</v>
      </c>
      <c r="K37" s="76">
        <v>11</v>
      </c>
      <c r="L37" s="74">
        <v>3967253.33</v>
      </c>
      <c r="M37" s="75">
        <v>2975439.9975000001</v>
      </c>
      <c r="N37" s="76">
        <v>11</v>
      </c>
      <c r="O37" s="74">
        <v>7115936.4100000001</v>
      </c>
      <c r="P37" s="74">
        <v>5336952.28</v>
      </c>
      <c r="Q37" s="190">
        <f t="shared" si="8"/>
        <v>0.83446389861057235</v>
      </c>
      <c r="R37" s="76">
        <v>1</v>
      </c>
      <c r="S37" s="74">
        <v>74970</v>
      </c>
      <c r="T37" s="75">
        <v>56227.5</v>
      </c>
      <c r="U37" s="76">
        <v>0</v>
      </c>
      <c r="V37" s="74">
        <v>0</v>
      </c>
      <c r="W37" s="75">
        <v>0</v>
      </c>
      <c r="X37" s="76">
        <v>10</v>
      </c>
      <c r="Y37" s="74">
        <v>7040966.4100000001</v>
      </c>
      <c r="Z37" s="74">
        <v>5280724.78</v>
      </c>
      <c r="AA37" s="190">
        <f t="shared" si="2"/>
        <v>0.82567239811445781</v>
      </c>
      <c r="AB37" s="76">
        <v>8</v>
      </c>
      <c r="AC37" s="77">
        <v>12</v>
      </c>
      <c r="AD37" s="74">
        <v>3383161.12</v>
      </c>
      <c r="AE37" s="74">
        <v>2537370.84</v>
      </c>
      <c r="AF37" s="190">
        <f t="shared" si="3"/>
        <v>0.39673286201034369</v>
      </c>
      <c r="AG37" s="77">
        <v>0</v>
      </c>
      <c r="AH37" s="75">
        <v>0</v>
      </c>
      <c r="AI37" s="76">
        <v>9</v>
      </c>
      <c r="AJ37" s="74">
        <v>3640841.56</v>
      </c>
      <c r="AK37" s="74">
        <v>2730631.11</v>
      </c>
      <c r="AL37" s="74">
        <v>2845633.1100000003</v>
      </c>
      <c r="AM37" s="74">
        <v>2134224.79</v>
      </c>
      <c r="AN37" s="190">
        <f t="shared" si="4"/>
        <v>0.42695025184759877</v>
      </c>
      <c r="AO37" s="76">
        <v>4</v>
      </c>
      <c r="AP37" s="74">
        <v>1752352.66</v>
      </c>
      <c r="AQ37" s="74">
        <v>1314264.4500000002</v>
      </c>
      <c r="AR37" s="190">
        <f t="shared" si="5"/>
        <v>0.20549298759180545</v>
      </c>
      <c r="AS37" s="211"/>
      <c r="AT37" s="211"/>
    </row>
    <row r="38" spans="1:46" x14ac:dyDescent="0.2">
      <c r="A38" s="165" t="s">
        <v>45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1"/>
      <c r="AT38" s="211"/>
    </row>
    <row r="39" spans="1:46" ht="13.5" thickBot="1" x14ac:dyDescent="0.25">
      <c r="A39" s="165" t="s">
        <v>225</v>
      </c>
      <c r="B39" s="174">
        <v>64204000</v>
      </c>
      <c r="C39" s="99">
        <v>754</v>
      </c>
      <c r="D39" s="95">
        <v>64325083.649999991</v>
      </c>
      <c r="E39" s="95">
        <v>48243812.737500004</v>
      </c>
      <c r="F39" s="190">
        <f t="shared" si="0"/>
        <v>1.0018859206591488</v>
      </c>
      <c r="G39" s="97">
        <v>713</v>
      </c>
      <c r="H39" s="95">
        <v>60634117.439999998</v>
      </c>
      <c r="I39" s="95">
        <v>45475588.079999998</v>
      </c>
      <c r="J39" s="190">
        <v>0</v>
      </c>
      <c r="K39" s="97">
        <v>42</v>
      </c>
      <c r="L39" s="95">
        <v>4857516.99</v>
      </c>
      <c r="M39" s="100">
        <v>3643137.7424999997</v>
      </c>
      <c r="N39" s="97">
        <v>708</v>
      </c>
      <c r="O39" s="95">
        <v>57827798.560000002</v>
      </c>
      <c r="P39" s="95">
        <v>43370847.969999999</v>
      </c>
      <c r="Q39" s="190">
        <f t="shared" si="8"/>
        <v>0.9006884081988662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708</v>
      </c>
      <c r="Y39" s="95">
        <v>57827798.560000002</v>
      </c>
      <c r="Z39" s="95">
        <v>43370847.969999999</v>
      </c>
      <c r="AA39" s="190">
        <f t="shared" si="2"/>
        <v>0.9006884081988662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703</v>
      </c>
      <c r="AJ39" s="95">
        <v>56051614.060000002</v>
      </c>
      <c r="AK39" s="95">
        <v>42038706.969999999</v>
      </c>
      <c r="AL39" s="95">
        <v>0</v>
      </c>
      <c r="AM39" s="95">
        <v>0</v>
      </c>
      <c r="AN39" s="190">
        <f t="shared" si="4"/>
        <v>0.87302370662264039</v>
      </c>
      <c r="AO39" s="97">
        <v>703</v>
      </c>
      <c r="AP39" s="95">
        <v>56051614.060000002</v>
      </c>
      <c r="AQ39" s="95">
        <v>42038706.969999999</v>
      </c>
      <c r="AR39" s="190">
        <f t="shared" si="5"/>
        <v>0.87302370662264039</v>
      </c>
      <c r="AS39" s="211"/>
      <c r="AT39" s="211"/>
    </row>
    <row r="40" spans="1:46" s="80" customFormat="1" ht="26.25" thickBot="1" x14ac:dyDescent="0.25">
      <c r="A40" s="161" t="s">
        <v>182</v>
      </c>
      <c r="B40" s="132">
        <f>B41+B44</f>
        <v>134040763.87739155</v>
      </c>
      <c r="C40" s="142">
        <v>58</v>
      </c>
      <c r="D40" s="143">
        <v>119988182.53</v>
      </c>
      <c r="E40" s="143">
        <v>94272395.458999991</v>
      </c>
      <c r="F40" s="191">
        <f t="shared" si="0"/>
        <v>0.8951618825430927</v>
      </c>
      <c r="G40" s="142">
        <v>58</v>
      </c>
      <c r="H40" s="143">
        <v>119988182.53</v>
      </c>
      <c r="I40" s="143">
        <v>94272395.458999991</v>
      </c>
      <c r="J40" s="191">
        <f t="shared" si="1"/>
        <v>0.8951618825430927</v>
      </c>
      <c r="K40" s="142">
        <v>3</v>
      </c>
      <c r="L40" s="143">
        <v>1073500</v>
      </c>
      <c r="M40" s="143">
        <v>966150</v>
      </c>
      <c r="N40" s="142">
        <v>52</v>
      </c>
      <c r="O40" s="143">
        <v>109520727.78999999</v>
      </c>
      <c r="P40" s="143">
        <v>85544304.960000008</v>
      </c>
      <c r="Q40" s="191">
        <f t="shared" ref="Q40" si="9">O40/B40</f>
        <v>0.81707030474833553</v>
      </c>
      <c r="R40" s="142">
        <v>1</v>
      </c>
      <c r="S40" s="143">
        <v>960000</v>
      </c>
      <c r="T40" s="143">
        <v>672000</v>
      </c>
      <c r="U40" s="142">
        <v>4</v>
      </c>
      <c r="V40" s="143">
        <v>1294788.8599999999</v>
      </c>
      <c r="W40" s="143">
        <v>1094932.2379999999</v>
      </c>
      <c r="X40" s="142">
        <v>51</v>
      </c>
      <c r="Y40" s="143">
        <v>107265938.93000001</v>
      </c>
      <c r="Z40" s="143">
        <v>83777372.721999988</v>
      </c>
      <c r="AA40" s="191">
        <f t="shared" si="2"/>
        <v>0.80024863949684188</v>
      </c>
      <c r="AB40" s="142">
        <v>48</v>
      </c>
      <c r="AC40" s="142">
        <v>114</v>
      </c>
      <c r="AD40" s="143">
        <v>48458390.239999995</v>
      </c>
      <c r="AE40" s="143">
        <v>41052032.775000006</v>
      </c>
      <c r="AF40" s="191">
        <f t="shared" si="3"/>
        <v>0.36151980068037642</v>
      </c>
      <c r="AG40" s="142">
        <v>1</v>
      </c>
      <c r="AH40" s="143">
        <v>139922.82999999999</v>
      </c>
      <c r="AI40" s="142">
        <v>46</v>
      </c>
      <c r="AJ40" s="143">
        <v>53606400.079999998</v>
      </c>
      <c r="AK40" s="143">
        <v>45010913.100000001</v>
      </c>
      <c r="AL40" s="143">
        <v>4000000</v>
      </c>
      <c r="AM40" s="143">
        <v>3200000</v>
      </c>
      <c r="AN40" s="191">
        <f t="shared" si="4"/>
        <v>0.39992610105560367</v>
      </c>
      <c r="AO40" s="142">
        <v>46</v>
      </c>
      <c r="AP40" s="143">
        <v>51452394.609999999</v>
      </c>
      <c r="AQ40" s="143">
        <v>43287708.719999999</v>
      </c>
      <c r="AR40" s="191">
        <f t="shared" si="5"/>
        <v>0.38385632192505281</v>
      </c>
      <c r="AS40" s="211"/>
      <c r="AT40" s="211"/>
    </row>
    <row r="41" spans="1:46" s="79" customFormat="1" x14ac:dyDescent="0.2">
      <c r="A41" s="166" t="s">
        <v>47</v>
      </c>
      <c r="B41" s="171">
        <v>92965829.105531722</v>
      </c>
      <c r="C41" s="144">
        <v>54</v>
      </c>
      <c r="D41" s="149">
        <v>77172494.349999994</v>
      </c>
      <c r="E41" s="149">
        <v>60019844.914999999</v>
      </c>
      <c r="F41" s="190">
        <f t="shared" si="0"/>
        <v>0.83011677615865009</v>
      </c>
      <c r="G41" s="152">
        <v>54</v>
      </c>
      <c r="H41" s="212">
        <v>77172494.349999994</v>
      </c>
      <c r="I41" s="212">
        <v>60019844.914999999</v>
      </c>
      <c r="J41" s="190">
        <f t="shared" si="1"/>
        <v>0.83011677615865009</v>
      </c>
      <c r="K41" s="146">
        <v>3</v>
      </c>
      <c r="L41" s="145">
        <v>1073500</v>
      </c>
      <c r="M41" s="147">
        <v>966150</v>
      </c>
      <c r="N41" s="146">
        <v>49</v>
      </c>
      <c r="O41" s="150">
        <v>73626887.549999997</v>
      </c>
      <c r="P41" s="150">
        <v>56829232.780000001</v>
      </c>
      <c r="Q41" s="190">
        <f t="shared" si="8"/>
        <v>0.79197795855099828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48</v>
      </c>
      <c r="Y41" s="150">
        <v>72075876.049999997</v>
      </c>
      <c r="Z41" s="150">
        <v>55625322.429999992</v>
      </c>
      <c r="AA41" s="190">
        <f t="shared" si="2"/>
        <v>0.77529428547538537</v>
      </c>
      <c r="AB41" s="146">
        <v>46</v>
      </c>
      <c r="AC41" s="146">
        <v>109</v>
      </c>
      <c r="AD41" s="150">
        <v>22878805.829999998</v>
      </c>
      <c r="AE41" s="150">
        <v>20588365.247000001</v>
      </c>
      <c r="AF41" s="190">
        <f t="shared" si="3"/>
        <v>0.24609908877409933</v>
      </c>
      <c r="AG41" s="148">
        <v>1</v>
      </c>
      <c r="AH41" s="147">
        <v>139922.82999999999</v>
      </c>
      <c r="AI41" s="146">
        <v>43</v>
      </c>
      <c r="AJ41" s="150">
        <v>21283531.73</v>
      </c>
      <c r="AK41" s="150">
        <v>19152618.440000001</v>
      </c>
      <c r="AL41" s="150">
        <v>0</v>
      </c>
      <c r="AM41" s="150">
        <v>0</v>
      </c>
      <c r="AN41" s="190">
        <f t="shared" si="4"/>
        <v>0.22893929882386829</v>
      </c>
      <c r="AO41" s="146">
        <v>43</v>
      </c>
      <c r="AP41" s="150">
        <v>21283531.73</v>
      </c>
      <c r="AQ41" s="150">
        <v>19152618.440000001</v>
      </c>
      <c r="AR41" s="190">
        <f t="shared" si="5"/>
        <v>0.22893929882386829</v>
      </c>
      <c r="AS41" s="211"/>
      <c r="AT41" s="211"/>
    </row>
    <row r="42" spans="1:46" s="129" customFormat="1" ht="37.5" customHeight="1" outlineLevel="1" x14ac:dyDescent="0.2">
      <c r="A42" s="167" t="s">
        <v>48</v>
      </c>
      <c r="B42" s="173">
        <v>40555289.740350179</v>
      </c>
      <c r="C42" s="185">
        <v>50</v>
      </c>
      <c r="D42" s="186">
        <v>29995494.350000001</v>
      </c>
      <c r="E42" s="186">
        <v>26995944.915000003</v>
      </c>
      <c r="F42" s="190">
        <f t="shared" si="0"/>
        <v>0.73961977690313996</v>
      </c>
      <c r="G42" s="114">
        <v>50</v>
      </c>
      <c r="H42" s="113">
        <v>29995494.350000001</v>
      </c>
      <c r="I42" s="113">
        <v>26995944.915000003</v>
      </c>
      <c r="J42" s="190">
        <f t="shared" si="1"/>
        <v>0.73961977690313996</v>
      </c>
      <c r="K42" s="187">
        <v>3</v>
      </c>
      <c r="L42" s="186">
        <v>1073500</v>
      </c>
      <c r="M42" s="188">
        <v>966150</v>
      </c>
      <c r="N42" s="187">
        <v>45</v>
      </c>
      <c r="O42" s="186">
        <v>26452057.550000001</v>
      </c>
      <c r="P42" s="186">
        <v>23806851.779999997</v>
      </c>
      <c r="Q42" s="190">
        <f t="shared" si="8"/>
        <v>0.6522467899836436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45</v>
      </c>
      <c r="Y42" s="186">
        <v>25861046.050000001</v>
      </c>
      <c r="Z42" s="186">
        <v>23274941.429999996</v>
      </c>
      <c r="AA42" s="190">
        <f t="shared" si="2"/>
        <v>0.63767380816588637</v>
      </c>
      <c r="AB42" s="187">
        <v>45</v>
      </c>
      <c r="AC42" s="189">
        <v>108</v>
      </c>
      <c r="AD42" s="186">
        <v>22866005.829999998</v>
      </c>
      <c r="AE42" s="186">
        <v>20579405.247000001</v>
      </c>
      <c r="AF42" s="190">
        <f t="shared" si="3"/>
        <v>0.5638230173276173</v>
      </c>
      <c r="AG42" s="189">
        <v>1</v>
      </c>
      <c r="AH42" s="188">
        <v>139922.82999999999</v>
      </c>
      <c r="AI42" s="187">
        <v>42</v>
      </c>
      <c r="AJ42" s="186">
        <v>21270731.73</v>
      </c>
      <c r="AK42" s="186">
        <v>19143658.440000001</v>
      </c>
      <c r="AL42" s="186">
        <v>0</v>
      </c>
      <c r="AM42" s="186">
        <v>0</v>
      </c>
      <c r="AN42" s="190">
        <f t="shared" si="4"/>
        <v>0.5244872337537968</v>
      </c>
      <c r="AO42" s="187">
        <v>42</v>
      </c>
      <c r="AP42" s="186">
        <v>21270731.73</v>
      </c>
      <c r="AQ42" s="186">
        <v>19143658.440000001</v>
      </c>
      <c r="AR42" s="190">
        <f t="shared" si="5"/>
        <v>0.5244872337537968</v>
      </c>
      <c r="AS42" s="211"/>
      <c r="AT42" s="211"/>
    </row>
    <row r="43" spans="1:46" s="129" customFormat="1" outlineLevel="1" x14ac:dyDescent="0.2">
      <c r="A43" s="167" t="s">
        <v>49</v>
      </c>
      <c r="B43" s="173">
        <v>52410539.365181535</v>
      </c>
      <c r="C43" s="122">
        <v>4</v>
      </c>
      <c r="D43" s="123">
        <v>47177000</v>
      </c>
      <c r="E43" s="123">
        <v>33023899.999999996</v>
      </c>
      <c r="F43" s="190">
        <f t="shared" si="0"/>
        <v>0.90014337901169572</v>
      </c>
      <c r="G43" s="119">
        <v>4</v>
      </c>
      <c r="H43" s="118">
        <v>47177000</v>
      </c>
      <c r="I43" s="118">
        <v>33023899.999999996</v>
      </c>
      <c r="J43" s="190">
        <f t="shared" si="1"/>
        <v>0.90014337901169572</v>
      </c>
      <c r="K43" s="124">
        <v>0</v>
      </c>
      <c r="L43" s="123">
        <v>0</v>
      </c>
      <c r="M43" s="125">
        <v>0</v>
      </c>
      <c r="N43" s="124">
        <v>4</v>
      </c>
      <c r="O43" s="123">
        <v>47174830</v>
      </c>
      <c r="P43" s="123">
        <v>33022381</v>
      </c>
      <c r="Q43" s="190">
        <f t="shared" si="8"/>
        <v>0.90010197512563983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3</v>
      </c>
      <c r="Y43" s="123">
        <v>46214830</v>
      </c>
      <c r="Z43" s="186">
        <v>32350381</v>
      </c>
      <c r="AA43" s="190">
        <f t="shared" si="2"/>
        <v>0.88178504857560003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2.4422568733386407E-4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2.4422568733386407E-4</v>
      </c>
      <c r="AO43" s="124">
        <v>1</v>
      </c>
      <c r="AP43" s="123">
        <v>12800</v>
      </c>
      <c r="AQ43" s="123">
        <v>8960</v>
      </c>
      <c r="AR43" s="190">
        <f t="shared" si="5"/>
        <v>2.4422568733386407E-4</v>
      </c>
      <c r="AS43" s="211"/>
      <c r="AT43" s="211"/>
    </row>
    <row r="44" spans="1:46" s="79" customFormat="1" ht="13.5" thickBot="1" x14ac:dyDescent="0.25">
      <c r="A44" s="168" t="s">
        <v>50</v>
      </c>
      <c r="B44" s="174">
        <v>41074934.771859832</v>
      </c>
      <c r="C44" s="122">
        <v>4</v>
      </c>
      <c r="D44" s="123">
        <v>42815688.18</v>
      </c>
      <c r="E44" s="123">
        <v>34252550.544</v>
      </c>
      <c r="F44" s="190">
        <f t="shared" si="0"/>
        <v>1.0423799433354852</v>
      </c>
      <c r="G44" s="119">
        <v>4</v>
      </c>
      <c r="H44" s="118">
        <v>42815688.18</v>
      </c>
      <c r="I44" s="118">
        <v>34252550.544</v>
      </c>
      <c r="J44" s="190">
        <f t="shared" si="1"/>
        <v>1.0423799433354852</v>
      </c>
      <c r="K44" s="124">
        <v>0</v>
      </c>
      <c r="L44" s="123">
        <v>0</v>
      </c>
      <c r="M44" s="125">
        <v>0</v>
      </c>
      <c r="N44" s="124">
        <v>3</v>
      </c>
      <c r="O44" s="123">
        <v>35893840.240000002</v>
      </c>
      <c r="P44" s="123">
        <v>28715072.18</v>
      </c>
      <c r="Q44" s="190">
        <f t="shared" si="8"/>
        <v>0.87386237955977564</v>
      </c>
      <c r="R44" s="124">
        <v>0</v>
      </c>
      <c r="S44" s="123">
        <v>0</v>
      </c>
      <c r="T44" s="125">
        <v>0</v>
      </c>
      <c r="U44" s="124">
        <v>1</v>
      </c>
      <c r="V44" s="123">
        <v>703777.36</v>
      </c>
      <c r="W44" s="125">
        <v>563021.88800000004</v>
      </c>
      <c r="X44" s="124">
        <v>3</v>
      </c>
      <c r="Y44" s="123">
        <v>35190062.880000003</v>
      </c>
      <c r="Z44" s="123">
        <v>28152050.291999999</v>
      </c>
      <c r="AA44" s="190">
        <f t="shared" si="2"/>
        <v>0.85672839349482022</v>
      </c>
      <c r="AB44" s="124">
        <v>2</v>
      </c>
      <c r="AC44" s="126">
        <v>5</v>
      </c>
      <c r="AD44" s="123">
        <v>25579584.41</v>
      </c>
      <c r="AE44" s="123">
        <v>20463667.528000001</v>
      </c>
      <c r="AF44" s="190">
        <f t="shared" si="3"/>
        <v>0.62275410909536988</v>
      </c>
      <c r="AG44" s="126">
        <v>0</v>
      </c>
      <c r="AH44" s="125">
        <v>0</v>
      </c>
      <c r="AI44" s="124">
        <v>3</v>
      </c>
      <c r="AJ44" s="123">
        <v>32322868.350000001</v>
      </c>
      <c r="AK44" s="123">
        <v>25858294.66</v>
      </c>
      <c r="AL44" s="123">
        <v>4000000</v>
      </c>
      <c r="AM44" s="123">
        <v>3200000</v>
      </c>
      <c r="AN44" s="190">
        <f t="shared" si="4"/>
        <v>0.78692439877334108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0.734483524990732</v>
      </c>
      <c r="AS44" s="211"/>
      <c r="AT44" s="211"/>
    </row>
    <row r="45" spans="1:46" s="80" customFormat="1" ht="26.25" thickBot="1" x14ac:dyDescent="0.25">
      <c r="A45" s="161" t="s">
        <v>183</v>
      </c>
      <c r="B45" s="132">
        <f>SUM(B46:B48)</f>
        <v>420425659.69023526</v>
      </c>
      <c r="C45" s="142">
        <v>3338</v>
      </c>
      <c r="D45" s="143">
        <v>476877307.51999998</v>
      </c>
      <c r="E45" s="143">
        <v>404966081.77350003</v>
      </c>
      <c r="F45" s="191">
        <f>D45/B45</f>
        <v>1.1342726033214947</v>
      </c>
      <c r="G45" s="142">
        <v>3310</v>
      </c>
      <c r="H45" s="143">
        <v>473539480.95999992</v>
      </c>
      <c r="I45" s="143">
        <v>402128929.20249999</v>
      </c>
      <c r="J45" s="191">
        <f t="shared" si="1"/>
        <v>1.1263334433699843</v>
      </c>
      <c r="K45" s="142">
        <v>853</v>
      </c>
      <c r="L45" s="143">
        <v>124095799.49000001</v>
      </c>
      <c r="M45" s="143">
        <v>105435056.37799999</v>
      </c>
      <c r="N45" s="142">
        <v>2216</v>
      </c>
      <c r="O45" s="143">
        <v>319025054.56999993</v>
      </c>
      <c r="P45" s="143">
        <v>271171295.89200002</v>
      </c>
      <c r="Q45" s="191">
        <f t="shared" si="8"/>
        <v>0.75881442347037975</v>
      </c>
      <c r="R45" s="142">
        <v>154</v>
      </c>
      <c r="S45" s="143">
        <v>23336405.5</v>
      </c>
      <c r="T45" s="143">
        <v>19835944.649999999</v>
      </c>
      <c r="U45" s="142">
        <v>315</v>
      </c>
      <c r="V45" s="143">
        <v>4539580.0920000002</v>
      </c>
      <c r="W45" s="143">
        <v>3858643.3024999993</v>
      </c>
      <c r="X45" s="142">
        <v>2062</v>
      </c>
      <c r="Y45" s="143">
        <v>291149068.98249996</v>
      </c>
      <c r="Z45" s="143">
        <v>247476707.93050003</v>
      </c>
      <c r="AA45" s="191">
        <f t="shared" si="2"/>
        <v>0.69251022689008856</v>
      </c>
      <c r="AB45" s="142">
        <v>1636</v>
      </c>
      <c r="AC45" s="142">
        <v>1768</v>
      </c>
      <c r="AD45" s="143">
        <v>226056855.04999998</v>
      </c>
      <c r="AE45" s="143">
        <v>192148326.11449999</v>
      </c>
      <c r="AF45" s="191">
        <f t="shared" si="3"/>
        <v>0.53768567602785244</v>
      </c>
      <c r="AG45" s="142">
        <v>29</v>
      </c>
      <c r="AH45" s="143">
        <v>4916752.91</v>
      </c>
      <c r="AI45" s="142">
        <v>1729</v>
      </c>
      <c r="AJ45" s="143">
        <v>243586003.14000002</v>
      </c>
      <c r="AK45" s="143">
        <v>207048101.04999998</v>
      </c>
      <c r="AL45" s="143">
        <v>126445329.37</v>
      </c>
      <c r="AM45" s="143">
        <v>107478529.44100001</v>
      </c>
      <c r="AN45" s="191">
        <f t="shared" si="4"/>
        <v>0.5793794872545871</v>
      </c>
      <c r="AO45" s="142">
        <v>1452</v>
      </c>
      <c r="AP45" s="143">
        <v>193739963.14000002</v>
      </c>
      <c r="AQ45" s="143">
        <v>164678966.97000003</v>
      </c>
      <c r="AR45" s="191">
        <f t="shared" si="5"/>
        <v>0.46081859818628901</v>
      </c>
      <c r="AS45" s="211"/>
      <c r="AT45" s="211"/>
    </row>
    <row r="46" spans="1:46" s="117" customFormat="1" x14ac:dyDescent="0.2">
      <c r="A46" s="162" t="s">
        <v>52</v>
      </c>
      <c r="B46" s="171">
        <v>109550.90865882354</v>
      </c>
      <c r="C46" s="205">
        <v>5</v>
      </c>
      <c r="D46" s="151">
        <v>99811</v>
      </c>
      <c r="E46" s="151">
        <v>84839.35</v>
      </c>
      <c r="F46" s="206">
        <f>D46/B46</f>
        <v>0.91109239733321867</v>
      </c>
      <c r="G46" s="152">
        <v>5</v>
      </c>
      <c r="H46" s="151">
        <v>99811</v>
      </c>
      <c r="I46" s="151">
        <v>84839.35</v>
      </c>
      <c r="J46" s="206">
        <f t="shared" si="1"/>
        <v>0.91109239733321867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0.91109239733321867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0.91109239733321867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0.91109239733321867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0.91109239733321867</v>
      </c>
      <c r="AO46" s="152">
        <v>5</v>
      </c>
      <c r="AP46" s="151">
        <v>99811</v>
      </c>
      <c r="AQ46" s="151">
        <v>84839.35</v>
      </c>
      <c r="AR46" s="206">
        <f t="shared" si="5"/>
        <v>0.91109239733321867</v>
      </c>
      <c r="AS46" s="211"/>
      <c r="AT46" s="211"/>
    </row>
    <row r="47" spans="1:46" s="117" customFormat="1" x14ac:dyDescent="0.2">
      <c r="A47" s="163" t="s">
        <v>53</v>
      </c>
      <c r="B47" s="172">
        <v>407259048.21350586</v>
      </c>
      <c r="C47" s="207">
        <v>3252</v>
      </c>
      <c r="D47" s="113">
        <v>470696661.25999999</v>
      </c>
      <c r="E47" s="113">
        <v>399712532.491</v>
      </c>
      <c r="F47" s="206">
        <f t="shared" ref="F47:F48" si="10">D47/B47</f>
        <v>1.1557672280696312</v>
      </c>
      <c r="G47" s="114">
        <v>3224</v>
      </c>
      <c r="H47" s="113">
        <v>467358834.69999993</v>
      </c>
      <c r="I47" s="113">
        <v>396875379.91999996</v>
      </c>
      <c r="J47" s="206">
        <f t="shared" si="1"/>
        <v>1.1475713965107208</v>
      </c>
      <c r="K47" s="114">
        <v>847</v>
      </c>
      <c r="L47" s="113">
        <v>123155799.49000001</v>
      </c>
      <c r="M47" s="115">
        <v>104636056.37799999</v>
      </c>
      <c r="N47" s="114">
        <v>2140</v>
      </c>
      <c r="O47" s="113">
        <v>313960720.29999995</v>
      </c>
      <c r="P47" s="113">
        <v>266866611.77200001</v>
      </c>
      <c r="Q47" s="206">
        <f t="shared" si="8"/>
        <v>0.77091158975406193</v>
      </c>
      <c r="R47" s="114">
        <v>153</v>
      </c>
      <c r="S47" s="113">
        <v>23281405.5</v>
      </c>
      <c r="T47" s="115">
        <v>19789194.649999999</v>
      </c>
      <c r="U47" s="114">
        <v>296</v>
      </c>
      <c r="V47" s="113">
        <v>4422738.2020000005</v>
      </c>
      <c r="W47" s="115">
        <v>3759327.6924999994</v>
      </c>
      <c r="X47" s="114">
        <v>1987</v>
      </c>
      <c r="Y47" s="113">
        <v>286256576.60249996</v>
      </c>
      <c r="Z47" s="113">
        <v>243318089.42050004</v>
      </c>
      <c r="AA47" s="206">
        <f t="shared" si="2"/>
        <v>0.70288573785702546</v>
      </c>
      <c r="AB47" s="114">
        <v>1574</v>
      </c>
      <c r="AC47" s="116">
        <v>1705</v>
      </c>
      <c r="AD47" s="113">
        <v>222851401.91</v>
      </c>
      <c r="AE47" s="113">
        <v>189423690.95550001</v>
      </c>
      <c r="AF47" s="206">
        <f t="shared" si="3"/>
        <v>0.54719816020679291</v>
      </c>
      <c r="AG47" s="116">
        <v>29</v>
      </c>
      <c r="AH47" s="115">
        <v>4916752.91</v>
      </c>
      <c r="AI47" s="114">
        <v>1660</v>
      </c>
      <c r="AJ47" s="113">
        <v>239536257.64000002</v>
      </c>
      <c r="AK47" s="151">
        <v>203605817.41999999</v>
      </c>
      <c r="AL47" s="113">
        <v>123909511.46000001</v>
      </c>
      <c r="AM47" s="113">
        <v>105323084.22000001</v>
      </c>
      <c r="AN47" s="206">
        <f t="shared" si="4"/>
        <v>0.58816681591423592</v>
      </c>
      <c r="AO47" s="114">
        <v>1393</v>
      </c>
      <c r="AP47" s="113">
        <v>190555251.61000001</v>
      </c>
      <c r="AQ47" s="113">
        <v>161971962.22000003</v>
      </c>
      <c r="AR47" s="206">
        <f t="shared" si="5"/>
        <v>0.46789691339184508</v>
      </c>
      <c r="AS47" s="211"/>
      <c r="AT47" s="211"/>
    </row>
    <row r="48" spans="1:46" s="117" customFormat="1" ht="33.75" customHeight="1" thickBot="1" x14ac:dyDescent="0.25">
      <c r="A48" s="165" t="s">
        <v>54</v>
      </c>
      <c r="B48" s="174">
        <v>13057060.568070589</v>
      </c>
      <c r="C48" s="208">
        <v>81</v>
      </c>
      <c r="D48" s="118">
        <v>6080835.2599999998</v>
      </c>
      <c r="E48" s="113">
        <v>5168709.9324999992</v>
      </c>
      <c r="F48" s="206">
        <f t="shared" si="10"/>
        <v>0.46571241883260639</v>
      </c>
      <c r="G48" s="119">
        <v>81</v>
      </c>
      <c r="H48" s="118">
        <v>6080835.2599999998</v>
      </c>
      <c r="I48" s="118">
        <v>5168709.9324999992</v>
      </c>
      <c r="J48" s="206">
        <f t="shared" si="1"/>
        <v>0.46571241883260639</v>
      </c>
      <c r="K48" s="119">
        <v>6</v>
      </c>
      <c r="L48" s="118">
        <v>940000</v>
      </c>
      <c r="M48" s="120">
        <v>799000</v>
      </c>
      <c r="N48" s="119">
        <v>71</v>
      </c>
      <c r="O48" s="118">
        <v>4964523.2699999996</v>
      </c>
      <c r="P48" s="118">
        <v>4219844.7700000005</v>
      </c>
      <c r="Q48" s="206">
        <f t="shared" si="8"/>
        <v>0.38021752630451311</v>
      </c>
      <c r="R48" s="119">
        <v>1</v>
      </c>
      <c r="S48" s="118">
        <v>55000</v>
      </c>
      <c r="T48" s="120">
        <v>46750</v>
      </c>
      <c r="U48" s="119">
        <v>19</v>
      </c>
      <c r="V48" s="118">
        <v>116841.89</v>
      </c>
      <c r="W48" s="120">
        <v>99315.61</v>
      </c>
      <c r="X48" s="119">
        <v>70</v>
      </c>
      <c r="Y48" s="118">
        <v>4792681.38</v>
      </c>
      <c r="Z48" s="118">
        <v>4073779.1599999997</v>
      </c>
      <c r="AA48" s="206">
        <f t="shared" si="2"/>
        <v>0.36705668592209062</v>
      </c>
      <c r="AB48" s="119">
        <v>57</v>
      </c>
      <c r="AC48" s="121">
        <v>58</v>
      </c>
      <c r="AD48" s="118">
        <v>3105642.14</v>
      </c>
      <c r="AE48" s="118">
        <v>2639795.8089999999</v>
      </c>
      <c r="AF48" s="206">
        <f t="shared" si="3"/>
        <v>0.23785155348015005</v>
      </c>
      <c r="AG48" s="121">
        <v>0</v>
      </c>
      <c r="AH48" s="120">
        <v>0</v>
      </c>
      <c r="AI48" s="119">
        <v>64</v>
      </c>
      <c r="AJ48" s="118">
        <v>3949934.5</v>
      </c>
      <c r="AK48" s="118">
        <v>3357444.2800000003</v>
      </c>
      <c r="AL48" s="118">
        <v>2535817.91</v>
      </c>
      <c r="AM48" s="118">
        <v>2155445.2209999999</v>
      </c>
      <c r="AN48" s="206">
        <f t="shared" si="4"/>
        <v>0.30251330147453492</v>
      </c>
      <c r="AO48" s="119">
        <v>54</v>
      </c>
      <c r="AP48" s="118">
        <v>3084900.53</v>
      </c>
      <c r="AQ48" s="118">
        <v>2622165.4000000004</v>
      </c>
      <c r="AR48" s="206">
        <f t="shared" si="5"/>
        <v>0.23626301753885853</v>
      </c>
      <c r="AS48" s="211"/>
      <c r="AT48" s="211"/>
    </row>
    <row r="49" spans="1:46" s="80" customFormat="1" ht="48" customHeight="1" thickBot="1" x14ac:dyDescent="0.25">
      <c r="A49" s="161" t="s">
        <v>184</v>
      </c>
      <c r="B49" s="132">
        <f>SUM(B50:B53)</f>
        <v>440245398.47469342</v>
      </c>
      <c r="C49" s="142">
        <v>406</v>
      </c>
      <c r="D49" s="143">
        <v>542301126.08999991</v>
      </c>
      <c r="E49" s="143">
        <v>406772292.54999995</v>
      </c>
      <c r="F49" s="191">
        <f t="shared" si="0"/>
        <v>1.2318155464404541</v>
      </c>
      <c r="G49" s="142">
        <v>278</v>
      </c>
      <c r="H49" s="143">
        <v>358244748.71000004</v>
      </c>
      <c r="I49" s="143">
        <v>268730009.51499999</v>
      </c>
      <c r="J49" s="191">
        <f t="shared" si="1"/>
        <v>0.81373876922098709</v>
      </c>
      <c r="K49" s="142">
        <v>125</v>
      </c>
      <c r="L49" s="143">
        <v>184061330.37</v>
      </c>
      <c r="M49" s="143">
        <v>138045997.7775</v>
      </c>
      <c r="N49" s="142">
        <v>239</v>
      </c>
      <c r="O49" s="143">
        <v>275191467.22000003</v>
      </c>
      <c r="P49" s="143">
        <v>206393599.89000002</v>
      </c>
      <c r="Q49" s="191">
        <f t="shared" si="8"/>
        <v>0.62508652713565804</v>
      </c>
      <c r="R49" s="142">
        <v>4</v>
      </c>
      <c r="S49" s="143">
        <v>1253031.04</v>
      </c>
      <c r="T49" s="143">
        <v>939773.28</v>
      </c>
      <c r="U49" s="142">
        <v>15</v>
      </c>
      <c r="V49" s="143">
        <v>1211437.98</v>
      </c>
      <c r="W49" s="143">
        <v>908578.48499999999</v>
      </c>
      <c r="X49" s="142">
        <v>235</v>
      </c>
      <c r="Y49" s="143">
        <v>272726998.19999999</v>
      </c>
      <c r="Z49" s="143">
        <v>204545248.125</v>
      </c>
      <c r="AA49" s="191">
        <f t="shared" si="2"/>
        <v>0.61948858328766188</v>
      </c>
      <c r="AB49" s="142">
        <v>100</v>
      </c>
      <c r="AC49" s="142">
        <v>139</v>
      </c>
      <c r="AD49" s="143">
        <v>109164230.91999999</v>
      </c>
      <c r="AE49" s="143">
        <v>81873173.189999998</v>
      </c>
      <c r="AF49" s="191">
        <f t="shared" si="3"/>
        <v>0.24796223037928031</v>
      </c>
      <c r="AG49" s="142">
        <v>2</v>
      </c>
      <c r="AH49" s="143">
        <v>104079.09999999999</v>
      </c>
      <c r="AI49" s="142">
        <v>215</v>
      </c>
      <c r="AJ49" s="143">
        <v>203629394.57999998</v>
      </c>
      <c r="AK49" s="143">
        <v>152722045.37</v>
      </c>
      <c r="AL49" s="143">
        <v>58479664.820000008</v>
      </c>
      <c r="AM49" s="143">
        <v>43859748.509999998</v>
      </c>
      <c r="AN49" s="191">
        <f t="shared" si="4"/>
        <v>0.4625361111905073</v>
      </c>
      <c r="AO49" s="142">
        <v>199</v>
      </c>
      <c r="AP49" s="143">
        <v>173749242.09</v>
      </c>
      <c r="AQ49" s="143">
        <v>130311930.98999999</v>
      </c>
      <c r="AR49" s="191">
        <f t="shared" si="5"/>
        <v>0.39466452731132318</v>
      </c>
      <c r="AS49" s="211"/>
      <c r="AT49" s="211"/>
    </row>
    <row r="50" spans="1:46" x14ac:dyDescent="0.2">
      <c r="A50" s="162" t="s">
        <v>56</v>
      </c>
      <c r="B50" s="171">
        <v>105434736.29376</v>
      </c>
      <c r="C50" s="136">
        <v>38</v>
      </c>
      <c r="D50" s="137">
        <v>75567751.280000001</v>
      </c>
      <c r="E50" s="137">
        <v>56675813.459999993</v>
      </c>
      <c r="F50" s="190">
        <f t="shared" si="0"/>
        <v>0.71672537852662477</v>
      </c>
      <c r="G50" s="139">
        <v>35</v>
      </c>
      <c r="H50" s="137">
        <v>75312127.459999993</v>
      </c>
      <c r="I50" s="137">
        <v>56484095.594999999</v>
      </c>
      <c r="J50" s="190">
        <f t="shared" si="1"/>
        <v>0.7143009041172822</v>
      </c>
      <c r="K50" s="139">
        <v>2</v>
      </c>
      <c r="L50" s="137">
        <v>85531</v>
      </c>
      <c r="M50" s="140">
        <v>64148.25</v>
      </c>
      <c r="N50" s="139">
        <v>29</v>
      </c>
      <c r="O50" s="137">
        <v>38744585.909999996</v>
      </c>
      <c r="P50" s="137">
        <v>29058439.34</v>
      </c>
      <c r="Q50" s="190">
        <f t="shared" si="8"/>
        <v>0.36747458448656484</v>
      </c>
      <c r="R50" s="139">
        <v>1</v>
      </c>
      <c r="S50" s="137">
        <v>34698.800000000003</v>
      </c>
      <c r="T50" s="140">
        <v>26024.1</v>
      </c>
      <c r="U50" s="139">
        <v>3</v>
      </c>
      <c r="V50" s="137">
        <v>678096.42999999993</v>
      </c>
      <c r="W50" s="140">
        <v>508572.32250000001</v>
      </c>
      <c r="X50" s="139">
        <v>28</v>
      </c>
      <c r="Y50" s="137">
        <v>38031790.68</v>
      </c>
      <c r="Z50" s="137">
        <v>28523842.9175</v>
      </c>
      <c r="AA50" s="190">
        <f t="shared" si="2"/>
        <v>0.36071404943847574</v>
      </c>
      <c r="AB50" s="139">
        <v>29</v>
      </c>
      <c r="AC50" s="141">
        <v>38</v>
      </c>
      <c r="AD50" s="137">
        <v>37345519.989999995</v>
      </c>
      <c r="AE50" s="137">
        <v>28009139.9925</v>
      </c>
      <c r="AF50" s="190">
        <f t="shared" si="3"/>
        <v>0.35420508745759754</v>
      </c>
      <c r="AG50" s="141">
        <v>1</v>
      </c>
      <c r="AH50" s="140">
        <v>32938.699999999997</v>
      </c>
      <c r="AI50" s="139">
        <v>22</v>
      </c>
      <c r="AJ50" s="137">
        <v>33738076.739999995</v>
      </c>
      <c r="AK50" s="137">
        <v>25303557.469999999</v>
      </c>
      <c r="AL50" s="137">
        <v>14956750.18</v>
      </c>
      <c r="AM50" s="137">
        <v>11217562.630000001</v>
      </c>
      <c r="AN50" s="190">
        <f t="shared" si="4"/>
        <v>0.31999014675770315</v>
      </c>
      <c r="AO50" s="139">
        <v>18</v>
      </c>
      <c r="AP50" s="137">
        <v>24614202.890000001</v>
      </c>
      <c r="AQ50" s="137">
        <v>18460652.079999998</v>
      </c>
      <c r="AR50" s="190">
        <f t="shared" si="5"/>
        <v>0.23345439800238543</v>
      </c>
      <c r="AS50" s="211"/>
      <c r="AT50" s="211"/>
    </row>
    <row r="51" spans="1:46" x14ac:dyDescent="0.2">
      <c r="A51" s="163" t="s">
        <v>57</v>
      </c>
      <c r="B51" s="172">
        <v>11506283.172</v>
      </c>
      <c r="C51" s="73">
        <v>2</v>
      </c>
      <c r="D51" s="74">
        <v>185791.93</v>
      </c>
      <c r="E51" s="74">
        <v>185791.93</v>
      </c>
      <c r="F51" s="190">
        <f t="shared" si="0"/>
        <v>1.6146997881306791E-2</v>
      </c>
      <c r="G51" s="76">
        <v>2</v>
      </c>
      <c r="H51" s="74">
        <v>185791.93</v>
      </c>
      <c r="I51" s="74">
        <v>185791.93</v>
      </c>
      <c r="J51" s="190">
        <f t="shared" si="1"/>
        <v>1.6146997881306791E-2</v>
      </c>
      <c r="K51" s="76">
        <v>0</v>
      </c>
      <c r="L51" s="74">
        <v>0</v>
      </c>
      <c r="M51" s="75">
        <v>0</v>
      </c>
      <c r="N51" s="76">
        <v>0</v>
      </c>
      <c r="O51" s="74">
        <v>0</v>
      </c>
      <c r="P51" s="74">
        <v>0</v>
      </c>
      <c r="Q51" s="190">
        <f t="shared" si="8"/>
        <v>0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0</v>
      </c>
      <c r="Y51" s="74">
        <v>0</v>
      </c>
      <c r="Z51" s="74">
        <v>0</v>
      </c>
      <c r="AA51" s="190">
        <f t="shared" si="2"/>
        <v>0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0</v>
      </c>
      <c r="AJ51" s="74">
        <v>0</v>
      </c>
      <c r="AK51" s="74">
        <v>0</v>
      </c>
      <c r="AL51" s="74">
        <v>0</v>
      </c>
      <c r="AM51" s="74">
        <v>0</v>
      </c>
      <c r="AN51" s="190">
        <f t="shared" si="4"/>
        <v>0</v>
      </c>
      <c r="AO51" s="76">
        <v>0</v>
      </c>
      <c r="AP51" s="74">
        <v>0</v>
      </c>
      <c r="AQ51" s="74">
        <v>0</v>
      </c>
      <c r="AR51" s="190">
        <f t="shared" si="5"/>
        <v>0</v>
      </c>
      <c r="AS51" s="211"/>
      <c r="AT51" s="211"/>
    </row>
    <row r="52" spans="1:46" x14ac:dyDescent="0.2">
      <c r="A52" s="163" t="s">
        <v>58</v>
      </c>
      <c r="B52" s="172">
        <v>83112337.649226695</v>
      </c>
      <c r="C52" s="73">
        <v>35</v>
      </c>
      <c r="D52" s="74">
        <v>76494294.540000007</v>
      </c>
      <c r="E52" s="74">
        <v>57370720.905000001</v>
      </c>
      <c r="F52" s="190">
        <f t="shared" si="0"/>
        <v>0.92037231419048815</v>
      </c>
      <c r="G52" s="76">
        <v>23</v>
      </c>
      <c r="H52" s="74">
        <v>67574333.710000008</v>
      </c>
      <c r="I52" s="74">
        <v>50680750.282500006</v>
      </c>
      <c r="J52" s="190">
        <f t="shared" si="1"/>
        <v>0.81304816614827513</v>
      </c>
      <c r="K52" s="76">
        <v>11</v>
      </c>
      <c r="L52" s="74">
        <v>8889960.8300000001</v>
      </c>
      <c r="M52" s="75">
        <v>6667470.6225000005</v>
      </c>
      <c r="N52" s="76">
        <v>23</v>
      </c>
      <c r="O52" s="74">
        <v>66009953.93</v>
      </c>
      <c r="P52" s="74">
        <v>49507465.370000005</v>
      </c>
      <c r="Q52" s="190">
        <f t="shared" si="8"/>
        <v>0.79422569256315678</v>
      </c>
      <c r="R52" s="76">
        <v>1</v>
      </c>
      <c r="S52" s="74">
        <v>30000</v>
      </c>
      <c r="T52" s="75">
        <v>22500</v>
      </c>
      <c r="U52" s="76">
        <v>1</v>
      </c>
      <c r="V52" s="74">
        <v>152632.85</v>
      </c>
      <c r="W52" s="75">
        <v>114474.63750000001</v>
      </c>
      <c r="X52" s="76">
        <v>22</v>
      </c>
      <c r="Y52" s="74">
        <v>65827321.079999998</v>
      </c>
      <c r="Z52" s="74">
        <v>49370490.732500002</v>
      </c>
      <c r="AA52" s="190">
        <f t="shared" si="2"/>
        <v>0.79202827091475125</v>
      </c>
      <c r="AB52" s="76">
        <v>16</v>
      </c>
      <c r="AC52" s="77">
        <v>22</v>
      </c>
      <c r="AD52" s="74">
        <v>23243336.420000002</v>
      </c>
      <c r="AE52" s="74">
        <v>17432502.315000001</v>
      </c>
      <c r="AF52" s="190">
        <f t="shared" si="3"/>
        <v>0.27966168534565655</v>
      </c>
      <c r="AG52" s="77">
        <v>0</v>
      </c>
      <c r="AH52" s="75">
        <v>0</v>
      </c>
      <c r="AI52" s="76">
        <v>15</v>
      </c>
      <c r="AJ52" s="74">
        <v>30634383.84</v>
      </c>
      <c r="AK52" s="74">
        <v>22975787.829999998</v>
      </c>
      <c r="AL52" s="74">
        <v>29929798.840000004</v>
      </c>
      <c r="AM52" s="74">
        <v>22447349.09</v>
      </c>
      <c r="AN52" s="190">
        <f t="shared" si="4"/>
        <v>0.36859008790357412</v>
      </c>
      <c r="AO52" s="76">
        <v>10</v>
      </c>
      <c r="AP52" s="74">
        <v>18120658.469999999</v>
      </c>
      <c r="AQ52" s="74">
        <v>13590493.800000001</v>
      </c>
      <c r="AR52" s="190">
        <f t="shared" si="5"/>
        <v>0.2180260955536798</v>
      </c>
      <c r="AS52" s="211"/>
      <c r="AT52" s="211"/>
    </row>
    <row r="53" spans="1:46" ht="26.25" thickBot="1" x14ac:dyDescent="0.25">
      <c r="A53" s="165" t="s">
        <v>59</v>
      </c>
      <c r="B53" s="174">
        <v>240192041.3597067</v>
      </c>
      <c r="C53" s="99">
        <v>331</v>
      </c>
      <c r="D53" s="95">
        <v>390053288.33999997</v>
      </c>
      <c r="E53" s="95">
        <v>292539966.255</v>
      </c>
      <c r="F53" s="190">
        <f t="shared" si="0"/>
        <v>1.6239226168025449</v>
      </c>
      <c r="G53" s="97">
        <v>218</v>
      </c>
      <c r="H53" s="95">
        <v>215172495.61000001</v>
      </c>
      <c r="I53" s="95">
        <v>161379371.70750001</v>
      </c>
      <c r="J53" s="190">
        <f t="shared" si="1"/>
        <v>0.8958352424665148</v>
      </c>
      <c r="K53" s="97">
        <v>112</v>
      </c>
      <c r="L53" s="95">
        <v>175085838.53999999</v>
      </c>
      <c r="M53" s="100">
        <v>131314378.905</v>
      </c>
      <c r="N53" s="97">
        <v>187</v>
      </c>
      <c r="O53" s="95">
        <v>170436927.38</v>
      </c>
      <c r="P53" s="95">
        <v>127827695.18000001</v>
      </c>
      <c r="Q53" s="190">
        <f t="shared" si="8"/>
        <v>0.70958607294051479</v>
      </c>
      <c r="R53" s="97">
        <v>2</v>
      </c>
      <c r="S53" s="95">
        <v>1188332.24</v>
      </c>
      <c r="T53" s="100">
        <v>891249.18</v>
      </c>
      <c r="U53" s="97">
        <v>11</v>
      </c>
      <c r="V53" s="95">
        <v>380708.7</v>
      </c>
      <c r="W53" s="100">
        <v>285531.52500000002</v>
      </c>
      <c r="X53" s="97">
        <v>185</v>
      </c>
      <c r="Y53" s="95">
        <v>168867886.44</v>
      </c>
      <c r="Z53" s="95">
        <v>126650914.47500001</v>
      </c>
      <c r="AA53" s="190">
        <f t="shared" si="2"/>
        <v>0.70305362943773353</v>
      </c>
      <c r="AB53" s="97">
        <v>55</v>
      </c>
      <c r="AC53" s="98">
        <v>79</v>
      </c>
      <c r="AD53" s="95">
        <v>48575374.509999998</v>
      </c>
      <c r="AE53" s="95">
        <v>36431530.882499993</v>
      </c>
      <c r="AF53" s="190">
        <f t="shared" si="3"/>
        <v>0.20223557048359694</v>
      </c>
      <c r="AG53" s="98">
        <v>1</v>
      </c>
      <c r="AH53" s="100">
        <v>71140.399999999994</v>
      </c>
      <c r="AI53" s="97">
        <v>178</v>
      </c>
      <c r="AJ53" s="95">
        <v>139256934</v>
      </c>
      <c r="AK53" s="95">
        <v>104442700.07000001</v>
      </c>
      <c r="AL53" s="95">
        <v>13593115.800000001</v>
      </c>
      <c r="AM53" s="95">
        <v>10194836.789999999</v>
      </c>
      <c r="AN53" s="190">
        <f t="shared" si="4"/>
        <v>0.57977330644128899</v>
      </c>
      <c r="AO53" s="97">
        <v>171</v>
      </c>
      <c r="AP53" s="95">
        <v>131014380.73</v>
      </c>
      <c r="AQ53" s="95">
        <v>98260785.109999999</v>
      </c>
      <c r="AR53" s="190">
        <f t="shared" si="5"/>
        <v>0.54545679360706023</v>
      </c>
      <c r="AS53" s="211"/>
      <c r="AT53" s="211"/>
    </row>
    <row r="54" spans="1:46" s="80" customFormat="1" ht="26.25" thickBot="1" x14ac:dyDescent="0.25">
      <c r="A54" s="161" t="s">
        <v>185</v>
      </c>
      <c r="B54" s="132">
        <f>SUM(B55:B57)</f>
        <v>1192341.4366637554</v>
      </c>
      <c r="C54" s="142">
        <v>10</v>
      </c>
      <c r="D54" s="143">
        <v>3660935.08</v>
      </c>
      <c r="E54" s="143">
        <v>2745701.31</v>
      </c>
      <c r="F54" s="191">
        <f t="shared" si="0"/>
        <v>3.0703747831187695</v>
      </c>
      <c r="G54" s="142">
        <v>1</v>
      </c>
      <c r="H54" s="143">
        <v>1129660.8400000001</v>
      </c>
      <c r="I54" s="143">
        <v>847245.63000000012</v>
      </c>
      <c r="J54" s="191">
        <f t="shared" si="1"/>
        <v>0.94743066479418891</v>
      </c>
      <c r="K54" s="142">
        <v>9</v>
      </c>
      <c r="L54" s="143">
        <v>2531274.2400000002</v>
      </c>
      <c r="M54" s="143">
        <v>1898455.68</v>
      </c>
      <c r="N54" s="142">
        <v>1</v>
      </c>
      <c r="O54" s="143">
        <v>1127820.8400000001</v>
      </c>
      <c r="P54" s="143">
        <v>845865.63</v>
      </c>
      <c r="Q54" s="191">
        <f t="shared" si="8"/>
        <v>0.94588748266244271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845865.63000000012</v>
      </c>
      <c r="AA54" s="191">
        <f t="shared" si="2"/>
        <v>0.94588748266244271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1"/>
      <c r="AT54" s="211"/>
    </row>
    <row r="55" spans="1:46" x14ac:dyDescent="0.2">
      <c r="A55" s="162" t="s">
        <v>61</v>
      </c>
      <c r="B55" s="171">
        <v>1192341.4366637554</v>
      </c>
      <c r="C55" s="136">
        <v>4</v>
      </c>
      <c r="D55" s="137">
        <v>3030195.58</v>
      </c>
      <c r="E55" s="137">
        <v>2272646.6850000001</v>
      </c>
      <c r="F55" s="190">
        <f t="shared" si="0"/>
        <v>2.5413824319304656</v>
      </c>
      <c r="G55" s="139">
        <v>1</v>
      </c>
      <c r="H55" s="137">
        <v>1129660.8400000001</v>
      </c>
      <c r="I55" s="137">
        <v>847245.63000000012</v>
      </c>
      <c r="J55" s="190">
        <f t="shared" si="1"/>
        <v>0.94743066479418891</v>
      </c>
      <c r="K55" s="139">
        <v>3</v>
      </c>
      <c r="L55" s="137">
        <v>1900534.74</v>
      </c>
      <c r="M55" s="140">
        <v>1425401.0549999999</v>
      </c>
      <c r="N55" s="139">
        <v>1</v>
      </c>
      <c r="O55" s="137">
        <v>1127820.8400000001</v>
      </c>
      <c r="P55" s="137">
        <v>845865.63</v>
      </c>
      <c r="Q55" s="190">
        <f t="shared" si="8"/>
        <v>0.94588748266244271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845865.63000000012</v>
      </c>
      <c r="AA55" s="190">
        <f t="shared" si="2"/>
        <v>0.94588748266244271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1"/>
      <c r="AT55" s="211"/>
    </row>
    <row r="56" spans="1:46" ht="38.25" x14ac:dyDescent="0.2">
      <c r="A56" s="163" t="s">
        <v>62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1"/>
      <c r="AT56" s="211"/>
    </row>
    <row r="57" spans="1:46" ht="26.25" thickBot="1" x14ac:dyDescent="0.25">
      <c r="A57" s="165" t="s">
        <v>63</v>
      </c>
      <c r="B57" s="174">
        <v>0</v>
      </c>
      <c r="C57" s="99">
        <v>3</v>
      </c>
      <c r="D57" s="95">
        <v>209739.5</v>
      </c>
      <c r="E57" s="95">
        <v>157304.625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157304.625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1"/>
      <c r="AT57" s="211"/>
    </row>
    <row r="58" spans="1:46" ht="13.5" thickBot="1" x14ac:dyDescent="0.25">
      <c r="A58" s="161" t="s">
        <v>186</v>
      </c>
      <c r="B58" s="132">
        <f>B59</f>
        <v>189858006.06837338</v>
      </c>
      <c r="C58" s="142">
        <v>137</v>
      </c>
      <c r="D58" s="143">
        <v>142471319.26999998</v>
      </c>
      <c r="E58" s="143">
        <v>106853489.45249999</v>
      </c>
      <c r="F58" s="191">
        <f t="shared" si="0"/>
        <v>0.75040985745258448</v>
      </c>
      <c r="G58" s="142">
        <v>137</v>
      </c>
      <c r="H58" s="143">
        <v>142471319.26999998</v>
      </c>
      <c r="I58" s="143">
        <v>106853489.45249999</v>
      </c>
      <c r="J58" s="191">
        <f t="shared" si="1"/>
        <v>0.75040985745258448</v>
      </c>
      <c r="K58" s="142">
        <v>2</v>
      </c>
      <c r="L58" s="143">
        <v>925216.38</v>
      </c>
      <c r="M58" s="143">
        <v>693912.28500000003</v>
      </c>
      <c r="N58" s="142">
        <v>127</v>
      </c>
      <c r="O58" s="143">
        <v>114195241.64</v>
      </c>
      <c r="P58" s="143">
        <v>85646430.799999997</v>
      </c>
      <c r="Q58" s="191">
        <f t="shared" si="8"/>
        <v>0.60147709335404576</v>
      </c>
      <c r="R58" s="142">
        <v>0</v>
      </c>
      <c r="S58" s="143">
        <v>0</v>
      </c>
      <c r="T58" s="143">
        <v>0</v>
      </c>
      <c r="U58" s="142">
        <v>7</v>
      </c>
      <c r="V58" s="143">
        <v>475540.84</v>
      </c>
      <c r="W58" s="143">
        <v>356655.63</v>
      </c>
      <c r="X58" s="142">
        <v>127</v>
      </c>
      <c r="Y58" s="143">
        <v>113719700.8</v>
      </c>
      <c r="Z58" s="143">
        <v>85289775.170000002</v>
      </c>
      <c r="AA58" s="191">
        <f t="shared" si="2"/>
        <v>0.59897237496029654</v>
      </c>
      <c r="AB58" s="142">
        <v>110</v>
      </c>
      <c r="AC58" s="142">
        <v>169</v>
      </c>
      <c r="AD58" s="143">
        <v>99494892.689999998</v>
      </c>
      <c r="AE58" s="143">
        <v>74621169.517499998</v>
      </c>
      <c r="AF58" s="191">
        <f t="shared" si="3"/>
        <v>0.5240489708617766</v>
      </c>
      <c r="AG58" s="142">
        <v>0</v>
      </c>
      <c r="AH58" s="142">
        <v>0</v>
      </c>
      <c r="AI58" s="142">
        <v>104</v>
      </c>
      <c r="AJ58" s="143">
        <v>98483901.239999995</v>
      </c>
      <c r="AK58" s="143">
        <v>73862925.319999993</v>
      </c>
      <c r="AL58" s="142">
        <v>0</v>
      </c>
      <c r="AM58" s="142">
        <v>0</v>
      </c>
      <c r="AN58" s="191">
        <f t="shared" si="4"/>
        <v>0.51872398367300387</v>
      </c>
      <c r="AO58" s="142">
        <v>104</v>
      </c>
      <c r="AP58" s="143">
        <v>98483901.239999995</v>
      </c>
      <c r="AQ58" s="143">
        <v>73862925.319999993</v>
      </c>
      <c r="AR58" s="191">
        <f t="shared" si="5"/>
        <v>0.51872398367300387</v>
      </c>
      <c r="AS58" s="211"/>
      <c r="AT58" s="211"/>
    </row>
    <row r="59" spans="1:46" ht="13.5" thickBot="1" x14ac:dyDescent="0.25">
      <c r="A59" s="169" t="s">
        <v>64</v>
      </c>
      <c r="B59" s="175">
        <v>189858006.06837338</v>
      </c>
      <c r="C59" s="156">
        <v>137</v>
      </c>
      <c r="D59" s="157">
        <v>142471319.26999998</v>
      </c>
      <c r="E59" s="157">
        <v>106853489.45249999</v>
      </c>
      <c r="F59" s="190">
        <f t="shared" si="0"/>
        <v>0.75040985745258448</v>
      </c>
      <c r="G59" s="213">
        <v>137</v>
      </c>
      <c r="H59" s="214">
        <v>142471319.26999998</v>
      </c>
      <c r="I59" s="214">
        <v>106853489.45249999</v>
      </c>
      <c r="J59" s="190">
        <f t="shared" si="1"/>
        <v>0.75040985745258448</v>
      </c>
      <c r="K59" s="158">
        <v>2</v>
      </c>
      <c r="L59" s="157">
        <v>925216.38</v>
      </c>
      <c r="M59" s="159">
        <v>693912.28500000003</v>
      </c>
      <c r="N59" s="158">
        <v>127</v>
      </c>
      <c r="O59" s="157">
        <v>114195241.64</v>
      </c>
      <c r="P59" s="157">
        <v>85646430.799999997</v>
      </c>
      <c r="Q59" s="190">
        <f t="shared" si="8"/>
        <v>0.60147709335404576</v>
      </c>
      <c r="R59" s="158">
        <v>0</v>
      </c>
      <c r="S59" s="157">
        <v>0</v>
      </c>
      <c r="T59" s="159">
        <v>0</v>
      </c>
      <c r="U59" s="158">
        <v>7</v>
      </c>
      <c r="V59" s="157">
        <v>475540.84</v>
      </c>
      <c r="W59" s="159">
        <v>356655.63</v>
      </c>
      <c r="X59" s="158">
        <v>127</v>
      </c>
      <c r="Y59" s="157">
        <v>113719700.8</v>
      </c>
      <c r="Z59" s="157">
        <v>85289775.170000002</v>
      </c>
      <c r="AA59" s="190">
        <f t="shared" si="2"/>
        <v>0.59897237496029654</v>
      </c>
      <c r="AB59" s="158">
        <v>110</v>
      </c>
      <c r="AC59" s="160">
        <v>169</v>
      </c>
      <c r="AD59" s="157">
        <v>99494892.689999998</v>
      </c>
      <c r="AE59" s="157">
        <v>74621169.517499998</v>
      </c>
      <c r="AF59" s="190">
        <f t="shared" si="3"/>
        <v>0.5240489708617766</v>
      </c>
      <c r="AG59" s="160">
        <v>0</v>
      </c>
      <c r="AH59" s="159">
        <v>0</v>
      </c>
      <c r="AI59" s="158">
        <v>104</v>
      </c>
      <c r="AJ59" s="157">
        <v>98483901.239999995</v>
      </c>
      <c r="AK59" s="157">
        <v>73862925.319999993</v>
      </c>
      <c r="AL59" s="157">
        <v>0</v>
      </c>
      <c r="AM59" s="157">
        <v>0</v>
      </c>
      <c r="AN59" s="190">
        <f t="shared" si="4"/>
        <v>0.51872398367300387</v>
      </c>
      <c r="AO59" s="158">
        <v>104</v>
      </c>
      <c r="AP59" s="157">
        <v>98483901.239999995</v>
      </c>
      <c r="AQ59" s="157">
        <v>73862925.319999993</v>
      </c>
      <c r="AR59" s="190">
        <f t="shared" si="5"/>
        <v>0.51872398367300387</v>
      </c>
      <c r="AS59" s="211"/>
      <c r="AT59" s="211"/>
    </row>
    <row r="60" spans="1:46" ht="13.5" thickBot="1" x14ac:dyDescent="0.25">
      <c r="A60" s="170" t="s">
        <v>65</v>
      </c>
      <c r="B60" s="132">
        <f>SUM(B6+B28+B40+B45+B49+B54+B58)</f>
        <v>3203096606.7269173</v>
      </c>
      <c r="C60" s="133">
        <f>SUM(C6+C28+C40+C45+C49+C54+C58)</f>
        <v>12932</v>
      </c>
      <c r="D60" s="134">
        <f>SUM(D6+D28+D40+D45+D49+D54+D58)</f>
        <v>4223256851.5800004</v>
      </c>
      <c r="E60" s="134">
        <f>SUM(E6+E28+E40+E45+E49+E54+E58)</f>
        <v>3161884102.4049997</v>
      </c>
      <c r="F60" s="191">
        <f t="shared" si="0"/>
        <v>1.3184918752405452</v>
      </c>
      <c r="G60" s="133">
        <f>SUM(G6+G28+G40+G45+G49+G54+G58)</f>
        <v>11518</v>
      </c>
      <c r="H60" s="135">
        <f>SUM(H6+H28+H40+H45+H49+H54+H58)</f>
        <v>2891277354.9200001</v>
      </c>
      <c r="I60" s="135">
        <f>SUM(I6+I28+I40+I45+I49+I54+I58)</f>
        <v>2162565697.2589998</v>
      </c>
      <c r="J60" s="191">
        <f t="shared" si="1"/>
        <v>0.90265068772760193</v>
      </c>
      <c r="K60" s="133">
        <f t="shared" ref="K60:Z60" si="11">SUM(K6+K28+K40+K45+K49+K54+K58)</f>
        <v>2143</v>
      </c>
      <c r="L60" s="135">
        <f t="shared" si="11"/>
        <v>1081631525.5500002</v>
      </c>
      <c r="M60" s="135">
        <f t="shared" si="11"/>
        <v>819519497.67549992</v>
      </c>
      <c r="N60" s="133">
        <f t="shared" si="11"/>
        <v>10105</v>
      </c>
      <c r="O60" s="135">
        <f t="shared" si="11"/>
        <v>2582827231.7000003</v>
      </c>
      <c r="P60" s="135">
        <f t="shared" si="11"/>
        <v>1920056637.2420001</v>
      </c>
      <c r="Q60" s="191">
        <f t="shared" si="8"/>
        <v>0.80635321028898377</v>
      </c>
      <c r="R60" s="133">
        <f t="shared" si="11"/>
        <v>245</v>
      </c>
      <c r="S60" s="135">
        <f t="shared" si="11"/>
        <v>241336441.56999999</v>
      </c>
      <c r="T60" s="135">
        <f t="shared" si="11"/>
        <v>182382619.72999999</v>
      </c>
      <c r="U60" s="133">
        <f t="shared" si="11"/>
        <v>508</v>
      </c>
      <c r="V60" s="135">
        <f t="shared" si="11"/>
        <v>11948278.791999999</v>
      </c>
      <c r="W60" s="135">
        <f t="shared" si="11"/>
        <v>9539007.9204999991</v>
      </c>
      <c r="X60" s="133">
        <f t="shared" si="11"/>
        <v>9860</v>
      </c>
      <c r="Y60" s="135">
        <f t="shared" si="11"/>
        <v>2329542511.3425002</v>
      </c>
      <c r="Z60" s="135">
        <f t="shared" si="11"/>
        <v>1728135009.5825002</v>
      </c>
      <c r="AA60" s="191">
        <f t="shared" si="2"/>
        <v>0.7272782551891066</v>
      </c>
      <c r="AB60" s="133">
        <f t="shared" ref="AB60:AE60" si="12">SUM(AB6+AB28+AB40+AB45+AB49+AB54+AB58)</f>
        <v>7120</v>
      </c>
      <c r="AC60" s="133">
        <f t="shared" si="12"/>
        <v>7637</v>
      </c>
      <c r="AD60" s="135">
        <f t="shared" si="12"/>
        <v>1261721999.71</v>
      </c>
      <c r="AE60" s="210">
        <f t="shared" si="12"/>
        <v>924787657.46200001</v>
      </c>
      <c r="AF60" s="191">
        <f t="shared" si="3"/>
        <v>0.39390694525423325</v>
      </c>
      <c r="AG60" s="133">
        <f t="shared" ref="AG60:AM60" si="13">SUM(AG6+AG28+AG40+AG45+AG49+AG54+AG58)</f>
        <v>59</v>
      </c>
      <c r="AH60" s="135">
        <f t="shared" si="13"/>
        <v>11702765.48</v>
      </c>
      <c r="AI60" s="133">
        <f t="shared" si="13"/>
        <v>9202</v>
      </c>
      <c r="AJ60" s="134">
        <f t="shared" si="13"/>
        <v>1756596674.6500001</v>
      </c>
      <c r="AK60" s="134">
        <f t="shared" si="13"/>
        <v>1295474857.8199999</v>
      </c>
      <c r="AL60" s="134">
        <f t="shared" si="13"/>
        <v>627514325.8900001</v>
      </c>
      <c r="AM60" s="134">
        <f t="shared" si="13"/>
        <v>483480275.27100003</v>
      </c>
      <c r="AN60" s="191">
        <f t="shared" si="4"/>
        <v>0.54840577426260573</v>
      </c>
      <c r="AO60" s="133">
        <f>SUM(AO6+AO28+AO40+AO45+AO49+AO54+AO58)</f>
        <v>8448</v>
      </c>
      <c r="AP60" s="135">
        <f>SUM(AP6+AP28+AP40+AP45+AP49+AP54+AP58)</f>
        <v>1462187114.1099999</v>
      </c>
      <c r="AQ60" s="135">
        <f>SUM(AQ6+AQ28+AQ40+AQ45+AQ49+AQ54+AQ58)</f>
        <v>1069575433.3299999</v>
      </c>
      <c r="AR60" s="191">
        <f t="shared" si="5"/>
        <v>0.45649173085795097</v>
      </c>
      <c r="AS60" s="211"/>
      <c r="AT60" s="211"/>
    </row>
    <row r="61" spans="1:46" ht="21" customHeight="1" x14ac:dyDescent="0.2">
      <c r="A61" s="60" t="s">
        <v>170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Y61" s="86"/>
      <c r="Z61" s="86"/>
      <c r="AB61" s="79"/>
      <c r="AC61" s="79"/>
      <c r="AD61" s="226"/>
      <c r="AE61" s="79"/>
      <c r="AF61" s="79"/>
      <c r="AG61" s="79"/>
      <c r="AH61" s="61"/>
      <c r="AJ61" s="215"/>
      <c r="AK61" s="215"/>
      <c r="AL61" s="215"/>
      <c r="AM61" s="215"/>
      <c r="AN61" s="78"/>
      <c r="AO61" s="78"/>
      <c r="AP61" s="84"/>
      <c r="AQ61" s="84"/>
      <c r="AR61" s="78"/>
      <c r="AS61" s="211"/>
      <c r="AT61" s="211"/>
    </row>
    <row r="62" spans="1:46" ht="15.75" customHeight="1" x14ac:dyDescent="0.2">
      <c r="A62" s="60" t="s">
        <v>169</v>
      </c>
      <c r="B62" s="81"/>
      <c r="F62" s="85"/>
      <c r="G62" s="63"/>
      <c r="H62" s="63"/>
      <c r="I62" s="63"/>
      <c r="J62" s="63"/>
      <c r="K62" s="60"/>
      <c r="L62" s="64"/>
      <c r="X62" s="84"/>
      <c r="Y62" s="86"/>
      <c r="Z62" s="86"/>
      <c r="AB62" s="79"/>
      <c r="AC62" s="79"/>
      <c r="AD62" s="227"/>
      <c r="AE62" s="22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1"/>
      <c r="AT62" s="211"/>
    </row>
    <row r="63" spans="1:46" ht="12" customHeight="1" x14ac:dyDescent="0.2">
      <c r="A63" s="60" t="s">
        <v>222</v>
      </c>
      <c r="B63" s="81"/>
      <c r="F63" s="85"/>
      <c r="G63" s="63"/>
      <c r="H63" s="63"/>
      <c r="I63" s="63"/>
      <c r="J63" s="63"/>
      <c r="K63" s="60"/>
      <c r="L63" s="64"/>
      <c r="X63" s="84"/>
      <c r="Y63" s="86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1"/>
      <c r="AT63" s="211"/>
    </row>
    <row r="64" spans="1:46" ht="15" customHeight="1" x14ac:dyDescent="0.25">
      <c r="A64" s="60" t="s">
        <v>221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6"/>
      <c r="Z64" s="86"/>
      <c r="AB64" s="79"/>
      <c r="AC64" s="79"/>
      <c r="AD64" s="227"/>
      <c r="AE64" s="229"/>
      <c r="AF64" s="79"/>
      <c r="AG64" s="79"/>
      <c r="AH64" s="79"/>
      <c r="AJ64" s="78"/>
      <c r="AK64" s="78"/>
      <c r="AL64" s="78"/>
      <c r="AM64" s="78"/>
      <c r="AN64" s="78"/>
      <c r="AO64" s="78"/>
      <c r="AP64" s="225"/>
      <c r="AQ64" s="84"/>
      <c r="AR64" s="78"/>
      <c r="AS64" s="211"/>
      <c r="AT64" s="211"/>
    </row>
    <row r="65" spans="1:46" ht="12.75" customHeight="1" x14ac:dyDescent="0.2">
      <c r="A65" s="60" t="s">
        <v>219</v>
      </c>
      <c r="B65" s="81"/>
      <c r="F65" s="85"/>
      <c r="G65" s="63"/>
      <c r="H65" s="63"/>
      <c r="I65" s="63"/>
      <c r="J65" s="63"/>
      <c r="K65" s="60"/>
      <c r="L65" s="64"/>
      <c r="O65" s="62"/>
      <c r="P65" s="62"/>
      <c r="X65" s="84"/>
      <c r="Y65" s="86"/>
      <c r="Z65" s="86"/>
      <c r="AB65" s="79"/>
      <c r="AC65" s="79"/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1"/>
      <c r="AT65" s="211"/>
    </row>
    <row r="66" spans="1:46" ht="24.75" customHeight="1" x14ac:dyDescent="0.25">
      <c r="A66" s="60"/>
      <c r="B66" s="81"/>
      <c r="D66" s="85"/>
      <c r="E66" s="85"/>
      <c r="F66" s="85"/>
      <c r="G66" s="63"/>
      <c r="H66" s="63"/>
      <c r="I66" s="63"/>
      <c r="J66" s="63"/>
      <c r="K66" s="60"/>
      <c r="L66" s="64"/>
      <c r="O66" s="62"/>
      <c r="P66" s="237"/>
      <c r="X66" s="84"/>
      <c r="Y66" s="86"/>
      <c r="Z66" s="86"/>
      <c r="AB66" s="79"/>
      <c r="AC66" s="79"/>
      <c r="AD66" s="227"/>
      <c r="AE66" s="79"/>
      <c r="AF66" s="79"/>
      <c r="AG66" s="79"/>
      <c r="AH66" s="79"/>
      <c r="AI66" s="84"/>
      <c r="AJ66" s="209"/>
      <c r="AK66" s="209"/>
      <c r="AL66" s="209"/>
      <c r="AM66" s="209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64"/>
      <c r="E67" s="64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236"/>
      <c r="X67" s="84"/>
      <c r="Y67" s="86"/>
      <c r="Z67" s="86"/>
      <c r="AA67" s="82"/>
      <c r="AB67" s="82"/>
      <c r="AC67" s="82"/>
      <c r="AD67" s="62"/>
      <c r="AE67" s="228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30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="90" zoomScaleNormal="90" workbookViewId="0">
      <selection activeCell="G47" sqref="G47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7" width="9.140625" style="6"/>
    <col min="18" max="18" width="16.7109375" style="6" bestFit="1" customWidth="1"/>
    <col min="19" max="16384" width="9.140625" style="6"/>
  </cols>
  <sheetData>
    <row r="1" spans="1:18" ht="36.75" customHeight="1" thickBot="1" x14ac:dyDescent="0.25">
      <c r="A1" s="265" t="s">
        <v>67</v>
      </c>
      <c r="B1" s="265" t="s">
        <v>68</v>
      </c>
      <c r="C1" s="265"/>
      <c r="D1" s="265" t="s">
        <v>201</v>
      </c>
      <c r="E1" s="265" t="s">
        <v>69</v>
      </c>
      <c r="F1" s="269" t="s">
        <v>70</v>
      </c>
      <c r="G1" s="270"/>
      <c r="H1" s="271"/>
      <c r="I1" s="272" t="s">
        <v>202</v>
      </c>
      <c r="J1" s="273"/>
      <c r="K1" s="274"/>
      <c r="L1" s="259" t="s">
        <v>203</v>
      </c>
      <c r="M1" s="260"/>
      <c r="N1" s="261"/>
      <c r="O1" s="262" t="s">
        <v>71</v>
      </c>
    </row>
    <row r="2" spans="1:18" ht="30.75" customHeight="1" thickBot="1" x14ac:dyDescent="0.25">
      <c r="A2" s="266"/>
      <c r="B2" s="267"/>
      <c r="C2" s="266"/>
      <c r="D2" s="268"/>
      <c r="E2" s="266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63"/>
    </row>
    <row r="3" spans="1:18" ht="12.7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marca 2021 r'!Z7</f>
        <v>6135577.9800000004</v>
      </c>
      <c r="G3" s="16">
        <f>F3/'Dane - 31 marca 2021 r'!$B$3</f>
        <v>1337893.1487134758</v>
      </c>
      <c r="H3" s="17">
        <f>G3/E3</f>
        <v>0.90353009219273861</v>
      </c>
      <c r="I3" s="16">
        <f>'Dane - 31 marca 2021 r'!AK7</f>
        <v>382500</v>
      </c>
      <c r="J3" s="16">
        <f>I3/'Dane - 31 marca 2021 r'!$B$3</f>
        <v>83406.01831661578</v>
      </c>
      <c r="K3" s="17">
        <f>J3/E3</f>
        <v>5.6327254154419942E-2</v>
      </c>
      <c r="L3" s="16">
        <f>'Dane - 31 marca 2021 r'!AQ7</f>
        <v>0</v>
      </c>
      <c r="M3" s="16">
        <f>L3/'Dane - 31 marca 2021 r'!$B$3</f>
        <v>0</v>
      </c>
      <c r="N3" s="17">
        <f>M3/E3</f>
        <v>0</v>
      </c>
      <c r="O3" s="19">
        <f>'Dane - 31 marca 2021 r'!X7</f>
        <v>1</v>
      </c>
      <c r="P3" s="235"/>
      <c r="R3" s="238">
        <v>0.75</v>
      </c>
    </row>
    <row r="4" spans="1:18" ht="12.75" x14ac:dyDescent="0.2">
      <c r="A4" s="20" t="s">
        <v>75</v>
      </c>
      <c r="B4" s="21" t="s">
        <v>78</v>
      </c>
      <c r="C4" s="2" t="s">
        <v>79</v>
      </c>
      <c r="D4" s="22">
        <v>3673999.9999999907</v>
      </c>
      <c r="E4" s="22">
        <v>2755500</v>
      </c>
      <c r="F4" s="22">
        <f>'Dane - 31 marca 2021 r'!Z8</f>
        <v>11309164.887499999</v>
      </c>
      <c r="G4" s="22">
        <f>F4/'Dane - 31 marca 2021 r'!$B$3</f>
        <v>2466019.3823593543</v>
      </c>
      <c r="H4" s="18">
        <f t="shared" ref="H4:H56" si="0">G4/E4</f>
        <v>0.89494443199395912</v>
      </c>
      <c r="I4" s="22">
        <f>'Dane - 31 marca 2021 r'!AK8</f>
        <v>10401584.899999999</v>
      </c>
      <c r="J4" s="22">
        <f>I4/'Dane - 31 marca 2021 r'!$B$3</f>
        <v>2268117.0737025724</v>
      </c>
      <c r="K4" s="18">
        <f>J4/E4</f>
        <v>0.82312359778717925</v>
      </c>
      <c r="L4" s="22">
        <f>'Dane - 31 marca 2021 r'!AQ8</f>
        <v>9081028.5500000007</v>
      </c>
      <c r="M4" s="22">
        <f>L4/'Dane - 31 marca 2021 r'!$B$3</f>
        <v>1980163.2250327084</v>
      </c>
      <c r="N4" s="18">
        <f t="shared" ref="N4:N56" si="1">M4/E4</f>
        <v>0.71862211033667511</v>
      </c>
      <c r="O4" s="23">
        <f>'Dane - 31 marca 2021 r'!X8</f>
        <v>267</v>
      </c>
      <c r="P4" s="235"/>
      <c r="R4" s="238">
        <v>0.75</v>
      </c>
    </row>
    <row r="5" spans="1:18" ht="12.7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marca 2021 r'!Z9</f>
        <v>3145888.14</v>
      </c>
      <c r="G5" s="22">
        <f>F5/'Dane - 31 marca 2021 r'!$B$3</f>
        <v>685976.4805931095</v>
      </c>
      <c r="H5" s="18">
        <f t="shared" si="0"/>
        <v>0.38920651381169336</v>
      </c>
      <c r="I5" s="22">
        <f>'Dane - 31 marca 2021 r'!AK9</f>
        <v>640720.42000000004</v>
      </c>
      <c r="J5" s="22">
        <f>I5/'Dane - 31 marca 2021 r'!$B$3</f>
        <v>139712.25904928043</v>
      </c>
      <c r="K5" s="18">
        <f>J5/E5</f>
        <v>7.9269366836471164E-2</v>
      </c>
      <c r="L5" s="22">
        <f>'Dane - 31 marca 2021 r'!AQ9</f>
        <v>0</v>
      </c>
      <c r="M5" s="22">
        <f>L5/'Dane - 31 marca 2021 r'!$B$3</f>
        <v>0</v>
      </c>
      <c r="N5" s="18">
        <f t="shared" si="1"/>
        <v>0</v>
      </c>
      <c r="O5" s="23">
        <f>'Dane - 31 marca 2021 r'!X9</f>
        <v>2</v>
      </c>
      <c r="P5" s="235"/>
      <c r="R5" s="238">
        <v>0.75</v>
      </c>
    </row>
    <row r="6" spans="1:18" ht="12.75" x14ac:dyDescent="0.2">
      <c r="A6" s="40" t="s">
        <v>75</v>
      </c>
      <c r="B6" s="41" t="s">
        <v>82</v>
      </c>
      <c r="C6" s="42" t="s">
        <v>83</v>
      </c>
      <c r="D6" s="43">
        <v>36485603</v>
      </c>
      <c r="E6" s="43">
        <v>27364202</v>
      </c>
      <c r="F6" s="43">
        <f t="shared" ref="F6:M6" si="2">SUM(F7:F9)</f>
        <v>103439110.8175</v>
      </c>
      <c r="G6" s="43">
        <f t="shared" si="2"/>
        <v>22555410.121565636</v>
      </c>
      <c r="H6" s="44">
        <f t="shared" si="0"/>
        <v>0.8242670523176826</v>
      </c>
      <c r="I6" s="43">
        <f t="shared" si="2"/>
        <v>90061556.799999997</v>
      </c>
      <c r="J6" s="43">
        <f t="shared" si="2"/>
        <v>19638368.251199301</v>
      </c>
      <c r="K6" s="44">
        <f>J6/E6</f>
        <v>0.71766639682017042</v>
      </c>
      <c r="L6" s="43">
        <f t="shared" si="2"/>
        <v>73202828.309999987</v>
      </c>
      <c r="M6" s="43">
        <f t="shared" si="2"/>
        <v>15962239.055822065</v>
      </c>
      <c r="N6" s="44">
        <f t="shared" si="1"/>
        <v>0.58332558193445816</v>
      </c>
      <c r="O6" s="45">
        <f>SUM(O7:O9)</f>
        <v>36</v>
      </c>
      <c r="P6" s="235"/>
      <c r="R6" s="238">
        <v>0.75</v>
      </c>
    </row>
    <row r="7" spans="1:18" ht="12.75" x14ac:dyDescent="0.2">
      <c r="A7" s="20" t="s">
        <v>75</v>
      </c>
      <c r="B7" s="21" t="s">
        <v>84</v>
      </c>
      <c r="C7" s="2" t="s">
        <v>85</v>
      </c>
      <c r="D7" s="22">
        <v>19049999.999999952</v>
      </c>
      <c r="E7" s="22">
        <v>14287500</v>
      </c>
      <c r="F7" s="22">
        <f>'Dane - 31 marca 2021 r'!Z11</f>
        <v>62279533.094999999</v>
      </c>
      <c r="G7" s="22">
        <f>F7/'Dane - 31 marca 2021 r'!$B$3</f>
        <v>13580360.465547318</v>
      </c>
      <c r="H7" s="18">
        <f t="shared" si="0"/>
        <v>0.95050641928590152</v>
      </c>
      <c r="I7" s="22">
        <f>'Dane - 31 marca 2021 r'!AK11</f>
        <v>62703552.759999998</v>
      </c>
      <c r="J7" s="22">
        <f>I7/'Dane - 31 marca 2021 r'!$B$3</f>
        <v>13672820.052333187</v>
      </c>
      <c r="K7" s="18">
        <f>J7/E7</f>
        <v>0.95697778144064305</v>
      </c>
      <c r="L7" s="22">
        <f>'Dane - 31 marca 2021 r'!AQ11</f>
        <v>50947691.219999999</v>
      </c>
      <c r="M7" s="22">
        <f>L7/'Dane - 31 marca 2021 r'!$B$3</f>
        <v>11109396.25381596</v>
      </c>
      <c r="N7" s="18">
        <f t="shared" si="1"/>
        <v>0.77756054269927977</v>
      </c>
      <c r="O7" s="23">
        <f>'Dane - 31 marca 2021 r'!X11</f>
        <v>14</v>
      </c>
      <c r="P7" s="235"/>
      <c r="R7" s="239">
        <v>0.75</v>
      </c>
    </row>
    <row r="8" spans="1:18" ht="12.75" x14ac:dyDescent="0.2">
      <c r="A8" s="20" t="s">
        <v>75</v>
      </c>
      <c r="B8" s="21" t="s">
        <v>86</v>
      </c>
      <c r="C8" s="2" t="s">
        <v>83</v>
      </c>
      <c r="D8" s="240">
        <v>17115603</v>
      </c>
      <c r="E8" s="22">
        <v>12836702</v>
      </c>
      <c r="F8" s="22">
        <f>'Dane - 31 marca 2021 r'!Z12</f>
        <v>40762834.342500001</v>
      </c>
      <c r="G8" s="22">
        <f>F8/'Dane - 31 marca 2021 r'!$B$3</f>
        <v>8888537.798190143</v>
      </c>
      <c r="H8" s="18">
        <f t="shared" si="0"/>
        <v>0.69243157613148165</v>
      </c>
      <c r="I8" s="22">
        <f>'Dane - 31 marca 2021 r'!AK12</f>
        <v>26961260.690000001</v>
      </c>
      <c r="J8" s="22">
        <f>I8/'Dane - 31 marca 2021 r'!$B$3</f>
        <v>5879036.34757959</v>
      </c>
      <c r="K8" s="18">
        <f t="shared" ref="K8:K56" si="3">J8/E8</f>
        <v>0.45798650989791539</v>
      </c>
      <c r="L8" s="22">
        <f>'Dane - 31 marca 2021 r'!AQ12</f>
        <v>21858393.739999998</v>
      </c>
      <c r="M8" s="22">
        <f>L8/'Dane - 31 marca 2021 r'!$B$3</f>
        <v>4766330.950719581</v>
      </c>
      <c r="N8" s="18">
        <f t="shared" si="1"/>
        <v>0.37130494660696967</v>
      </c>
      <c r="O8" s="23">
        <f>'Dane - 31 marca 2021 r'!X12</f>
        <v>10</v>
      </c>
      <c r="P8" s="235"/>
      <c r="R8" s="239">
        <v>0.75</v>
      </c>
    </row>
    <row r="9" spans="1:18" ht="21" x14ac:dyDescent="0.2">
      <c r="A9" s="20" t="s">
        <v>75</v>
      </c>
      <c r="B9" s="21" t="s">
        <v>87</v>
      </c>
      <c r="C9" s="2" t="s">
        <v>88</v>
      </c>
      <c r="D9" s="22">
        <v>319999.99999999919</v>
      </c>
      <c r="E9" s="22">
        <v>240000</v>
      </c>
      <c r="F9" s="22">
        <f>'Dane - 31 marca 2021 r'!Z13</f>
        <v>396743.38</v>
      </c>
      <c r="G9" s="22">
        <f>F9/'Dane - 31 marca 2021 r'!$B$3</f>
        <v>86511.857828172695</v>
      </c>
      <c r="H9" s="18">
        <f t="shared" si="0"/>
        <v>0.36046607428405292</v>
      </c>
      <c r="I9" s="22">
        <f>'Dane - 31 marca 2021 r'!AK13</f>
        <v>396743.35000000003</v>
      </c>
      <c r="J9" s="22">
        <f>I9/'Dane - 31 marca 2021 r'!$B$3</f>
        <v>86511.851286524208</v>
      </c>
      <c r="K9" s="18">
        <f t="shared" si="3"/>
        <v>0.36046604702718421</v>
      </c>
      <c r="L9" s="22">
        <f>'Dane - 31 marca 2021 r'!AQ13</f>
        <v>396743.35</v>
      </c>
      <c r="M9" s="22">
        <f>L9/'Dane - 31 marca 2021 r'!$B$3</f>
        <v>86511.851286524194</v>
      </c>
      <c r="N9" s="18">
        <f t="shared" si="1"/>
        <v>0.36046604702718416</v>
      </c>
      <c r="O9" s="23">
        <f>'Dane - 31 marca 2021 r'!X13</f>
        <v>12</v>
      </c>
      <c r="P9" s="235"/>
      <c r="R9" s="239">
        <v>0.75</v>
      </c>
    </row>
    <row r="10" spans="1:18" ht="12.7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- 31 marca 2021 r'!Z14</f>
        <v>18807078.579999998</v>
      </c>
      <c r="G10" s="22">
        <f>F10/'Dane - 31 marca 2021 r'!$B$3</f>
        <v>4100976.5765372869</v>
      </c>
      <c r="H10" s="18">
        <f t="shared" si="0"/>
        <v>0.72712350647824231</v>
      </c>
      <c r="I10" s="22">
        <f>'Dane - 31 marca 2021 r'!AK14</f>
        <v>14656006.710000001</v>
      </c>
      <c r="J10" s="22">
        <f>I10/'Dane - 31 marca 2021 r'!$B$3</f>
        <v>3195814.8081116443</v>
      </c>
      <c r="K10" s="18">
        <f t="shared" si="3"/>
        <v>0.56663383122546884</v>
      </c>
      <c r="L10" s="22">
        <f>'Dane - 31 marca 2021 r'!AQ14</f>
        <v>10410481.140000001</v>
      </c>
      <c r="M10" s="22">
        <f>L10/'Dane - 31 marca 2021 r'!$B$3</f>
        <v>2270056.9428696032</v>
      </c>
      <c r="N10" s="18">
        <f t="shared" si="1"/>
        <v>0.40249236575702185</v>
      </c>
      <c r="O10" s="23">
        <f>'Dane - 31 marca 2021 r'!X14</f>
        <v>11</v>
      </c>
      <c r="P10" s="235"/>
      <c r="R10" s="238">
        <v>0.75</v>
      </c>
    </row>
    <row r="11" spans="1:18" ht="12.7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- 31 marca 2021 r'!Z15</f>
        <v>27490381</v>
      </c>
      <c r="G11" s="22">
        <f>F11/'Dane - 31 marca 2021 r'!$B$3</f>
        <v>5994413.6502398597</v>
      </c>
      <c r="H11" s="18">
        <f t="shared" si="0"/>
        <v>0.81554018601575151</v>
      </c>
      <c r="I11" s="22">
        <f>'Dane - 31 marca 2021 r'!AK15</f>
        <v>26835697.870000001</v>
      </c>
      <c r="J11" s="22">
        <f>I11/'Dane - 31 marca 2021 r'!$B$3</f>
        <v>5851656.7531617964</v>
      </c>
      <c r="K11" s="18">
        <f t="shared" si="3"/>
        <v>0.79611810519331505</v>
      </c>
      <c r="L11" s="22">
        <f>'Dane - 31 marca 2021 r'!AQ15</f>
        <v>26835697.870000001</v>
      </c>
      <c r="M11" s="22">
        <f>L11/'Dane - 31 marca 2021 r'!$B$3</f>
        <v>5851656.7531617964</v>
      </c>
      <c r="N11" s="18">
        <f t="shared" si="1"/>
        <v>0.79611810519331505</v>
      </c>
      <c r="O11" s="23">
        <f>'Dane - 31 marca 2021 r'!X15</f>
        <v>154</v>
      </c>
      <c r="P11" s="235"/>
      <c r="R11" s="238">
        <v>0.5</v>
      </c>
    </row>
    <row r="12" spans="1:18" ht="12.75" x14ac:dyDescent="0.2">
      <c r="A12" s="20" t="s">
        <v>75</v>
      </c>
      <c r="B12" s="21" t="s">
        <v>93</v>
      </c>
      <c r="C12" s="2" t="s">
        <v>94</v>
      </c>
      <c r="D12" s="22">
        <v>619999.99999999837</v>
      </c>
      <c r="E12" s="22">
        <v>465000</v>
      </c>
      <c r="F12" s="22">
        <f>'Dane - 31 marca 2021 r'!Z16</f>
        <v>2025000</v>
      </c>
      <c r="G12" s="22">
        <f>F12/'Dane - 31 marca 2021 r'!$B$3</f>
        <v>441561.27344090707</v>
      </c>
      <c r="H12" s="18">
        <f t="shared" si="0"/>
        <v>0.94959413643205826</v>
      </c>
      <c r="I12" s="22">
        <f>'Dane - 31 marca 2021 r'!AK16</f>
        <v>212737.2</v>
      </c>
      <c r="J12" s="22">
        <f>I12/'Dane - 31 marca 2021 r'!$B$3</f>
        <v>46388.399476668121</v>
      </c>
      <c r="K12" s="18">
        <f t="shared" si="3"/>
        <v>9.9759998874555098E-2</v>
      </c>
      <c r="L12" s="22">
        <f>'Dane - 31 marca 2021 r'!AQ16</f>
        <v>212737.2</v>
      </c>
      <c r="M12" s="22">
        <f>L12/'Dane - 31 marca 2021 r'!$B$3</f>
        <v>46388.399476668121</v>
      </c>
      <c r="N12" s="18">
        <f t="shared" si="1"/>
        <v>9.9759998874555098E-2</v>
      </c>
      <c r="O12" s="23">
        <f>'Dane - 31 marca 2021 r'!X16</f>
        <v>3</v>
      </c>
      <c r="P12" s="235"/>
      <c r="R12" s="238">
        <v>0.75</v>
      </c>
    </row>
    <row r="13" spans="1:18" ht="12.75" x14ac:dyDescent="0.2">
      <c r="A13" s="20" t="s">
        <v>75</v>
      </c>
      <c r="B13" s="21" t="s">
        <v>95</v>
      </c>
      <c r="C13" s="2" t="s">
        <v>96</v>
      </c>
      <c r="D13" s="22">
        <v>14738007.999999963</v>
      </c>
      <c r="E13" s="22">
        <v>11053506</v>
      </c>
      <c r="F13" s="22">
        <f>'Dane - 31 marca 2021 r'!Z17</f>
        <v>25454078.295000002</v>
      </c>
      <c r="G13" s="22">
        <f>F13/'Dane - 31 marca 2021 r'!$B$3</f>
        <v>5550387.7660270389</v>
      </c>
      <c r="H13" s="18">
        <f t="shared" si="0"/>
        <v>0.50213821442961526</v>
      </c>
      <c r="I13" s="22">
        <f>'Dane - 31 marca 2021 r'!AK17</f>
        <v>17863645.280000001</v>
      </c>
      <c r="J13" s="22">
        <f>I13/'Dane - 31 marca 2021 r'!$B$3</f>
        <v>3895256.2756214566</v>
      </c>
      <c r="K13" s="18">
        <f t="shared" si="3"/>
        <v>0.35240006886696912</v>
      </c>
      <c r="L13" s="22">
        <f>'Dane - 31 marca 2021 r'!AQ17</f>
        <v>11207819.800000001</v>
      </c>
      <c r="M13" s="22">
        <f>L13/'Dane - 31 marca 2021 r'!$B$3</f>
        <v>2443920.5843872656</v>
      </c>
      <c r="N13" s="18">
        <f t="shared" si="1"/>
        <v>0.22109913220178878</v>
      </c>
      <c r="O13" s="23">
        <f>'Dane - 31 marca 2021 r'!X17</f>
        <v>160</v>
      </c>
      <c r="P13" s="235"/>
      <c r="R13" s="238">
        <v>0.75</v>
      </c>
    </row>
    <row r="14" spans="1:18" ht="12.7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- 31 marca 2021 r'!Z18</f>
        <v>19042723.862499997</v>
      </c>
      <c r="G14" s="22">
        <f>F14/'Dane - 31 marca 2021 r'!$B$3</f>
        <v>4152360.1967945914</v>
      </c>
      <c r="H14" s="18">
        <f t="shared" si="0"/>
        <v>0.65931378514659189</v>
      </c>
      <c r="I14" s="22">
        <f>'Dane - 31 marca 2021 r'!AK18</f>
        <v>14187729.439999999</v>
      </c>
      <c r="J14" s="22">
        <f>I14/'Dane - 31 marca 2021 r'!$B$3</f>
        <v>3093704.6314871344</v>
      </c>
      <c r="K14" s="18">
        <f t="shared" si="3"/>
        <v>0.49121993614279547</v>
      </c>
      <c r="L14" s="22">
        <f>'Dane - 31 marca 2021 r'!AQ18</f>
        <v>9827584.4499999993</v>
      </c>
      <c r="M14" s="22">
        <f>L14/'Dane - 31 marca 2021 r'!$B$3</f>
        <v>2142953.4343654597</v>
      </c>
      <c r="N14" s="18">
        <f t="shared" si="1"/>
        <v>0.34025919555221867</v>
      </c>
      <c r="O14" s="23">
        <f>'Dane - 31 marca 2021 r'!X18</f>
        <v>259</v>
      </c>
      <c r="P14" s="235"/>
      <c r="R14" s="238">
        <v>0.75</v>
      </c>
    </row>
    <row r="15" spans="1:18" ht="12.75" x14ac:dyDescent="0.2">
      <c r="A15" s="40" t="s">
        <v>75</v>
      </c>
      <c r="B15" s="41" t="s">
        <v>99</v>
      </c>
      <c r="C15" s="42" t="s">
        <v>100</v>
      </c>
      <c r="D15" s="43">
        <f>D16+D17</f>
        <v>77640919.999999881</v>
      </c>
      <c r="E15" s="43">
        <v>49480690</v>
      </c>
      <c r="F15" s="43">
        <f>'Dane - 31 marca 2021 r'!Z19</f>
        <v>216418112.5</v>
      </c>
      <c r="G15" s="43">
        <f>F15/'Dane - 31 marca 2021 r'!$B$3</f>
        <v>47191040.667248145</v>
      </c>
      <c r="H15" s="44">
        <f t="shared" si="0"/>
        <v>0.95372640654865859</v>
      </c>
      <c r="I15" s="43">
        <f>'Dane - 31 marca 2021 r'!AK19</f>
        <v>199107887.5</v>
      </c>
      <c r="J15" s="43">
        <f>I15/'Dane - 31 marca 2021 r'!$B$3</f>
        <v>43416460.423026599</v>
      </c>
      <c r="K15" s="44">
        <f t="shared" si="3"/>
        <v>0.87744250177244087</v>
      </c>
      <c r="L15" s="43">
        <f>'Dane - 31 marca 2021 r'!AQ19</f>
        <v>199107887.5</v>
      </c>
      <c r="M15" s="43">
        <f>L15/'Dane - 31 marca 2021 r'!$B$3</f>
        <v>43416460.423026599</v>
      </c>
      <c r="N15" s="44">
        <f t="shared" si="1"/>
        <v>0.87744250177244087</v>
      </c>
      <c r="O15" s="45">
        <f>'Dane - 31 marca 2021 r'!X19</f>
        <v>3847</v>
      </c>
      <c r="P15" s="235"/>
      <c r="R15" s="238">
        <v>0.5</v>
      </c>
    </row>
    <row r="16" spans="1:18" ht="12.75" x14ac:dyDescent="0.2">
      <c r="A16" s="20" t="s">
        <v>75</v>
      </c>
      <c r="B16" s="21" t="s">
        <v>229</v>
      </c>
      <c r="C16" s="2" t="s">
        <v>100</v>
      </c>
      <c r="D16" s="22">
        <v>35000000</v>
      </c>
      <c r="E16" s="22">
        <v>17500000</v>
      </c>
      <c r="F16" s="22">
        <f>'Dane - 31 marca 2021 r'!Z20</f>
        <v>75439000</v>
      </c>
      <c r="G16" s="22">
        <f>F16/'Dane - 31 marca 2021 r'!$B$3</f>
        <v>16449847.361535106</v>
      </c>
      <c r="H16" s="18">
        <f t="shared" si="0"/>
        <v>0.93999127780200609</v>
      </c>
      <c r="I16" s="22">
        <f>'Dane - 31 marca 2021 r'!AK20</f>
        <v>75439000</v>
      </c>
      <c r="J16" s="22">
        <f>I16/'Dane - 31 marca 2021 r'!$B$3</f>
        <v>16449847.361535106</v>
      </c>
      <c r="K16" s="18">
        <f t="shared" si="3"/>
        <v>0.93999127780200609</v>
      </c>
      <c r="L16" s="22">
        <f>'Dane - 31 marca 2021 r'!AQ20</f>
        <v>75439000</v>
      </c>
      <c r="M16" s="22">
        <f>L16/'Dane - 31 marca 2021 r'!$B$3</f>
        <v>16449847.361535106</v>
      </c>
      <c r="N16" s="18">
        <f t="shared" si="1"/>
        <v>0.93999127780200609</v>
      </c>
      <c r="O16" s="23">
        <f>'Dane - 31 marca 2021 r'!X20</f>
        <v>2645</v>
      </c>
      <c r="P16" s="235"/>
      <c r="R16" s="238">
        <v>0.75</v>
      </c>
    </row>
    <row r="17" spans="1:18" ht="12.75" x14ac:dyDescent="0.2">
      <c r="A17" s="20" t="s">
        <v>75</v>
      </c>
      <c r="B17" s="21" t="s">
        <v>230</v>
      </c>
      <c r="C17" s="2" t="s">
        <v>228</v>
      </c>
      <c r="D17" s="22">
        <v>42640919.999999888</v>
      </c>
      <c r="E17" s="22">
        <v>31980690</v>
      </c>
      <c r="F17" s="22">
        <f>'Dane - 31 marca 2021 r'!Z21</f>
        <v>140979112.5</v>
      </c>
      <c r="G17" s="22">
        <f>F17/'Dane - 31 marca 2021 r'!$B$3</f>
        <v>30741193.305713039</v>
      </c>
      <c r="H17" s="18">
        <f t="shared" si="0"/>
        <v>0.96124234047836488</v>
      </c>
      <c r="I17" s="22">
        <f>'Dane - 31 marca 2021 r'!AK21</f>
        <v>123668887.5</v>
      </c>
      <c r="J17" s="22">
        <f>I17/'Dane - 31 marca 2021 r'!$B$3</f>
        <v>26966613.061491493</v>
      </c>
      <c r="K17" s="18">
        <f t="shared" si="3"/>
        <v>0.84321548601645224</v>
      </c>
      <c r="L17" s="22">
        <f>'Dane - 31 marca 2021 r'!AQ21</f>
        <v>123668887.5</v>
      </c>
      <c r="M17" s="22">
        <f>L17/'Dane - 31 marca 2021 r'!$B$3</f>
        <v>26966613.061491493</v>
      </c>
      <c r="N17" s="18">
        <f t="shared" si="1"/>
        <v>0.84321548601645224</v>
      </c>
      <c r="O17" s="23">
        <f>'Dane - 31 marca 2021 r'!X21</f>
        <v>1202</v>
      </c>
      <c r="P17" s="235"/>
      <c r="R17" s="238">
        <v>0.75</v>
      </c>
    </row>
    <row r="18" spans="1:18" ht="21" x14ac:dyDescent="0.2">
      <c r="A18" s="20" t="s">
        <v>75</v>
      </c>
      <c r="B18" s="21" t="s">
        <v>101</v>
      </c>
      <c r="C18" s="2" t="s">
        <v>102</v>
      </c>
      <c r="D18" s="22">
        <v>23413335.99999994</v>
      </c>
      <c r="E18" s="22">
        <v>17560002</v>
      </c>
      <c r="F18" s="22">
        <f>'Dane - 31 marca 2021 r'!Z22</f>
        <v>63474739.480000004</v>
      </c>
      <c r="G18" s="22">
        <f>F18/'Dane - 31 marca 2021 r'!$B$3</f>
        <v>13840981.133885739</v>
      </c>
      <c r="H18" s="18">
        <f t="shared" si="0"/>
        <v>0.78821068094899649</v>
      </c>
      <c r="I18" s="22">
        <f>'Dane - 31 marca 2021 r'!AK22</f>
        <v>50431853.210000001</v>
      </c>
      <c r="J18" s="22">
        <f>I18/'Dane - 31 marca 2021 r'!$B$3</f>
        <v>10996915.222416049</v>
      </c>
      <c r="K18" s="18">
        <f t="shared" si="3"/>
        <v>0.62624794817312945</v>
      </c>
      <c r="L18" s="22">
        <f>'Dane - 31 marca 2021 r'!AQ22</f>
        <v>28861208.129999999</v>
      </c>
      <c r="M18" s="22">
        <f>L18/'Dane - 31 marca 2021 r'!$B$3</f>
        <v>6293329.2913214127</v>
      </c>
      <c r="N18" s="18">
        <f t="shared" si="1"/>
        <v>0.35839000993971487</v>
      </c>
      <c r="O18" s="23">
        <f>'Dane - 31 marca 2021 r'!X22</f>
        <v>382</v>
      </c>
      <c r="P18" s="235"/>
      <c r="R18" s="238">
        <v>0.75</v>
      </c>
    </row>
    <row r="19" spans="1:18" ht="12.75" x14ac:dyDescent="0.2">
      <c r="A19" s="20" t="s">
        <v>75</v>
      </c>
      <c r="B19" s="21" t="s">
        <v>103</v>
      </c>
      <c r="C19" s="2" t="s">
        <v>104</v>
      </c>
      <c r="D19" s="22">
        <v>31409999.999999918</v>
      </c>
      <c r="E19" s="22">
        <v>23557500</v>
      </c>
      <c r="F19" s="22">
        <f>'Dane - 31 marca 2021 r'!Z23</f>
        <v>66072770.350000009</v>
      </c>
      <c r="G19" s="22">
        <f>F19/'Dane - 31 marca 2021 r'!$B$3</f>
        <v>14407494.624945488</v>
      </c>
      <c r="H19" s="18">
        <f t="shared" si="0"/>
        <v>0.61158843786248485</v>
      </c>
      <c r="I19" s="22">
        <f>'Dane - 31 marca 2021 r'!AK23</f>
        <v>5786345.3799999999</v>
      </c>
      <c r="J19" s="22">
        <f>I19/'Dane - 31 marca 2021 r'!$B$3</f>
        <v>1261741.251635412</v>
      </c>
      <c r="K19" s="18">
        <f t="shared" si="3"/>
        <v>5.3560065865877617E-2</v>
      </c>
      <c r="L19" s="22">
        <f>'Dane - 31 marca 2021 r'!AQ23</f>
        <v>133331.1</v>
      </c>
      <c r="M19" s="22">
        <f>L19/'Dane - 31 marca 2021 r'!$B$3</f>
        <v>29073.506323593545</v>
      </c>
      <c r="N19" s="18">
        <f t="shared" si="1"/>
        <v>1.2341507512933691E-3</v>
      </c>
      <c r="O19" s="23">
        <f>'Dane - 31 marca 2021 r'!X23</f>
        <v>9</v>
      </c>
      <c r="P19" s="235"/>
      <c r="R19" s="238">
        <v>0.75</v>
      </c>
    </row>
    <row r="20" spans="1:18" ht="12.75" x14ac:dyDescent="0.2">
      <c r="A20" s="20" t="s">
        <v>75</v>
      </c>
      <c r="B20" s="21" t="s">
        <v>105</v>
      </c>
      <c r="C20" s="2" t="s">
        <v>106</v>
      </c>
      <c r="D20" s="22">
        <v>9106667</v>
      </c>
      <c r="E20" s="22">
        <v>6830000</v>
      </c>
      <c r="F20" s="22">
        <f>'Dane - 31 marca 2021 r'!Z24</f>
        <v>25832979.780000001</v>
      </c>
      <c r="G20" s="22">
        <f>F20/'Dane - 31 marca 2021 r'!$B$3</f>
        <v>5633009.1103358045</v>
      </c>
      <c r="H20" s="18">
        <f t="shared" si="0"/>
        <v>0.82474511132295825</v>
      </c>
      <c r="I20" s="22">
        <f>'Dane - 31 marca 2021 r'!AK24</f>
        <v>12136354.539999999</v>
      </c>
      <c r="J20" s="22">
        <f>I20/'Dane - 31 marca 2021 r'!$B$3</f>
        <v>2646392.1805494982</v>
      </c>
      <c r="K20" s="18">
        <f t="shared" si="3"/>
        <v>0.38746591223272303</v>
      </c>
      <c r="L20" s="22">
        <f>'Dane - 31 marca 2021 r'!AQ24</f>
        <v>820728.57</v>
      </c>
      <c r="M20" s="22">
        <f>L20/'Dane - 31 marca 2021 r'!$B$3</f>
        <v>178963.92716964672</v>
      </c>
      <c r="N20" s="18">
        <f t="shared" si="1"/>
        <v>2.6202624768615918E-2</v>
      </c>
      <c r="O20" s="23">
        <f>'Dane - 31 marca 2021 r'!X24</f>
        <v>6</v>
      </c>
      <c r="P20" s="235"/>
      <c r="R20" s="238" t="e">
        <v>#DIV/0!</v>
      </c>
    </row>
    <row r="21" spans="1:18" ht="12.75" x14ac:dyDescent="0.2">
      <c r="A21" s="20" t="s">
        <v>75</v>
      </c>
      <c r="B21" s="21" t="s">
        <v>107</v>
      </c>
      <c r="C21" s="2" t="s">
        <v>108</v>
      </c>
      <c r="D21" s="22">
        <v>2000000</v>
      </c>
      <c r="E21" s="22">
        <v>1000000</v>
      </c>
      <c r="F21" s="22">
        <f>'Dane - 31 marca 2021 r'!Z25</f>
        <v>0</v>
      </c>
      <c r="G21" s="22">
        <f>F21/'Dane - 31 marca 2021 r'!$B$3</f>
        <v>0</v>
      </c>
      <c r="H21" s="18">
        <v>0</v>
      </c>
      <c r="I21" s="22">
        <f>'Dane - 31 marca 2021 r'!AK25</f>
        <v>0</v>
      </c>
      <c r="J21" s="22">
        <f>I21/'Dane - 31 marca 2021 r'!$B$3</f>
        <v>0</v>
      </c>
      <c r="K21" s="18">
        <v>0</v>
      </c>
      <c r="L21" s="22">
        <f>'Dane - 31 marca 2021 r'!AQ25</f>
        <v>0</v>
      </c>
      <c r="M21" s="22">
        <f>L21/'Dane - 31 marca 2021 r'!$B$3</f>
        <v>0</v>
      </c>
      <c r="N21" s="18">
        <v>0</v>
      </c>
      <c r="O21" s="23">
        <f>'Dane - 31 marca 2021 r'!X25</f>
        <v>0</v>
      </c>
      <c r="P21" s="235"/>
      <c r="R21" s="238">
        <v>0.75</v>
      </c>
    </row>
    <row r="22" spans="1:18" ht="12.75" x14ac:dyDescent="0.2">
      <c r="A22" s="20" t="s">
        <v>75</v>
      </c>
      <c r="B22" s="21" t="s">
        <v>109</v>
      </c>
      <c r="C22" s="2" t="s">
        <v>110</v>
      </c>
      <c r="D22" s="22">
        <v>2350000</v>
      </c>
      <c r="E22" s="22">
        <v>1762500</v>
      </c>
      <c r="F22" s="22">
        <f>'Dane - 31 marca 2021 r'!Z26</f>
        <v>3651209.04</v>
      </c>
      <c r="G22" s="22">
        <f>F22/'Dane - 31 marca 2021 r'!$B$3</f>
        <v>796164.20409943303</v>
      </c>
      <c r="H22" s="18">
        <f t="shared" si="0"/>
        <v>0.45172437112024572</v>
      </c>
      <c r="I22" s="22">
        <f>'Dane - 31 marca 2021 r'!AK26</f>
        <v>1425790.5</v>
      </c>
      <c r="J22" s="22">
        <f>I22/'Dane - 31 marca 2021 r'!$B$3</f>
        <v>310900.67597034451</v>
      </c>
      <c r="K22" s="18">
        <f t="shared" si="3"/>
        <v>0.17639754664984086</v>
      </c>
      <c r="L22" s="22">
        <f>'Dane - 31 marca 2021 r'!AQ26</f>
        <v>0</v>
      </c>
      <c r="M22" s="22">
        <f>L22/'Dane - 31 marca 2021 r'!$B$3</f>
        <v>0</v>
      </c>
      <c r="N22" s="18">
        <f t="shared" si="1"/>
        <v>0</v>
      </c>
      <c r="O22" s="23">
        <f>'Dane - 31 marca 2021 r'!X26</f>
        <v>23</v>
      </c>
      <c r="P22" s="235"/>
      <c r="R22" s="238">
        <v>0.75</v>
      </c>
    </row>
    <row r="23" spans="1:18" ht="12" thickBot="1" x14ac:dyDescent="0.25">
      <c r="A23" s="24" t="s">
        <v>75</v>
      </c>
      <c r="B23" s="25" t="s">
        <v>111</v>
      </c>
      <c r="C23" s="3" t="s">
        <v>112</v>
      </c>
      <c r="D23" s="26">
        <v>1504000</v>
      </c>
      <c r="E23" s="26">
        <v>1128000</v>
      </c>
      <c r="F23" s="22">
        <f>'Dane - 31 marca 2021 r'!Z27</f>
        <v>3030020.95</v>
      </c>
      <c r="G23" s="22">
        <f>F23/'Dane - 31 marca 2021 r'!$B$3</f>
        <v>660711.06628870475</v>
      </c>
      <c r="H23" s="27">
        <f t="shared" si="0"/>
        <v>0.58573676089424176</v>
      </c>
      <c r="I23" s="22">
        <f>'Dane - 31 marca 2021 r'!AK27</f>
        <v>1004114.96</v>
      </c>
      <c r="J23" s="22">
        <f>I23/'Dane - 31 marca 2021 r'!$B$3</f>
        <v>218952.23724378541</v>
      </c>
      <c r="K23" s="27">
        <f t="shared" si="3"/>
        <v>0.1941065933012282</v>
      </c>
      <c r="L23" s="22">
        <f>'Dane - 31 marca 2021 r'!AQ27</f>
        <v>789062.21</v>
      </c>
      <c r="M23" s="22">
        <f>L23/'Dane - 31 marca 2021 r'!$B$3</f>
        <v>172058.92062799825</v>
      </c>
      <c r="N23" s="27">
        <f t="shared" si="1"/>
        <v>0.15253450410283531</v>
      </c>
      <c r="O23" s="23">
        <f>'Dane - 31 marca 2021 r'!X27</f>
        <v>10</v>
      </c>
      <c r="P23" s="235"/>
    </row>
    <row r="24" spans="1:18" ht="32.25" thickBot="1" x14ac:dyDescent="0.25">
      <c r="A24" s="264" t="s">
        <v>75</v>
      </c>
      <c r="B24" s="264"/>
      <c r="C24" s="46" t="s">
        <v>15</v>
      </c>
      <c r="D24" s="47">
        <f>SUM(D10:D23)+SUM(D3:D6)-D16-D17</f>
        <v>237884665.9999997</v>
      </c>
      <c r="E24" s="47">
        <f t="shared" ref="E24:O24" si="4">SUM(E10:E23)+SUM(E3:E6)-E16-E17</f>
        <v>165488380</v>
      </c>
      <c r="F24" s="47">
        <f t="shared" si="4"/>
        <v>595328835.6624999</v>
      </c>
      <c r="G24" s="47">
        <f t="shared" si="4"/>
        <v>129814399.40307458</v>
      </c>
      <c r="H24" s="48">
        <f>G24/E24</f>
        <v>0.78443211180793826</v>
      </c>
      <c r="I24" s="47">
        <f t="shared" si="4"/>
        <v>445134524.71000004</v>
      </c>
      <c r="J24" s="47">
        <f t="shared" si="4"/>
        <v>97063786.460968167</v>
      </c>
      <c r="K24" s="48">
        <f t="shared" si="3"/>
        <v>0.58652931680742881</v>
      </c>
      <c r="L24" s="47">
        <f t="shared" si="4"/>
        <v>370490394.83000004</v>
      </c>
      <c r="M24" s="47">
        <f t="shared" si="4"/>
        <v>80787264.463584825</v>
      </c>
      <c r="N24" s="48">
        <f t="shared" si="1"/>
        <v>0.48817484625557894</v>
      </c>
      <c r="O24" s="49">
        <f t="shared" si="4"/>
        <v>5170</v>
      </c>
      <c r="P24" s="235"/>
    </row>
    <row r="25" spans="1:18" x14ac:dyDescent="0.2">
      <c r="A25" s="28" t="s">
        <v>113</v>
      </c>
      <c r="B25" s="29" t="s">
        <v>114</v>
      </c>
      <c r="C25" s="4" t="s">
        <v>115</v>
      </c>
      <c r="D25" s="30">
        <v>20063999.999999948</v>
      </c>
      <c r="E25" s="30">
        <v>15048000</v>
      </c>
      <c r="F25" s="30">
        <f>'Dane - 31 marca 2021 r'!Z29</f>
        <v>28526769.647500001</v>
      </c>
      <c r="G25" s="30">
        <f>F25/'Dane - 31 marca 2021 r'!$B$3</f>
        <v>6220403.324792848</v>
      </c>
      <c r="H25" s="31">
        <f t="shared" si="0"/>
        <v>0.4133707685269038</v>
      </c>
      <c r="I25" s="30">
        <f>'Dane - 31 marca 2021 r'!AK29</f>
        <v>14238797.49</v>
      </c>
      <c r="J25" s="30">
        <f>I25/'Dane - 31 marca 2021 r'!$B$3</f>
        <v>3104840.2725686873</v>
      </c>
      <c r="K25" s="31">
        <f t="shared" si="3"/>
        <v>0.20632909838973201</v>
      </c>
      <c r="L25" s="30">
        <f>'Dane - 31 marca 2021 r'!AQ29</f>
        <v>2794069.02</v>
      </c>
      <c r="M25" s="30">
        <f>L25/'Dane - 31 marca 2021 r'!$B$3</f>
        <v>609260.58002616651</v>
      </c>
      <c r="N25" s="31">
        <f t="shared" si="1"/>
        <v>4.0487811006523558E-2</v>
      </c>
      <c r="O25" s="32">
        <f>'Dane - 31 marca 2021 r'!X29</f>
        <v>7</v>
      </c>
      <c r="P25" s="235"/>
    </row>
    <row r="26" spans="1:18" x14ac:dyDescent="0.2">
      <c r="A26" s="20" t="s">
        <v>113</v>
      </c>
      <c r="B26" s="21" t="s">
        <v>116</v>
      </c>
      <c r="C26" s="2" t="s">
        <v>117</v>
      </c>
      <c r="D26" s="22">
        <v>3999999.9999999898</v>
      </c>
      <c r="E26" s="22">
        <v>3000000</v>
      </c>
      <c r="F26" s="30">
        <f>'Dane - 31 marca 2021 r'!Z30</f>
        <v>6363905.3300000001</v>
      </c>
      <c r="G26" s="30">
        <f>F26/'Dane - 31 marca 2021 r'!$B$3</f>
        <v>1387681.0575665068</v>
      </c>
      <c r="H26" s="18">
        <f t="shared" si="0"/>
        <v>0.46256035252216893</v>
      </c>
      <c r="I26" s="30">
        <f>'Dane - 31 marca 2021 r'!AK30</f>
        <v>1693889.67</v>
      </c>
      <c r="J26" s="30">
        <f>I26/'Dane - 31 marca 2021 r'!$B$3</f>
        <v>369361.02703881374</v>
      </c>
      <c r="K26" s="18">
        <f t="shared" si="3"/>
        <v>0.12312034234627124</v>
      </c>
      <c r="L26" s="30">
        <f>'Dane - 31 marca 2021 r'!AQ30</f>
        <v>360963.22</v>
      </c>
      <c r="M26" s="30">
        <f>L26/'Dane - 31 marca 2021 r'!$B$3</f>
        <v>78709.816833842124</v>
      </c>
      <c r="N26" s="18">
        <f t="shared" si="1"/>
        <v>2.6236605611280706E-2</v>
      </c>
      <c r="O26" s="32">
        <f>'Dane - 31 marca 2021 r'!X30</f>
        <v>12</v>
      </c>
      <c r="P26" s="235"/>
    </row>
    <row r="27" spans="1:18" x14ac:dyDescent="0.2">
      <c r="A27" s="40" t="s">
        <v>113</v>
      </c>
      <c r="B27" s="41" t="s">
        <v>118</v>
      </c>
      <c r="C27" s="42" t="s">
        <v>119</v>
      </c>
      <c r="D27" s="43">
        <v>120183079.99999969</v>
      </c>
      <c r="E27" s="43">
        <v>90137310</v>
      </c>
      <c r="F27" s="43">
        <f>SUM(F28:F30)</f>
        <v>270193827.07000005</v>
      </c>
      <c r="G27" s="43">
        <f t="shared" ref="G27:O27" si="5">SUM(G28:G30)</f>
        <v>58917101.41081553</v>
      </c>
      <c r="H27" s="44">
        <f t="shared" si="0"/>
        <v>0.65363722758994613</v>
      </c>
      <c r="I27" s="43">
        <f t="shared" si="5"/>
        <v>153347799.91000003</v>
      </c>
      <c r="J27" s="43">
        <f t="shared" si="5"/>
        <v>33438246.818578281</v>
      </c>
      <c r="K27" s="44">
        <f t="shared" si="3"/>
        <v>0.37097009904753403</v>
      </c>
      <c r="L27" s="43">
        <f t="shared" si="5"/>
        <v>82788979.719999999</v>
      </c>
      <c r="M27" s="43">
        <f t="shared" si="5"/>
        <v>18052546.820758831</v>
      </c>
      <c r="N27" s="44">
        <f t="shared" si="1"/>
        <v>0.20027829564426575</v>
      </c>
      <c r="O27" s="45">
        <f t="shared" si="5"/>
        <v>571</v>
      </c>
      <c r="P27" s="235"/>
    </row>
    <row r="28" spans="1:18" x14ac:dyDescent="0.2">
      <c r="A28" s="20" t="s">
        <v>113</v>
      </c>
      <c r="B28" s="21" t="s">
        <v>120</v>
      </c>
      <c r="C28" s="2" t="s">
        <v>121</v>
      </c>
      <c r="D28" s="22">
        <v>69918138.666666493</v>
      </c>
      <c r="E28" s="22">
        <v>52438604</v>
      </c>
      <c r="F28" s="22">
        <f>'Dane - 31 marca 2021 r'!Z32</f>
        <v>176016648.73500001</v>
      </c>
      <c r="G28" s="22">
        <f>F28/'Dane - 31 marca 2021 r'!$B$3</f>
        <v>38381301.512211077</v>
      </c>
      <c r="H28" s="18">
        <f t="shared" si="0"/>
        <v>0.73192836163623043</v>
      </c>
      <c r="I28" s="22">
        <f>'Dane - 31 marca 2021 r'!AK32</f>
        <v>118009095.24000001</v>
      </c>
      <c r="J28" s="22">
        <f>I28/'Dane - 31 marca 2021 r'!$B$3</f>
        <v>25732467.344090711</v>
      </c>
      <c r="K28" s="18">
        <f t="shared" si="3"/>
        <v>0.49071610190253562</v>
      </c>
      <c r="L28" s="22">
        <f>'Dane - 31 marca 2021 r'!AQ32</f>
        <v>73190947.579999998</v>
      </c>
      <c r="M28" s="22">
        <f>L28/'Dane - 31 marca 2021 r'!$B$3</f>
        <v>15959648.403837766</v>
      </c>
      <c r="N28" s="18">
        <f t="shared" si="1"/>
        <v>0.30434922340491305</v>
      </c>
      <c r="O28" s="23">
        <f>'Dane - 31 marca 2021 r'!X32</f>
        <v>415</v>
      </c>
      <c r="P28" s="235"/>
    </row>
    <row r="29" spans="1:18" x14ac:dyDescent="0.2">
      <c r="A29" s="20" t="s">
        <v>113</v>
      </c>
      <c r="B29" s="21" t="s">
        <v>122</v>
      </c>
      <c r="C29" s="2" t="s">
        <v>123</v>
      </c>
      <c r="D29" s="22">
        <v>10461999.999999974</v>
      </c>
      <c r="E29" s="22">
        <v>7846500</v>
      </c>
      <c r="F29" s="22">
        <f>'Dane - 31 marca 2021 r'!Z33</f>
        <v>15575969.065000001</v>
      </c>
      <c r="G29" s="22">
        <f>F29/'Dane - 31 marca 2021 r'!$B$3</f>
        <v>3396417.1532926299</v>
      </c>
      <c r="H29" s="18">
        <f t="shared" si="0"/>
        <v>0.43285759934908941</v>
      </c>
      <c r="I29" s="22">
        <f>'Dane - 31 marca 2021 r'!AK33</f>
        <v>6570643.6999999993</v>
      </c>
      <c r="J29" s="22">
        <f>I29/'Dane - 31 marca 2021 r'!$B$3</f>
        <v>1432761.3824683817</v>
      </c>
      <c r="K29" s="18">
        <f t="shared" si="3"/>
        <v>0.1825987870347775</v>
      </c>
      <c r="L29" s="22">
        <f>'Dane - 31 marca 2021 r'!AQ33</f>
        <v>3980493.69</v>
      </c>
      <c r="M29" s="22">
        <f>L29/'Dane - 31 marca 2021 r'!$B$3</f>
        <v>867966.35194068903</v>
      </c>
      <c r="N29" s="18">
        <f t="shared" si="1"/>
        <v>0.11061828228390863</v>
      </c>
      <c r="O29" s="23">
        <f>'Dane - 31 marca 2021 r'!X33</f>
        <v>114</v>
      </c>
      <c r="P29" s="235"/>
    </row>
    <row r="30" spans="1:18" x14ac:dyDescent="0.2">
      <c r="A30" s="20" t="s">
        <v>113</v>
      </c>
      <c r="B30" s="21" t="s">
        <v>124</v>
      </c>
      <c r="C30" s="2" t="s">
        <v>125</v>
      </c>
      <c r="D30" s="22">
        <v>39802941.333333232</v>
      </c>
      <c r="E30" s="22">
        <v>29852206</v>
      </c>
      <c r="F30" s="22">
        <f>'Dane - 31 marca 2021 r'!Z34</f>
        <v>78601209.270000011</v>
      </c>
      <c r="G30" s="22">
        <f>F30/'Dane - 31 marca 2021 r'!$B$3</f>
        <v>17139382.745311819</v>
      </c>
      <c r="H30" s="18">
        <f t="shared" si="0"/>
        <v>0.57414124588688087</v>
      </c>
      <c r="I30" s="22">
        <f>'Dane - 31 marca 2021 r'!AK34</f>
        <v>28768060.970000003</v>
      </c>
      <c r="J30" s="22">
        <f>I30/'Dane - 31 marca 2021 r'!$B$3</f>
        <v>6273018.0920191891</v>
      </c>
      <c r="K30" s="18">
        <f t="shared" si="3"/>
        <v>0.21013583023040874</v>
      </c>
      <c r="L30" s="22">
        <f>'Dane - 31 marca 2021 r'!AQ34</f>
        <v>5617538.4500000002</v>
      </c>
      <c r="M30" s="22">
        <f>L30/'Dane - 31 marca 2021 r'!$B$3</f>
        <v>1224932.0649803751</v>
      </c>
      <c r="N30" s="18">
        <f t="shared" si="1"/>
        <v>4.1033217611468151E-2</v>
      </c>
      <c r="O30" s="23">
        <f>'Dane - 31 marca 2021 r'!X34</f>
        <v>42</v>
      </c>
      <c r="P30" s="235"/>
    </row>
    <row r="31" spans="1:18" x14ac:dyDescent="0.2">
      <c r="A31" s="20" t="s">
        <v>113</v>
      </c>
      <c r="B31" s="21" t="s">
        <v>126</v>
      </c>
      <c r="C31" s="2" t="s">
        <v>127</v>
      </c>
      <c r="D31" s="22">
        <v>0</v>
      </c>
      <c r="E31" s="22">
        <v>0</v>
      </c>
      <c r="F31" s="22">
        <f>'Dane - 31 marca 2021 r'!Z35</f>
        <v>0</v>
      </c>
      <c r="G31" s="22">
        <f>F31/'Dane - 31 marca 2021 r'!$B$3</f>
        <v>0</v>
      </c>
      <c r="H31" s="18">
        <v>0</v>
      </c>
      <c r="I31" s="22">
        <f>'Dane - 31 marca 2021 r'!AK35</f>
        <v>0</v>
      </c>
      <c r="J31" s="22">
        <f>I31/'Dane - 31 marca 2021 r'!$B$3</f>
        <v>0</v>
      </c>
      <c r="K31" s="18">
        <v>0</v>
      </c>
      <c r="L31" s="22">
        <f>'Dane - 31 marca 2021 r'!AQ35</f>
        <v>0</v>
      </c>
      <c r="M31" s="22">
        <f>L31/'Dane - 31 marca 2021 r'!$B$3</f>
        <v>0</v>
      </c>
      <c r="N31" s="18">
        <v>0</v>
      </c>
      <c r="O31" s="23">
        <f>'Dane - 31 marca 2021 r'!X35</f>
        <v>0</v>
      </c>
      <c r="P31" s="235"/>
    </row>
    <row r="32" spans="1:18" x14ac:dyDescent="0.2">
      <c r="A32" s="20" t="s">
        <v>113</v>
      </c>
      <c r="B32" s="21" t="s">
        <v>128</v>
      </c>
      <c r="C32" s="2" t="s">
        <v>129</v>
      </c>
      <c r="D32" s="22">
        <v>48674167.999999873</v>
      </c>
      <c r="E32" s="22">
        <v>36505626</v>
      </c>
      <c r="F32" s="22">
        <f>'Dane - 31 marca 2021 r'!Z36</f>
        <v>157135129.54500002</v>
      </c>
      <c r="G32" s="22">
        <f>F32/'Dane - 31 marca 2021 r'!$B$3</f>
        <v>34264092.792193636</v>
      </c>
      <c r="H32" s="18">
        <f t="shared" si="0"/>
        <v>0.93859759567453072</v>
      </c>
      <c r="I32" s="22">
        <f>'Dane - 31 marca 2021 r'!AK36</f>
        <v>157646523.12000003</v>
      </c>
      <c r="J32" s="22">
        <f>I32/'Dane - 31 marca 2021 r'!$B$3</f>
        <v>34375604.692542523</v>
      </c>
      <c r="K32" s="18">
        <f t="shared" si="3"/>
        <v>0.94165224539753201</v>
      </c>
      <c r="L32" s="22">
        <f>'Dane - 31 marca 2021 r'!AQ36</f>
        <v>157646523.12</v>
      </c>
      <c r="M32" s="22">
        <f>L32/'Dane - 31 marca 2021 r'!$B$3</f>
        <v>34375604.692542523</v>
      </c>
      <c r="N32" s="18">
        <f t="shared" si="1"/>
        <v>0.94165224539753201</v>
      </c>
      <c r="O32" s="23">
        <f>'Dane - 31 marca 2021 r'!X36</f>
        <v>906</v>
      </c>
      <c r="P32" s="235"/>
    </row>
    <row r="33" spans="1:16" x14ac:dyDescent="0.2">
      <c r="A33" s="20" t="s">
        <v>113</v>
      </c>
      <c r="B33" s="21" t="s">
        <v>130</v>
      </c>
      <c r="C33" s="2" t="s">
        <v>131</v>
      </c>
      <c r="D33" s="22">
        <v>1879999.9999999951</v>
      </c>
      <c r="E33" s="22">
        <v>1410000</v>
      </c>
      <c r="F33" s="22">
        <f>'Dane - 31 marca 2021 r'!Z37</f>
        <v>5280724.78</v>
      </c>
      <c r="G33" s="22">
        <f>F33/'Dane - 31 marca 2021 r'!$B$3</f>
        <v>1151488.1770606192</v>
      </c>
      <c r="H33" s="18">
        <f t="shared" si="0"/>
        <v>0.81665828160327603</v>
      </c>
      <c r="I33" s="22">
        <f>'Dane - 31 marca 2021 r'!AK37</f>
        <v>2730631.11</v>
      </c>
      <c r="J33" s="22">
        <f>I33/'Dane - 31 marca 2021 r'!$B$3</f>
        <v>595427.62974269514</v>
      </c>
      <c r="K33" s="18">
        <f t="shared" si="3"/>
        <v>0.42228909910829443</v>
      </c>
      <c r="L33" s="22">
        <f>'Dane - 31 marca 2021 r'!AQ37</f>
        <v>1314264.4500000002</v>
      </c>
      <c r="M33" s="22">
        <f>L33/'Dane - 31 marca 2021 r'!$B$3</f>
        <v>286581.86873092019</v>
      </c>
      <c r="N33" s="18">
        <f t="shared" si="1"/>
        <v>0.20324955229143277</v>
      </c>
      <c r="O33" s="23">
        <f>'Dane - 31 marca 2021 r'!X37</f>
        <v>10</v>
      </c>
      <c r="P33" s="235"/>
    </row>
    <row r="34" spans="1:16" x14ac:dyDescent="0.2">
      <c r="A34" s="24" t="s">
        <v>113</v>
      </c>
      <c r="B34" s="25" t="s">
        <v>132</v>
      </c>
      <c r="C34" s="3" t="s">
        <v>133</v>
      </c>
      <c r="D34" s="22">
        <v>0</v>
      </c>
      <c r="E34" s="22">
        <v>0</v>
      </c>
      <c r="F34" s="22">
        <f>'Dane - 31 marca 2021 r'!Z38</f>
        <v>0</v>
      </c>
      <c r="G34" s="22">
        <f>F34/'Dane - 31 marca 2021 r'!$B$3</f>
        <v>0</v>
      </c>
      <c r="H34" s="27">
        <v>0</v>
      </c>
      <c r="I34" s="22">
        <f>'Dane - 31 marca 2021 r'!AK38</f>
        <v>0</v>
      </c>
      <c r="J34" s="22">
        <f>I34/'Dane - 31 marca 2021 r'!$B$3</f>
        <v>0</v>
      </c>
      <c r="K34" s="27">
        <v>0</v>
      </c>
      <c r="L34" s="22">
        <f>'Dane - 31 marca 2021 r'!AQ38</f>
        <v>0</v>
      </c>
      <c r="M34" s="22">
        <f>L34/'Dane - 31 marca 2021 r'!$B$3</f>
        <v>0</v>
      </c>
      <c r="N34" s="27">
        <v>0</v>
      </c>
      <c r="O34" s="23">
        <f>'Dane - 31 marca 2021 r'!X38</f>
        <v>0</v>
      </c>
      <c r="P34" s="235"/>
    </row>
    <row r="35" spans="1:16" ht="12" thickBot="1" x14ac:dyDescent="0.25">
      <c r="A35" s="224" t="s">
        <v>113</v>
      </c>
      <c r="B35" s="25" t="s">
        <v>231</v>
      </c>
      <c r="C35" s="3" t="s">
        <v>232</v>
      </c>
      <c r="D35" s="234">
        <v>13999999.999999965</v>
      </c>
      <c r="E35" s="234">
        <v>10500000</v>
      </c>
      <c r="F35" s="22">
        <f>'Dane - 31 marca 2021 r'!Z39</f>
        <v>43370847.969999999</v>
      </c>
      <c r="G35" s="22">
        <f>F35/'Dane - 31 marca 2021 r'!$B$3</f>
        <v>9457228.0789358914</v>
      </c>
      <c r="H35" s="27">
        <f t="shared" si="0"/>
        <v>0.90068838847008492</v>
      </c>
      <c r="I35" s="22">
        <f>'Dane - 31 marca 2021 r'!AK39</f>
        <v>42038706.969999999</v>
      </c>
      <c r="J35" s="22">
        <f>I35/'Dane - 31 marca 2021 r'!$B$3</f>
        <v>9166748.1399912778</v>
      </c>
      <c r="K35" s="27">
        <f t="shared" si="3"/>
        <v>0.87302363238012171</v>
      </c>
      <c r="L35" s="22">
        <f>'Dane - 31 marca 2021 r'!AQ39</f>
        <v>42038706.969999999</v>
      </c>
      <c r="M35" s="22">
        <f>L35/'Dane - 31 marca 2021 r'!$B$3</f>
        <v>9166748.1399912778</v>
      </c>
      <c r="N35" s="27">
        <f t="shared" si="1"/>
        <v>0.87302363238012171</v>
      </c>
      <c r="O35" s="23">
        <f>'Dane - 31 marca 2021 r'!X39</f>
        <v>708</v>
      </c>
      <c r="P35" s="235"/>
    </row>
    <row r="36" spans="1:16" ht="32.25" thickBot="1" x14ac:dyDescent="0.25">
      <c r="A36" s="264" t="s">
        <v>113</v>
      </c>
      <c r="B36" s="264"/>
      <c r="C36" s="46" t="s">
        <v>35</v>
      </c>
      <c r="D36" s="47">
        <f>SUM(D31:D34)+SUM(D25:D27)+D35</f>
        <v>208801247.99999943</v>
      </c>
      <c r="E36" s="47">
        <f>SUM(E31:E34)+SUM(E25:E27)+E35</f>
        <v>156600936</v>
      </c>
      <c r="F36" s="47">
        <f t="shared" ref="F36:G36" si="6">SUM(F31:F34)+SUM(F25:F27)+F35</f>
        <v>510871204.34250009</v>
      </c>
      <c r="G36" s="47">
        <f t="shared" si="6"/>
        <v>111397994.84136504</v>
      </c>
      <c r="H36" s="48">
        <f t="shared" si="0"/>
        <v>0.71134948287515365</v>
      </c>
      <c r="I36" s="47">
        <f>SUM(I31:I34)+SUM(I25:I27)+I35</f>
        <v>371696348.2700001</v>
      </c>
      <c r="J36" s="47">
        <f>SUM(J31:J34)+SUM(J25:J27)+J35</f>
        <v>81050228.580462277</v>
      </c>
      <c r="K36" s="48">
        <f t="shared" si="3"/>
        <v>0.51755903030146821</v>
      </c>
      <c r="L36" s="47">
        <f>SUM(L31:L34)+SUM(L25:L27)+L35</f>
        <v>286943506.5</v>
      </c>
      <c r="M36" s="47">
        <f>SUM(M31:M34)+SUM(M25:M27)+M35</f>
        <v>62569451.918883555</v>
      </c>
      <c r="N36" s="48">
        <f t="shared" si="1"/>
        <v>0.39954711330003517</v>
      </c>
      <c r="O36" s="49">
        <f>SUM(O31:O34)+SUM(O25:O27)+O35</f>
        <v>2214</v>
      </c>
      <c r="P36" s="235"/>
    </row>
    <row r="37" spans="1:16" x14ac:dyDescent="0.2">
      <c r="A37" s="34" t="s">
        <v>134</v>
      </c>
      <c r="B37" s="35">
        <v>3.1</v>
      </c>
      <c r="C37" s="36" t="s">
        <v>135</v>
      </c>
      <c r="D37" s="37">
        <v>20531936</v>
      </c>
      <c r="E37" s="37">
        <v>16193028</v>
      </c>
      <c r="F37" s="37">
        <f t="shared" ref="F37:O37" si="7">SUM(F38:F39)</f>
        <v>55625322.429999992</v>
      </c>
      <c r="G37" s="37">
        <f t="shared" si="7"/>
        <v>12129376.892716963</v>
      </c>
      <c r="H37" s="38">
        <f t="shared" si="0"/>
        <v>0.74904933732696333</v>
      </c>
      <c r="I37" s="37">
        <f t="shared" si="7"/>
        <v>19152618.440000001</v>
      </c>
      <c r="J37" s="37">
        <f t="shared" si="7"/>
        <v>4176323.253379852</v>
      </c>
      <c r="K37" s="38">
        <f t="shared" si="3"/>
        <v>0.25790872796489034</v>
      </c>
      <c r="L37" s="37">
        <f t="shared" si="7"/>
        <v>19152618.440000001</v>
      </c>
      <c r="M37" s="37">
        <f t="shared" si="7"/>
        <v>4176323.253379852</v>
      </c>
      <c r="N37" s="38">
        <f t="shared" si="1"/>
        <v>0.25790872796489034</v>
      </c>
      <c r="O37" s="39">
        <f t="shared" si="7"/>
        <v>48</v>
      </c>
      <c r="P37" s="235"/>
    </row>
    <row r="38" spans="1:16" x14ac:dyDescent="0.2">
      <c r="A38" s="20" t="s">
        <v>134</v>
      </c>
      <c r="B38" s="21" t="s">
        <v>136</v>
      </c>
      <c r="C38" s="2" t="s">
        <v>135</v>
      </c>
      <c r="D38" s="22">
        <v>9103367</v>
      </c>
      <c r="E38" s="22">
        <v>8193030</v>
      </c>
      <c r="F38" s="22">
        <f>'Dane - 31 marca 2021 r'!Z42</f>
        <v>23274941.429999996</v>
      </c>
      <c r="G38" s="22">
        <f>F38/'Dane - 31 marca 2021 r'!$B$3</f>
        <v>5075216.1862189258</v>
      </c>
      <c r="H38" s="18">
        <f t="shared" si="0"/>
        <v>0.61945534023663107</v>
      </c>
      <c r="I38" s="22">
        <f>'Dane - 31 marca 2021 r'!AK42</f>
        <v>19143658.440000001</v>
      </c>
      <c r="J38" s="22">
        <f>I38/'Dane - 31 marca 2021 r'!$B$3</f>
        <v>4174369.4810292195</v>
      </c>
      <c r="K38" s="18">
        <f t="shared" si="3"/>
        <v>0.5095025260531475</v>
      </c>
      <c r="L38" s="22">
        <f>'Dane - 31 marca 2021 r'!AQ42</f>
        <v>19143658.440000001</v>
      </c>
      <c r="M38" s="22">
        <f>L38/'Dane - 31 marca 2021 r'!$B$3</f>
        <v>4174369.4810292195</v>
      </c>
      <c r="N38" s="18">
        <f t="shared" si="1"/>
        <v>0.5095025260531475</v>
      </c>
      <c r="O38" s="23">
        <f>'Dane - 31 marca 2021 r'!X42</f>
        <v>45</v>
      </c>
      <c r="P38" s="235"/>
    </row>
    <row r="39" spans="1:16" x14ac:dyDescent="0.2">
      <c r="A39" s="20" t="s">
        <v>134</v>
      </c>
      <c r="B39" s="21" t="s">
        <v>137</v>
      </c>
      <c r="C39" s="2" t="s">
        <v>138</v>
      </c>
      <c r="D39" s="22">
        <v>11428569</v>
      </c>
      <c r="E39" s="22">
        <v>7999998</v>
      </c>
      <c r="F39" s="22">
        <f>'Dane - 31 marca 2021 r'!Z43</f>
        <v>32350381</v>
      </c>
      <c r="G39" s="22">
        <f>F39/'Dane - 31 marca 2021 r'!$B$3</f>
        <v>7054160.7064980371</v>
      </c>
      <c r="H39" s="18">
        <f t="shared" si="0"/>
        <v>0.88177030875483187</v>
      </c>
      <c r="I39" s="22">
        <f>'Dane - 31 marca 2021 r'!AK43</f>
        <v>8960</v>
      </c>
      <c r="J39" s="22">
        <f>I39/'Dane - 31 marca 2021 r'!$B$3</f>
        <v>1953.7723506323591</v>
      </c>
      <c r="K39" s="18">
        <f t="shared" si="3"/>
        <v>2.4422160488444611E-4</v>
      </c>
      <c r="L39" s="22">
        <f>'Dane - 31 marca 2021 r'!AQ43</f>
        <v>8960</v>
      </c>
      <c r="M39" s="22">
        <f>L39/'Dane - 31 marca 2021 r'!$B$3</f>
        <v>1953.7723506323591</v>
      </c>
      <c r="N39" s="18">
        <f t="shared" si="1"/>
        <v>2.4422160488444611E-4</v>
      </c>
      <c r="O39" s="23">
        <f>'Dane - 31 marca 2021 r'!X43</f>
        <v>3</v>
      </c>
      <c r="P39" s="235"/>
    </row>
    <row r="40" spans="1:16" ht="12" thickBot="1" x14ac:dyDescent="0.25">
      <c r="A40" s="24" t="s">
        <v>134</v>
      </c>
      <c r="B40" s="25" t="s">
        <v>139</v>
      </c>
      <c r="C40" s="3" t="s">
        <v>140</v>
      </c>
      <c r="D40" s="26">
        <v>9292889</v>
      </c>
      <c r="E40" s="26">
        <v>7434311</v>
      </c>
      <c r="F40" s="22">
        <f>'Dane - 31 marca 2021 r'!Z44</f>
        <v>28152050.291999999</v>
      </c>
      <c r="G40" s="22">
        <f>F40/'Dane - 31 marca 2021 r'!$B$3</f>
        <v>6138693.9145224588</v>
      </c>
      <c r="H40" s="27">
        <f t="shared" si="0"/>
        <v>0.82572465888533031</v>
      </c>
      <c r="I40" s="22">
        <f>'Dane - 31 marca 2021 r'!AK44</f>
        <v>25858294.66</v>
      </c>
      <c r="J40" s="22">
        <f>I40/'Dane - 31 marca 2021 r'!$B$3</f>
        <v>5638529.1452245964</v>
      </c>
      <c r="K40" s="27">
        <f t="shared" si="3"/>
        <v>0.75844676732310445</v>
      </c>
      <c r="L40" s="22">
        <f>'Dane - 31 marca 2021 r'!AQ44</f>
        <v>24135090.280000001</v>
      </c>
      <c r="M40" s="22">
        <f>L40/'Dane - 31 marca 2021 r'!$B$3</f>
        <v>5262775.900566943</v>
      </c>
      <c r="N40" s="27">
        <f t="shared" si="1"/>
        <v>0.70790365113417275</v>
      </c>
      <c r="O40" s="23">
        <f>'Dane - 31 marca 2021 r'!X44</f>
        <v>3</v>
      </c>
      <c r="P40" s="235"/>
    </row>
    <row r="41" spans="1:16" ht="12" thickBot="1" x14ac:dyDescent="0.25">
      <c r="A41" s="264" t="s">
        <v>134</v>
      </c>
      <c r="B41" s="264"/>
      <c r="C41" s="46" t="s">
        <v>46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83777372.721999988</v>
      </c>
      <c r="G41" s="47">
        <f t="shared" si="8"/>
        <v>18268070.807239421</v>
      </c>
      <c r="H41" s="48">
        <f t="shared" si="0"/>
        <v>0.77317512595216165</v>
      </c>
      <c r="I41" s="47">
        <f t="shared" si="8"/>
        <v>45010913.100000001</v>
      </c>
      <c r="J41" s="47">
        <f t="shared" si="8"/>
        <v>9814852.3986044489</v>
      </c>
      <c r="K41" s="48">
        <f t="shared" si="3"/>
        <v>0.41540236074000753</v>
      </c>
      <c r="L41" s="47">
        <f t="shared" si="8"/>
        <v>43287708.719999999</v>
      </c>
      <c r="M41" s="47">
        <f t="shared" si="8"/>
        <v>9439099.1539467946</v>
      </c>
      <c r="N41" s="48">
        <f t="shared" si="1"/>
        <v>0.39949903600853209</v>
      </c>
      <c r="O41" s="49">
        <f t="shared" si="8"/>
        <v>51</v>
      </c>
      <c r="P41" s="235"/>
    </row>
    <row r="42" spans="1:16" x14ac:dyDescent="0.2">
      <c r="A42" s="28" t="s">
        <v>141</v>
      </c>
      <c r="B42" s="29" t="s">
        <v>142</v>
      </c>
      <c r="C42" s="4" t="s">
        <v>143</v>
      </c>
      <c r="D42" s="30">
        <v>25000</v>
      </c>
      <c r="E42" s="30">
        <v>21250</v>
      </c>
      <c r="F42" s="30">
        <f>'Dane - 31 marca 2021 r'!Z46</f>
        <v>84839.35</v>
      </c>
      <c r="G42" s="30">
        <f>F42/'Dane - 31 marca 2021 r'!$B$3</f>
        <v>18499.640209332752</v>
      </c>
      <c r="H42" s="31">
        <f t="shared" si="0"/>
        <v>0.87057130396860016</v>
      </c>
      <c r="I42" s="30">
        <f>'Dane - 31 marca 2021 r'!AK46</f>
        <v>84839.35</v>
      </c>
      <c r="J42" s="30">
        <f>I42/'Dane - 31 marca 2021 r'!$B$3</f>
        <v>18499.640209332752</v>
      </c>
      <c r="K42" s="31">
        <f t="shared" si="3"/>
        <v>0.87057130396860016</v>
      </c>
      <c r="L42" s="30">
        <f>'Dane - 31 marca 2021 r'!AQ46</f>
        <v>84839.35</v>
      </c>
      <c r="M42" s="30">
        <f>L42/'Dane - 31 marca 2021 r'!$B$3</f>
        <v>18499.640209332752</v>
      </c>
      <c r="N42" s="31">
        <f t="shared" si="1"/>
        <v>0.87057130396860016</v>
      </c>
      <c r="O42" s="32">
        <f>'Dane - 31 marca 2021 r'!X46</f>
        <v>5</v>
      </c>
      <c r="P42" s="235"/>
    </row>
    <row r="43" spans="1:16" x14ac:dyDescent="0.2">
      <c r="A43" s="20" t="s">
        <v>141</v>
      </c>
      <c r="B43" s="21" t="s">
        <v>144</v>
      </c>
      <c r="C43" s="2" t="s">
        <v>145</v>
      </c>
      <c r="D43" s="22">
        <v>90857860</v>
      </c>
      <c r="E43" s="22">
        <v>77229181</v>
      </c>
      <c r="F43" s="30">
        <f>'Dane - 31 marca 2021 r'!Z47</f>
        <v>243318089.42050004</v>
      </c>
      <c r="G43" s="30">
        <f>F43/'Dane - 31 marca 2021 r'!$B$3</f>
        <v>53056713.785542965</v>
      </c>
      <c r="H43" s="18">
        <f t="shared" si="0"/>
        <v>0.68700344997240048</v>
      </c>
      <c r="I43" s="30">
        <f>'Dane - 31 marca 2021 r'!AK47</f>
        <v>203605817.41999999</v>
      </c>
      <c r="J43" s="30">
        <f>I43/'Dane - 31 marca 2021 r'!$B$3</f>
        <v>44397256.306149147</v>
      </c>
      <c r="K43" s="18">
        <f t="shared" si="3"/>
        <v>0.57487669468033264</v>
      </c>
      <c r="L43" s="30">
        <f>'Dane - 31 marca 2021 r'!AQ47</f>
        <v>161971962.22000003</v>
      </c>
      <c r="M43" s="30">
        <f>L43/'Dane - 31 marca 2021 r'!$B$3</f>
        <v>35318788.09856084</v>
      </c>
      <c r="N43" s="18">
        <f t="shared" si="1"/>
        <v>0.45732439009758291</v>
      </c>
      <c r="O43" s="32">
        <f>'Dane - 31 marca 2021 r'!X47</f>
        <v>1987</v>
      </c>
      <c r="P43" s="235"/>
    </row>
    <row r="44" spans="1:16" ht="12" thickBot="1" x14ac:dyDescent="0.25">
      <c r="A44" s="24" t="s">
        <v>141</v>
      </c>
      <c r="B44" s="25" t="s">
        <v>146</v>
      </c>
      <c r="C44" s="3" t="s">
        <v>147</v>
      </c>
      <c r="D44" s="26">
        <v>2881840</v>
      </c>
      <c r="E44" s="26">
        <v>2449564</v>
      </c>
      <c r="F44" s="30">
        <f>'Dane - 31 marca 2021 r'!Z48</f>
        <v>4073779.1599999997</v>
      </c>
      <c r="G44" s="30">
        <f>F44/'Dane - 31 marca 2021 r'!$B$3</f>
        <v>888307.71042302647</v>
      </c>
      <c r="H44" s="27">
        <f t="shared" si="0"/>
        <v>0.36263911064296606</v>
      </c>
      <c r="I44" s="30">
        <f>'Dane - 31 marca 2021 r'!AK48</f>
        <v>3357444.2800000003</v>
      </c>
      <c r="J44" s="30">
        <f>I44/'Dane - 31 marca 2021 r'!$B$3</f>
        <v>732107.34409071086</v>
      </c>
      <c r="K44" s="27">
        <f t="shared" si="3"/>
        <v>0.29887251122677783</v>
      </c>
      <c r="L44" s="30">
        <f>'Dane - 31 marca 2021 r'!AQ48</f>
        <v>2622165.4000000004</v>
      </c>
      <c r="M44" s="30">
        <f>L44/'Dane - 31 marca 2021 r'!$B$3</f>
        <v>571776.14478848677</v>
      </c>
      <c r="N44" s="27">
        <f t="shared" si="1"/>
        <v>0.23341955743490955</v>
      </c>
      <c r="O44" s="32">
        <f>'Dane - 31 marca 2021 r'!X48</f>
        <v>70</v>
      </c>
      <c r="P44" s="235"/>
    </row>
    <row r="45" spans="1:16" ht="12" thickBot="1" x14ac:dyDescent="0.25">
      <c r="A45" s="264" t="s">
        <v>141</v>
      </c>
      <c r="B45" s="264"/>
      <c r="C45" s="46" t="s">
        <v>51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247476707.93050003</v>
      </c>
      <c r="G45" s="47">
        <f t="shared" si="9"/>
        <v>53963521.136175327</v>
      </c>
      <c r="H45" s="48">
        <f t="shared" si="0"/>
        <v>0.6770831182131859</v>
      </c>
      <c r="I45" s="47">
        <f t="shared" si="9"/>
        <v>207048101.04999998</v>
      </c>
      <c r="J45" s="47">
        <f t="shared" si="9"/>
        <v>45147863.290449187</v>
      </c>
      <c r="K45" s="48">
        <f t="shared" si="3"/>
        <v>0.56647259878057943</v>
      </c>
      <c r="L45" s="47">
        <f t="shared" si="9"/>
        <v>164678966.97000003</v>
      </c>
      <c r="M45" s="47">
        <f>SUM(M42:M44)</f>
        <v>35909063.883558661</v>
      </c>
      <c r="N45" s="48">
        <f t="shared" si="1"/>
        <v>0.45055290007933702</v>
      </c>
      <c r="O45" s="49">
        <f t="shared" si="9"/>
        <v>2062</v>
      </c>
      <c r="P45" s="235"/>
    </row>
    <row r="46" spans="1:16" x14ac:dyDescent="0.2">
      <c r="A46" s="28" t="s">
        <v>148</v>
      </c>
      <c r="B46" s="29" t="s">
        <v>149</v>
      </c>
      <c r="C46" s="4" t="s">
        <v>150</v>
      </c>
      <c r="D46" s="30">
        <v>23304479.99999994</v>
      </c>
      <c r="E46" s="30">
        <v>17478360</v>
      </c>
      <c r="F46" s="30">
        <f>'Dane - 31 marca 2021 r'!Z50</f>
        <v>28523842.9175</v>
      </c>
      <c r="G46" s="30">
        <f>F46/'Dane - 31 marca 2021 r'!$B$3</f>
        <v>6219765.1368294805</v>
      </c>
      <c r="H46" s="31">
        <f t="shared" si="0"/>
        <v>0.35585519103791663</v>
      </c>
      <c r="I46" s="30">
        <f>'Dane - 31 marca 2021 r'!AK50</f>
        <v>25303557.469999999</v>
      </c>
      <c r="J46" s="30">
        <f>I46/'Dane - 31 marca 2021 r'!$B$3</f>
        <v>5517565.9550806796</v>
      </c>
      <c r="K46" s="31">
        <f t="shared" si="3"/>
        <v>0.3156798438229147</v>
      </c>
      <c r="L46" s="30">
        <f>'Dane - 31 marca 2021 r'!AQ50</f>
        <v>18460652.079999998</v>
      </c>
      <c r="M46" s="30">
        <f>L46/'Dane - 31 marca 2021 r'!$B$3</f>
        <v>4025436.5634539896</v>
      </c>
      <c r="N46" s="31">
        <f t="shared" si="1"/>
        <v>0.23030974092843892</v>
      </c>
      <c r="O46" s="32">
        <f>'Dane - 31 marca 2021 r'!X50</f>
        <v>28</v>
      </c>
      <c r="P46" s="235"/>
    </row>
    <row r="47" spans="1:16" x14ac:dyDescent="0.2">
      <c r="A47" s="20" t="s">
        <v>148</v>
      </c>
      <c r="B47" s="21" t="s">
        <v>151</v>
      </c>
      <c r="C47" s="2" t="s">
        <v>152</v>
      </c>
      <c r="D47" s="22">
        <v>2509002</v>
      </c>
      <c r="E47" s="22">
        <v>2509002</v>
      </c>
      <c r="F47" s="30">
        <f>'Dane - 31 marca 2021 r'!Z51</f>
        <v>0</v>
      </c>
      <c r="G47" s="30">
        <f>F47/'Dane - 31 marca 2021 r'!$B$3</f>
        <v>0</v>
      </c>
      <c r="H47" s="18">
        <f t="shared" si="0"/>
        <v>0</v>
      </c>
      <c r="I47" s="30">
        <f>'Dane - 31 marca 2021 r'!AK51</f>
        <v>0</v>
      </c>
      <c r="J47" s="30">
        <f>I47/'Dane - 31 marca 2021 r'!$B$3</f>
        <v>0</v>
      </c>
      <c r="K47" s="18">
        <f t="shared" si="3"/>
        <v>0</v>
      </c>
      <c r="L47" s="30">
        <f>'Dane - 31 marca 2021 r'!AQ51</f>
        <v>0</v>
      </c>
      <c r="M47" s="30">
        <f>L47/'Dane - 31 marca 2021 r'!$B$3</f>
        <v>0</v>
      </c>
      <c r="N47" s="18">
        <f t="shared" si="1"/>
        <v>0</v>
      </c>
      <c r="O47" s="32">
        <f>'Dane - 31 marca 2021 r'!X51</f>
        <v>0</v>
      </c>
      <c r="P47" s="235"/>
    </row>
    <row r="48" spans="1:16" x14ac:dyDescent="0.2">
      <c r="A48" s="20" t="s">
        <v>148</v>
      </c>
      <c r="B48" s="21" t="s">
        <v>153</v>
      </c>
      <c r="C48" s="2" t="s">
        <v>154</v>
      </c>
      <c r="D48" s="22">
        <v>18287520</v>
      </c>
      <c r="E48" s="22">
        <v>13715640</v>
      </c>
      <c r="F48" s="30">
        <f>'Dane - 31 marca 2021 r'!Z52</f>
        <v>49370490.732500002</v>
      </c>
      <c r="G48" s="30">
        <f>F48/'Dane - 31 marca 2021 r'!$B$3</f>
        <v>10765479.880614914</v>
      </c>
      <c r="H48" s="18">
        <f t="shared" si="0"/>
        <v>0.78490539855339703</v>
      </c>
      <c r="I48" s="30">
        <f>'Dane - 31 marca 2021 r'!AK52</f>
        <v>22975787.829999998</v>
      </c>
      <c r="J48" s="30">
        <f>I48/'Dane - 31 marca 2021 r'!$B$3</f>
        <v>5009984.2629742688</v>
      </c>
      <c r="K48" s="18">
        <f t="shared" si="3"/>
        <v>0.36527528157448497</v>
      </c>
      <c r="L48" s="30">
        <f>'Dane - 31 marca 2021 r'!AQ52</f>
        <v>13590493.800000001</v>
      </c>
      <c r="M48" s="30">
        <f>L48/'Dane - 31 marca 2021 r'!$B$3</f>
        <v>2963474.4439598778</v>
      </c>
      <c r="N48" s="18">
        <f t="shared" si="1"/>
        <v>0.21606534175290965</v>
      </c>
      <c r="O48" s="32">
        <f>'Dane - 31 marca 2021 r'!X52</f>
        <v>22</v>
      </c>
      <c r="P48" s="235"/>
    </row>
    <row r="49" spans="1:16" ht="12" thickBot="1" x14ac:dyDescent="0.25">
      <c r="A49" s="24" t="s">
        <v>148</v>
      </c>
      <c r="B49" s="25" t="s">
        <v>155</v>
      </c>
      <c r="C49" s="3" t="s">
        <v>156</v>
      </c>
      <c r="D49" s="26">
        <v>53175519.999999866</v>
      </c>
      <c r="E49" s="26">
        <v>39881640</v>
      </c>
      <c r="F49" s="30">
        <f>'Dane - 31 marca 2021 r'!Z53</f>
        <v>126650914.47500001</v>
      </c>
      <c r="G49" s="30">
        <f>F49/'Dane - 31 marca 2021 r'!$B$3</f>
        <v>27616858.803968601</v>
      </c>
      <c r="H49" s="27">
        <f t="shared" si="0"/>
        <v>0.69247049027995344</v>
      </c>
      <c r="I49" s="30">
        <f>'Dane - 31 marca 2021 r'!AK53</f>
        <v>104442700.07000001</v>
      </c>
      <c r="J49" s="30">
        <f>I49/'Dane - 31 marca 2021 r'!$B$3</f>
        <v>22774247.725686874</v>
      </c>
      <c r="K49" s="27">
        <f t="shared" si="3"/>
        <v>0.57104591801357407</v>
      </c>
      <c r="L49" s="30">
        <f>'Dane - 31 marca 2021 r'!AQ53</f>
        <v>98260785.109999999</v>
      </c>
      <c r="M49" s="30">
        <f>L49/'Dane - 31 marca 2021 r'!$B$3</f>
        <v>21426250.569123417</v>
      </c>
      <c r="N49" s="27">
        <f t="shared" si="1"/>
        <v>0.53724597506831262</v>
      </c>
      <c r="O49" s="32">
        <f>'Dane - 31 marca 2021 r'!X53</f>
        <v>185</v>
      </c>
      <c r="P49" s="235"/>
    </row>
    <row r="50" spans="1:16" ht="12" thickBot="1" x14ac:dyDescent="0.25">
      <c r="A50" s="264" t="s">
        <v>148</v>
      </c>
      <c r="B50" s="264"/>
      <c r="C50" s="46" t="s">
        <v>55</v>
      </c>
      <c r="D50" s="47">
        <f>SUM(D46:D49)</f>
        <v>97276521.999999806</v>
      </c>
      <c r="E50" s="47">
        <f t="shared" ref="E50:O50" si="10">SUM(E46:E49)</f>
        <v>73584642</v>
      </c>
      <c r="F50" s="47">
        <f t="shared" si="10"/>
        <v>204545248.125</v>
      </c>
      <c r="G50" s="47">
        <f t="shared" si="10"/>
        <v>44602103.821412995</v>
      </c>
      <c r="H50" s="48">
        <f t="shared" si="0"/>
        <v>0.60613332631845918</v>
      </c>
      <c r="I50" s="47">
        <f t="shared" si="10"/>
        <v>152722045.37</v>
      </c>
      <c r="J50" s="47">
        <f t="shared" si="10"/>
        <v>33301797.943741821</v>
      </c>
      <c r="K50" s="48">
        <f t="shared" si="3"/>
        <v>0.45256451670637771</v>
      </c>
      <c r="L50" s="47">
        <f t="shared" si="10"/>
        <v>130311930.98999999</v>
      </c>
      <c r="M50" s="47">
        <f t="shared" si="10"/>
        <v>28415161.576537285</v>
      </c>
      <c r="N50" s="48">
        <f t="shared" si="1"/>
        <v>0.38615614351344246</v>
      </c>
      <c r="O50" s="49">
        <f t="shared" si="10"/>
        <v>235</v>
      </c>
      <c r="P50" s="235"/>
    </row>
    <row r="51" spans="1:16" x14ac:dyDescent="0.2">
      <c r="A51" s="28" t="s">
        <v>157</v>
      </c>
      <c r="B51" s="29" t="s">
        <v>158</v>
      </c>
      <c r="C51" s="4" t="s">
        <v>159</v>
      </c>
      <c r="D51" s="30">
        <v>259996</v>
      </c>
      <c r="E51" s="30">
        <v>194997</v>
      </c>
      <c r="F51" s="30">
        <f>'Dane - 31 marca 2021 r'!Z55</f>
        <v>845865.63000000012</v>
      </c>
      <c r="G51" s="30">
        <f>F51/'Dane - 31 marca 2021 r'!$B$3</f>
        <v>184445.18752725687</v>
      </c>
      <c r="H51" s="31">
        <f t="shared" si="0"/>
        <v>0.94588730866247617</v>
      </c>
      <c r="I51" s="30">
        <f>'Dane - 31 marca 2021 r'!AK55</f>
        <v>0</v>
      </c>
      <c r="J51" s="30">
        <f>I51/'Dane - 31 marca 2021 r'!$B$3</f>
        <v>0</v>
      </c>
      <c r="K51" s="31">
        <f t="shared" si="3"/>
        <v>0</v>
      </c>
      <c r="L51" s="30">
        <f>'Dane - 31 marca 2021 r'!AQ55</f>
        <v>0</v>
      </c>
      <c r="M51" s="30">
        <f>L51/'Dane - 31 marca 2021 r'!$B$3</f>
        <v>0</v>
      </c>
      <c r="N51" s="31">
        <f t="shared" si="1"/>
        <v>0</v>
      </c>
      <c r="O51" s="32">
        <f>'Dane - 31 marca 2021 r'!X55</f>
        <v>1</v>
      </c>
      <c r="P51" s="235"/>
    </row>
    <row r="52" spans="1:16" ht="21" x14ac:dyDescent="0.2">
      <c r="A52" s="20" t="s">
        <v>157</v>
      </c>
      <c r="B52" s="21" t="s">
        <v>160</v>
      </c>
      <c r="C52" s="2" t="s">
        <v>161</v>
      </c>
      <c r="D52" s="22">
        <v>0</v>
      </c>
      <c r="E52" s="22">
        <v>0</v>
      </c>
      <c r="F52" s="30">
        <f>'Dane - 31 marca 2021 r'!Z56</f>
        <v>0</v>
      </c>
      <c r="G52" s="30">
        <f>F52/'Dane - 31 marca 2021 r'!$B$3</f>
        <v>0</v>
      </c>
      <c r="H52" s="18">
        <v>0</v>
      </c>
      <c r="I52" s="30">
        <f>'Dane - 31 marca 2021 r'!AK56</f>
        <v>0</v>
      </c>
      <c r="J52" s="30">
        <f>I52/'Dane - 31 marca 2021 r'!$B$3</f>
        <v>0</v>
      </c>
      <c r="K52" s="18">
        <v>0</v>
      </c>
      <c r="L52" s="30">
        <f>'Dane - 31 marca 2021 r'!AQ56</f>
        <v>0</v>
      </c>
      <c r="M52" s="30">
        <f>L52/'Dane - 31 marca 2021 r'!$B$3</f>
        <v>0</v>
      </c>
      <c r="N52" s="18">
        <v>0</v>
      </c>
      <c r="O52" s="32">
        <f>'Dane - 31 marca 2021 r'!X56</f>
        <v>0</v>
      </c>
      <c r="P52" s="235"/>
    </row>
    <row r="53" spans="1:16" ht="12" thickBot="1" x14ac:dyDescent="0.25">
      <c r="A53" s="24" t="s">
        <v>157</v>
      </c>
      <c r="B53" s="25" t="s">
        <v>162</v>
      </c>
      <c r="C53" s="3" t="s">
        <v>163</v>
      </c>
      <c r="D53" s="26">
        <v>0</v>
      </c>
      <c r="E53" s="26">
        <v>0</v>
      </c>
      <c r="F53" s="30">
        <f>'Dane - 31 marca 2021 r'!Z57</f>
        <v>0</v>
      </c>
      <c r="G53" s="30">
        <f>F53/'Dane - 31 marca 2021 r'!$B$3</f>
        <v>0</v>
      </c>
      <c r="H53" s="27">
        <v>0</v>
      </c>
      <c r="I53" s="30">
        <f>'Dane - 31 marca 2021 r'!AK57</f>
        <v>0</v>
      </c>
      <c r="J53" s="30">
        <f>I53/'Dane - 31 marca 2021 r'!$B$3</f>
        <v>0</v>
      </c>
      <c r="K53" s="27">
        <v>0</v>
      </c>
      <c r="L53" s="30">
        <f>'Dane - 31 marca 2021 r'!AQ57</f>
        <v>0</v>
      </c>
      <c r="M53" s="30">
        <f>L53/'Dane - 31 marca 2021 r'!$B$3</f>
        <v>0</v>
      </c>
      <c r="N53" s="27">
        <v>0</v>
      </c>
      <c r="O53" s="32">
        <f>'Dane - 31 marca 2021 r'!X57</f>
        <v>0</v>
      </c>
      <c r="P53" s="235"/>
    </row>
    <row r="54" spans="1:16" ht="21.75" thickBot="1" x14ac:dyDescent="0.25">
      <c r="A54" s="264" t="s">
        <v>157</v>
      </c>
      <c r="B54" s="264"/>
      <c r="C54" s="46" t="s">
        <v>60</v>
      </c>
      <c r="D54" s="47">
        <f>SUM(D51:D53)</f>
        <v>259996</v>
      </c>
      <c r="E54" s="47">
        <f t="shared" ref="E54:O54" si="11">SUM(E51:E53)</f>
        <v>194997</v>
      </c>
      <c r="F54" s="47">
        <f t="shared" si="11"/>
        <v>845865.63000000012</v>
      </c>
      <c r="G54" s="47">
        <f t="shared" si="11"/>
        <v>184445.18752725687</v>
      </c>
      <c r="H54" s="48">
        <f t="shared" si="0"/>
        <v>0.94588730866247617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5"/>
    </row>
    <row r="55" spans="1:16" ht="19.5" customHeight="1" thickBot="1" x14ac:dyDescent="0.25">
      <c r="A55" s="264" t="s">
        <v>166</v>
      </c>
      <c r="B55" s="264"/>
      <c r="C55" s="46" t="s">
        <v>164</v>
      </c>
      <c r="D55" s="47">
        <v>42497556</v>
      </c>
      <c r="E55" s="47">
        <v>31873167</v>
      </c>
      <c r="F55" s="47">
        <f>'Dane - 31 marca 2021 r'!Z59</f>
        <v>85289775.170000002</v>
      </c>
      <c r="G55" s="47">
        <f>F55/'Dane - 31 marca 2021 r'!$B$3</f>
        <v>18597857.647187091</v>
      </c>
      <c r="H55" s="48">
        <f t="shared" si="0"/>
        <v>0.58349575513431384</v>
      </c>
      <c r="I55" s="47">
        <f>'Dane - 31 marca 2021 r'!AK59-'Dane - 31 marca 2021 r'!AM59</f>
        <v>73862925.319999993</v>
      </c>
      <c r="J55" s="47">
        <f>I55/'Dane - 31 marca 2021 r'!B3</f>
        <v>16106176.476232007</v>
      </c>
      <c r="K55" s="48">
        <f t="shared" si="3"/>
        <v>0.50532086994154068</v>
      </c>
      <c r="L55" s="47">
        <f>'Dane - 31 marca 2021 r'!AQ59</f>
        <v>73862925.319999993</v>
      </c>
      <c r="M55" s="47">
        <f>L55/'Dane - 31 marca 2021 r'!$B$3</f>
        <v>16106176.476232007</v>
      </c>
      <c r="N55" s="48">
        <f t="shared" si="1"/>
        <v>0.50532086994154068</v>
      </c>
      <c r="O55" s="49">
        <f>'Dane - 31 marca 2021 r'!X59</f>
        <v>127</v>
      </c>
      <c r="P55" s="235"/>
    </row>
    <row r="56" spans="1:16" ht="24" customHeight="1" thickBot="1" x14ac:dyDescent="0.25">
      <c r="A56" s="33" t="s">
        <v>165</v>
      </c>
      <c r="B56" s="33"/>
      <c r="C56" s="5" t="s">
        <v>65</v>
      </c>
      <c r="D56" s="231">
        <f>D55+D54+D50+D45+D41+D36+D24</f>
        <v>710309512.99999905</v>
      </c>
      <c r="E56" s="231">
        <f t="shared" ref="E56:O56" si="12">E55+E54+E50+E45+E41+E36+E24</f>
        <v>531069456</v>
      </c>
      <c r="F56" s="231">
        <f t="shared" si="12"/>
        <v>1728135009.5825</v>
      </c>
      <c r="G56" s="231">
        <f t="shared" si="12"/>
        <v>376828392.84398168</v>
      </c>
      <c r="H56" s="232">
        <f t="shared" si="0"/>
        <v>0.70956517756122217</v>
      </c>
      <c r="I56" s="231">
        <f t="shared" si="12"/>
        <v>1295474857.8200002</v>
      </c>
      <c r="J56" s="231">
        <f t="shared" si="12"/>
        <v>282484705.15045792</v>
      </c>
      <c r="K56" s="232">
        <f t="shared" si="3"/>
        <v>0.53191668614897314</v>
      </c>
      <c r="L56" s="231">
        <f t="shared" si="12"/>
        <v>1069575433.33</v>
      </c>
      <c r="M56" s="231">
        <f t="shared" si="12"/>
        <v>233226217.47274315</v>
      </c>
      <c r="N56" s="232">
        <f t="shared" si="1"/>
        <v>0.43916330498348816</v>
      </c>
      <c r="O56" s="233">
        <f t="shared" si="12"/>
        <v>9860</v>
      </c>
      <c r="P56" s="235"/>
    </row>
    <row r="57" spans="1:16" x14ac:dyDescent="0.2">
      <c r="A57" s="6" t="s">
        <v>227</v>
      </c>
      <c r="P57" s="235"/>
    </row>
    <row r="58" spans="1:16" x14ac:dyDescent="0.2">
      <c r="A58" s="6" t="s">
        <v>210</v>
      </c>
      <c r="P58" s="235"/>
    </row>
    <row r="59" spans="1:16" x14ac:dyDescent="0.2">
      <c r="A59" s="6" t="s">
        <v>217</v>
      </c>
      <c r="P59" s="235"/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topLeftCell="A13" zoomScaleNormal="100" workbookViewId="0">
      <selection activeCell="L23" sqref="L23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94" t="s">
        <v>187</v>
      </c>
      <c r="B1" s="297" t="s">
        <v>188</v>
      </c>
      <c r="C1" s="196" t="s">
        <v>204</v>
      </c>
      <c r="D1" s="196" t="s">
        <v>205</v>
      </c>
      <c r="E1" s="196" t="s">
        <v>206</v>
      </c>
      <c r="F1" s="196" t="s">
        <v>212</v>
      </c>
      <c r="G1" s="196" t="s">
        <v>207</v>
      </c>
      <c r="H1" s="196" t="s">
        <v>213</v>
      </c>
      <c r="I1" s="196" t="s">
        <v>208</v>
      </c>
      <c r="J1" s="196" t="s">
        <v>209</v>
      </c>
      <c r="K1" s="281" t="s">
        <v>216</v>
      </c>
      <c r="L1" s="284" t="s">
        <v>214</v>
      </c>
      <c r="M1" s="287" t="s">
        <v>215</v>
      </c>
    </row>
    <row r="2" spans="1:13" ht="15.75" x14ac:dyDescent="0.25">
      <c r="A2" s="295"/>
      <c r="B2" s="298"/>
      <c r="C2" s="197"/>
      <c r="D2" s="197"/>
      <c r="E2" s="197"/>
      <c r="F2" s="197"/>
      <c r="G2" s="197"/>
      <c r="H2" s="197"/>
      <c r="I2" s="197"/>
      <c r="J2" s="197"/>
      <c r="K2" s="282"/>
      <c r="L2" s="285"/>
      <c r="M2" s="288"/>
    </row>
    <row r="3" spans="1:13" ht="16.5" thickBot="1" x14ac:dyDescent="0.3">
      <c r="A3" s="296"/>
      <c r="B3" s="299"/>
      <c r="C3" s="198"/>
      <c r="D3" s="198"/>
      <c r="E3" s="198"/>
      <c r="F3" s="198"/>
      <c r="G3" s="198"/>
      <c r="H3" s="198"/>
      <c r="I3" s="198"/>
      <c r="J3" s="198"/>
      <c r="K3" s="283"/>
      <c r="L3" s="286"/>
      <c r="M3" s="289"/>
    </row>
    <row r="4" spans="1:13" ht="18.75" thickTop="1" thickBot="1" x14ac:dyDescent="0.3">
      <c r="A4" s="290" t="s">
        <v>189</v>
      </c>
      <c r="B4" s="291"/>
      <c r="C4" s="291"/>
      <c r="D4" s="291"/>
      <c r="E4" s="291"/>
      <c r="F4" s="291"/>
      <c r="G4" s="291"/>
      <c r="H4" s="291"/>
      <c r="I4" s="291"/>
      <c r="J4" s="291"/>
      <c r="K4" s="177"/>
      <c r="L4" s="177"/>
      <c r="M4" s="200"/>
    </row>
    <row r="5" spans="1:13" ht="33" thickTop="1" thickBot="1" x14ac:dyDescent="0.3">
      <c r="A5" s="91" t="s">
        <v>190</v>
      </c>
      <c r="B5" s="102" t="s">
        <v>99</v>
      </c>
      <c r="C5" s="102">
        <f>'Dane - 31 marca 2021 r'!C19</f>
        <v>3969</v>
      </c>
      <c r="D5" s="103">
        <f>'Dane - 31 marca 2021 r'!D19/'Dane - 31 marca 2021 r'!$B$3</f>
        <v>76382490.405582204</v>
      </c>
      <c r="E5" s="102">
        <f>'Dane - 31 marca 2021 r'!X19</f>
        <v>3847</v>
      </c>
      <c r="F5" s="103">
        <f>'Dane - 31 marca 2021 r'!Y19/'Dane - 31 marca 2021 r'!$B$3</f>
        <v>73887952.464020923</v>
      </c>
      <c r="G5" s="102">
        <f>'Dane - 31 marca 2021 r'!AB19</f>
        <v>3865</v>
      </c>
      <c r="H5" s="103">
        <f>'Dane - 31 marca 2021 r'!AD19/'Dane - 31 marca 2021 r'!$B$3</f>
        <v>69126212.930658519</v>
      </c>
      <c r="I5" s="102">
        <f>'Dane - 31 marca 2021 r'!AO19</f>
        <v>3848</v>
      </c>
      <c r="J5" s="103">
        <f>'Dane - 31 marca 2021 r'!AP19/'Dane - 31 marca 2021 r'!$B$3</f>
        <v>68855178.805058867</v>
      </c>
      <c r="K5" s="104">
        <v>4360</v>
      </c>
      <c r="L5" s="104">
        <f>G5</f>
        <v>3865</v>
      </c>
      <c r="M5" s="183">
        <f>L5/K5</f>
        <v>0.88646788990825687</v>
      </c>
    </row>
    <row r="6" spans="1:13" ht="43.5" customHeight="1" thickTop="1" thickBot="1" x14ac:dyDescent="0.3">
      <c r="A6" s="292" t="s">
        <v>191</v>
      </c>
      <c r="B6" s="102" t="s">
        <v>89</v>
      </c>
      <c r="C6" s="102">
        <f>'Dane - 31 marca 2021 r'!C14</f>
        <v>13</v>
      </c>
      <c r="D6" s="103">
        <f>'Dane - 31 marca 2021 r'!D14/'Dane - 31 marca 2021 r'!$B$3</f>
        <v>6602029.1648495421</v>
      </c>
      <c r="E6" s="102">
        <f>'Dane - 31 marca 2021 r'!X14</f>
        <v>11</v>
      </c>
      <c r="F6" s="103">
        <f>'Dane - 31 marca 2021 r'!Y14/'Dane - 31 marca 2021 r'!$B$3</f>
        <v>5467968.7788922805</v>
      </c>
      <c r="G6" s="102">
        <f>'Dane - 31 marca 2021 r'!AB14</f>
        <v>8</v>
      </c>
      <c r="H6" s="103">
        <f>'Dane - 31 marca 2021 r'!AD14/'Dane - 31 marca 2021 r'!$B$3</f>
        <v>3425612.3789795022</v>
      </c>
      <c r="I6" s="102">
        <f>'Dane - 31 marca 2021 r'!AO14</f>
        <v>8</v>
      </c>
      <c r="J6" s="103">
        <f>'Dane - 31 marca 2021 r'!AP14/'Dane - 31 marca 2021 r'!$B$3</f>
        <v>3026742.6013955516</v>
      </c>
      <c r="K6" s="275">
        <v>122</v>
      </c>
      <c r="L6" s="277">
        <f>G6+G7+G8</f>
        <v>296</v>
      </c>
      <c r="M6" s="280">
        <f>L6/K6</f>
        <v>2.4262295081967213</v>
      </c>
    </row>
    <row r="7" spans="1:13" ht="39.75" customHeight="1" thickTop="1" thickBot="1" x14ac:dyDescent="0.3">
      <c r="A7" s="293"/>
      <c r="B7" s="102" t="s">
        <v>101</v>
      </c>
      <c r="C7" s="102">
        <f>'Dane - 31 marca 2021 r'!C22</f>
        <v>501</v>
      </c>
      <c r="D7" s="103">
        <f>'Dane - 31 marca 2021 r'!D22/'Dane - 31 marca 2021 r'!$B$3</f>
        <v>28140163.567378979</v>
      </c>
      <c r="E7" s="102">
        <f>'Dane - 31 marca 2021 r'!X22</f>
        <v>382</v>
      </c>
      <c r="F7" s="103">
        <f>'Dane - 31 marca 2021 r'!Y22/'Dane - 31 marca 2021 r'!$B$3</f>
        <v>18454641.622328829</v>
      </c>
      <c r="G7" s="102">
        <f>'Dane - 31 marca 2021 r'!AB22</f>
        <v>284</v>
      </c>
      <c r="H7" s="103">
        <f>'Dane - 31 marca 2021 r'!AD22/'Dane - 31 marca 2021 r'!$B$3</f>
        <v>12663704.884430874</v>
      </c>
      <c r="I7" s="102">
        <f>'Dane - 31 marca 2021 r'!AO22</f>
        <v>196</v>
      </c>
      <c r="J7" s="103">
        <f>'Dane - 31 marca 2021 r'!AP22/'Dane - 31 marca 2021 r'!$B$3</f>
        <v>8391105.7937200181</v>
      </c>
      <c r="K7" s="276"/>
      <c r="L7" s="278"/>
      <c r="M7" s="280"/>
    </row>
    <row r="8" spans="1:13" ht="51" customHeight="1" thickTop="1" thickBot="1" x14ac:dyDescent="0.3">
      <c r="A8" s="293"/>
      <c r="B8" s="102" t="s">
        <v>103</v>
      </c>
      <c r="C8" s="102">
        <f>'Dane - 31 marca 2021 r'!C23</f>
        <v>42</v>
      </c>
      <c r="D8" s="103">
        <f>'Dane - 31 marca 2021 r'!D23/'Dane - 31 marca 2021 r'!$B$3</f>
        <v>113931888.77235062</v>
      </c>
      <c r="E8" s="102">
        <f>'Dane - 31 marca 2021 r'!X23</f>
        <v>9</v>
      </c>
      <c r="F8" s="103">
        <f>'Dane - 31 marca 2021 r'!Y23/'Dane - 31 marca 2021 r'!$B$3</f>
        <v>19209992.843436543</v>
      </c>
      <c r="G8" s="102">
        <f>'Dane - 31 marca 2021 r'!AB23</f>
        <v>4</v>
      </c>
      <c r="H8" s="103">
        <f>'Dane - 31 marca 2021 r'!AD23/'Dane - 31 marca 2021 r'!$B$3</f>
        <v>59773.194505015257</v>
      </c>
      <c r="I8" s="102">
        <f>'Dane - 31 marca 2021 r'!AO23</f>
        <v>2</v>
      </c>
      <c r="J8" s="103">
        <f>'Dane - 31 marca 2021 r'!AP23/'Dane - 31 marca 2021 r'!$B$3</f>
        <v>38764.677278674222</v>
      </c>
      <c r="K8" s="276"/>
      <c r="L8" s="279"/>
      <c r="M8" s="280"/>
    </row>
    <row r="9" spans="1:13" ht="17.25" thickTop="1" thickBot="1" x14ac:dyDescent="0.3">
      <c r="A9" s="300" t="s">
        <v>192</v>
      </c>
      <c r="B9" s="301"/>
      <c r="C9" s="195"/>
      <c r="D9" s="195"/>
      <c r="E9" s="195"/>
      <c r="F9" s="195"/>
      <c r="G9" s="195"/>
      <c r="H9" s="195"/>
      <c r="I9" s="195"/>
      <c r="J9" s="195"/>
      <c r="K9" s="178">
        <v>231675328</v>
      </c>
      <c r="L9" s="178">
        <f>'Dane - 31 marca 2021 r'!AP6/'Dane - 31 marca 2021 r'!$B$3</f>
        <v>122584022.33972959</v>
      </c>
      <c r="M9" s="183">
        <f>L9/K9</f>
        <v>0.52911988254411624</v>
      </c>
    </row>
    <row r="10" spans="1:13" ht="18.75" thickTop="1" thickBot="1" x14ac:dyDescent="0.3">
      <c r="A10" s="306" t="s">
        <v>211</v>
      </c>
      <c r="B10" s="307"/>
      <c r="C10" s="307"/>
      <c r="D10" s="307"/>
      <c r="E10" s="307"/>
      <c r="F10" s="307"/>
      <c r="G10" s="307"/>
      <c r="H10" s="307"/>
      <c r="I10" s="307"/>
      <c r="J10" s="307"/>
      <c r="K10" s="177"/>
      <c r="L10" s="177"/>
      <c r="M10" s="200"/>
    </row>
    <row r="11" spans="1:13" ht="16.5" thickTop="1" thickBot="1" x14ac:dyDescent="0.3">
      <c r="A11" s="308" t="s">
        <v>193</v>
      </c>
      <c r="B11" s="102" t="s">
        <v>120</v>
      </c>
      <c r="C11" s="102">
        <f>'Dane - 31 marca 2021 r'!C32</f>
        <v>709</v>
      </c>
      <c r="D11" s="103">
        <f>'Dane - 31 marca 2021 r'!D32/'Dane - 31 marca 2021 r'!$B$3</f>
        <v>106393430.48626254</v>
      </c>
      <c r="E11" s="102">
        <f>'Dane - 31 marca 2021 r'!X32</f>
        <v>415</v>
      </c>
      <c r="F11" s="103">
        <f>'Dane - 31 marca 2021 r'!Y32/'Dane - 31 marca 2021 r'!$B$3</f>
        <v>51175068.992586121</v>
      </c>
      <c r="G11" s="102">
        <f>'Dane - 31 marca 2021 r'!AB32</f>
        <v>324</v>
      </c>
      <c r="H11" s="103">
        <f>'Dane - 31 marca 2021 r'!AD32/'Dane - 31 marca 2021 r'!$B$3</f>
        <v>30486777.80418665</v>
      </c>
      <c r="I11" s="102">
        <f>'Dane - 31 marca 2021 r'!AO32</f>
        <v>252</v>
      </c>
      <c r="J11" s="103">
        <f>'Dane - 31 marca 2021 r'!AP32/'Dane - 31 marca 2021 r'!$B$3</f>
        <v>21279517.064980377</v>
      </c>
      <c r="K11" s="275">
        <v>560</v>
      </c>
      <c r="L11" s="277">
        <f>G11+G12+G13</f>
        <v>396</v>
      </c>
      <c r="M11" s="280">
        <f>L11/K11</f>
        <v>0.70714285714285718</v>
      </c>
    </row>
    <row r="12" spans="1:13" ht="16.5" thickTop="1" thickBot="1" x14ac:dyDescent="0.3">
      <c r="A12" s="309"/>
      <c r="B12" s="102" t="s">
        <v>122</v>
      </c>
      <c r="C12" s="102">
        <f>'Dane - 31 marca 2021 r'!C33</f>
        <v>179</v>
      </c>
      <c r="D12" s="103">
        <f>'Dane - 31 marca 2021 r'!D33/'Dane - 31 marca 2021 r'!$B$3</f>
        <v>10144242.710423024</v>
      </c>
      <c r="E12" s="102">
        <f>'Dane - 31 marca 2021 r'!X33</f>
        <v>114</v>
      </c>
      <c r="F12" s="103">
        <f>'Dane - 31 marca 2021 r'!Y33/'Dane - 31 marca 2021 r'!$B$3</f>
        <v>4528556.2472743131</v>
      </c>
      <c r="G12" s="102">
        <f>'Dane - 31 marca 2021 r'!AB33</f>
        <v>46</v>
      </c>
      <c r="H12" s="103">
        <f>'Dane - 31 marca 2021 r'!AD33/'Dane - 31 marca 2021 r'!$B$3</f>
        <v>1390977.9633667683</v>
      </c>
      <c r="I12" s="102">
        <f>'Dane - 31 marca 2021 r'!AO33</f>
        <v>35</v>
      </c>
      <c r="J12" s="103">
        <f>'Dane - 31 marca 2021 r'!AP33/'Dane - 31 marca 2021 r'!$B$3</f>
        <v>1157288.4757959004</v>
      </c>
      <c r="K12" s="276"/>
      <c r="L12" s="278"/>
      <c r="M12" s="280"/>
    </row>
    <row r="13" spans="1:13" ht="16.5" thickTop="1" thickBot="1" x14ac:dyDescent="0.3">
      <c r="A13" s="309"/>
      <c r="B13" s="105" t="s">
        <v>124</v>
      </c>
      <c r="C13" s="102">
        <f>'Dane - 31 marca 2021 r'!C34</f>
        <v>116</v>
      </c>
      <c r="D13" s="103">
        <f>'Dane - 31 marca 2021 r'!D34/'Dane - 31 marca 2021 r'!$B$3</f>
        <v>68232988.296990827</v>
      </c>
      <c r="E13" s="102">
        <f>'Dane - 31 marca 2021 r'!X34</f>
        <v>42</v>
      </c>
      <c r="F13" s="103">
        <f>'Dane - 31 marca 2021 r'!Y34/'Dane - 31 marca 2021 r'!$B$3</f>
        <v>22852510.353249017</v>
      </c>
      <c r="G13" s="102">
        <f>'Dane - 31 marca 2021 r'!AB34</f>
        <v>26</v>
      </c>
      <c r="H13" s="103">
        <f>'Dane - 31 marca 2021 r'!AD34/'Dane - 31 marca 2021 r'!$B$3</f>
        <v>2630705.0457915394</v>
      </c>
      <c r="I13" s="102">
        <f>'Dane - 31 marca 2021 r'!AO34</f>
        <v>14</v>
      </c>
      <c r="J13" s="103">
        <f>'Dane - 31 marca 2021 r'!AP34/'Dane - 31 marca 2021 r'!$B$3</f>
        <v>1633242.7671173136</v>
      </c>
      <c r="K13" s="276"/>
      <c r="L13" s="279"/>
      <c r="M13" s="280"/>
    </row>
    <row r="14" spans="1:13" ht="17.25" thickTop="1" thickBot="1" x14ac:dyDescent="0.3">
      <c r="A14" s="300" t="s">
        <v>192</v>
      </c>
      <c r="B14" s="301"/>
      <c r="C14" s="195"/>
      <c r="D14" s="195"/>
      <c r="E14" s="195"/>
      <c r="F14" s="195"/>
      <c r="G14" s="195"/>
      <c r="H14" s="195"/>
      <c r="I14" s="195"/>
      <c r="J14" s="195"/>
      <c r="K14" s="108">
        <v>217264768</v>
      </c>
      <c r="L14" s="178">
        <f>'Dane - 31 marca 2021 r'!AP28/'Dane - 31 marca 2021 r'!$B$3</f>
        <v>83425923.807239428</v>
      </c>
      <c r="M14" s="183">
        <f>L14/K14</f>
        <v>0.383982753279351</v>
      </c>
    </row>
    <row r="15" spans="1:13" ht="18.75" thickTop="1" thickBot="1" x14ac:dyDescent="0.3">
      <c r="A15" s="310" t="s">
        <v>194</v>
      </c>
      <c r="B15" s="311"/>
      <c r="C15" s="311"/>
      <c r="D15" s="311"/>
      <c r="E15" s="311"/>
      <c r="F15" s="311"/>
      <c r="G15" s="311"/>
      <c r="H15" s="311"/>
      <c r="I15" s="311"/>
      <c r="J15" s="311"/>
      <c r="K15" s="177"/>
      <c r="L15" s="177"/>
      <c r="M15" s="200"/>
    </row>
    <row r="16" spans="1:13" ht="64.5" thickTop="1" thickBot="1" x14ac:dyDescent="0.3">
      <c r="A16" s="92" t="s">
        <v>195</v>
      </c>
      <c r="B16" s="176" t="s">
        <v>136</v>
      </c>
      <c r="C16" s="102">
        <f>'Dane - 31 marca 2021 r'!C42</f>
        <v>50</v>
      </c>
      <c r="D16" s="103">
        <f>'Dane - 31 marca 2021 r'!D42/'Dane - 31 marca 2021 r'!$B$3</f>
        <v>6540666.0161360661</v>
      </c>
      <c r="E16" s="102">
        <f>'Dane - 31 marca 2021 r'!X42</f>
        <v>45</v>
      </c>
      <c r="F16" s="103">
        <f>'Dane - 31 marca 2021 r'!Y42/'Dane - 31 marca 2021 r'!$B$3</f>
        <v>5639129.099433057</v>
      </c>
      <c r="G16" s="102">
        <f>'Dane - 31 marca 2021 r'!AB42</f>
        <v>45</v>
      </c>
      <c r="H16" s="103">
        <f>'Dane - 31 marca 2021 r'!AD42/'Dane - 31 marca 2021 r'!$B$3</f>
        <v>4986045.7544701258</v>
      </c>
      <c r="I16" s="102">
        <f>'Dane - 31 marca 2021 r'!AO42</f>
        <v>42</v>
      </c>
      <c r="J16" s="103">
        <f>'Dane - 31 marca 2021 r'!AP42/'Dane - 31 marca 2021 r'!$B$3</f>
        <v>4638188.3406018317</v>
      </c>
      <c r="K16" s="193">
        <v>20</v>
      </c>
      <c r="L16" s="104">
        <f>G16</f>
        <v>45</v>
      </c>
      <c r="M16" s="183">
        <f>L16/K16</f>
        <v>2.25</v>
      </c>
    </row>
    <row r="17" spans="1:13" ht="17.25" thickTop="1" thickBot="1" x14ac:dyDescent="0.3">
      <c r="A17" s="300" t="s">
        <v>192</v>
      </c>
      <c r="B17" s="301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- 31 marca 2021 r'!AP40/'Dane - 31 marca 2021 r'!$B$3</f>
        <v>11219449.326210205</v>
      </c>
      <c r="M17" s="183">
        <f>L17/K17</f>
        <v>0.37617821148020836</v>
      </c>
    </row>
    <row r="18" spans="1:13" ht="18.75" thickTop="1" thickBot="1" x14ac:dyDescent="0.3">
      <c r="A18" s="312" t="s">
        <v>196</v>
      </c>
      <c r="B18" s="313"/>
      <c r="C18" s="313"/>
      <c r="D18" s="313"/>
      <c r="E18" s="313"/>
      <c r="F18" s="313"/>
      <c r="G18" s="313"/>
      <c r="H18" s="313"/>
      <c r="I18" s="313"/>
      <c r="J18" s="313"/>
      <c r="K18" s="177"/>
      <c r="L18" s="177"/>
      <c r="M18" s="200"/>
    </row>
    <row r="19" spans="1:13" ht="33" thickTop="1" thickBot="1" x14ac:dyDescent="0.3">
      <c r="A19" s="179" t="s">
        <v>167</v>
      </c>
      <c r="B19" s="180" t="s">
        <v>144</v>
      </c>
      <c r="C19" s="181">
        <f>'Dane - 31 marca 2021 r'!C47</f>
        <v>3252</v>
      </c>
      <c r="D19" s="182">
        <f>'Dane - 31 marca 2021 r'!D47/'Dane - 31 marca 2021 r'!$B$3</f>
        <v>102637736.86436981</v>
      </c>
      <c r="E19" s="181">
        <f>'Dane - 31 marca 2021 r'!X47</f>
        <v>1987</v>
      </c>
      <c r="F19" s="182">
        <f>'Dane - 31 marca 2021 r'!Y47/'Dane - 31 marca 2021 r'!$B$3</f>
        <v>62419663.454535529</v>
      </c>
      <c r="G19" s="181">
        <f>'Dane - 31 marca 2021 r'!AB47</f>
        <v>1574</v>
      </c>
      <c r="H19" s="182">
        <f>'Dane - 31 marca 2021 r'!AD47/'Dane - 31 marca 2021 r'!$B$3</f>
        <v>48593851.266899258</v>
      </c>
      <c r="I19" s="181">
        <f>'Dane - 31 marca 2021 r'!AO47</f>
        <v>1393</v>
      </c>
      <c r="J19" s="182">
        <f>'Dane - 31 marca 2021 r'!AP47/'Dane - 31 marca 2021 r'!$B$3</f>
        <v>41551515.832969911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300" t="s">
        <v>192</v>
      </c>
      <c r="B20" s="301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- 31 marca 2021 r'!AP45/'Dane - 31 marca 2021 r'!$B$3</f>
        <v>42245957.945922375</v>
      </c>
      <c r="M20" s="183">
        <f>L20/K20</f>
        <v>0.4505529047277107</v>
      </c>
    </row>
    <row r="21" spans="1:13" ht="18.75" thickTop="1" thickBot="1" x14ac:dyDescent="0.3">
      <c r="A21" s="310" t="s">
        <v>197</v>
      </c>
      <c r="B21" s="311"/>
      <c r="C21" s="311"/>
      <c r="D21" s="311"/>
      <c r="E21" s="311"/>
      <c r="F21" s="311"/>
      <c r="G21" s="311"/>
      <c r="H21" s="311"/>
      <c r="I21" s="311"/>
      <c r="J21" s="311"/>
      <c r="K21" s="177"/>
      <c r="L21" s="177"/>
      <c r="M21" s="200"/>
    </row>
    <row r="22" spans="1:13" ht="96" thickTop="1" thickBot="1" x14ac:dyDescent="0.3">
      <c r="A22" s="93" t="s">
        <v>168</v>
      </c>
      <c r="B22" s="106" t="s">
        <v>149</v>
      </c>
      <c r="C22" s="102">
        <f>'Dane - 31 marca 2021 r'!C50</f>
        <v>38</v>
      </c>
      <c r="D22" s="103">
        <f>'Dane - 31 marca 2021 r'!D50/'Dane - 31 marca 2021 r'!$B$3</f>
        <v>16477922.21543829</v>
      </c>
      <c r="E22" s="102">
        <f>'Dane - 31 marca 2021 r'!X50</f>
        <v>28</v>
      </c>
      <c r="F22" s="103">
        <f>'Dane - 31 marca 2021 r'!Y50/'Dane - 31 marca 2021 r'!$B$3</f>
        <v>8293020.2093327511</v>
      </c>
      <c r="G22" s="102">
        <f>'Dane - 31 marca 2021 r'!AB50</f>
        <v>29</v>
      </c>
      <c r="H22" s="103">
        <f>'Dane - 31 marca 2021 r'!AD50/'Dane - 31 marca 2021 r'!$B$3</f>
        <v>8143375.4884430859</v>
      </c>
      <c r="I22" s="102">
        <f>'Dane - 31 marca 2021 r'!AO50</f>
        <v>18</v>
      </c>
      <c r="J22" s="103">
        <f>'Dane - 31 marca 2021 r'!AP50/'Dane - 31 marca 2021 r'!$B$3</f>
        <v>5367248.7767117312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198</v>
      </c>
      <c r="B23" s="107" t="s">
        <v>155</v>
      </c>
      <c r="C23" s="102">
        <f>'Dane - 31 marca 2021 r'!C53</f>
        <v>331</v>
      </c>
      <c r="D23" s="103">
        <f>'Dane - 31 marca 2021 r'!D53/'Dane - 31 marca 2021 r'!$B$3</f>
        <v>85053050.226777136</v>
      </c>
      <c r="E23" s="102">
        <f>'Dane - 31 marca 2021 r'!X53</f>
        <v>185</v>
      </c>
      <c r="F23" s="103">
        <f>'Dane - 31 marca 2021 r'!Y53/'Dane - 31 marca 2021 r'!$B$3</f>
        <v>36822478.508504137</v>
      </c>
      <c r="G23" s="102">
        <f>'Dane - 31 marca 2021 r'!AB53</f>
        <v>55</v>
      </c>
      <c r="H23" s="103">
        <f>'Dane - 31 marca 2021 r'!AD53/'Dane - 31 marca 2021 r'!$B$3</f>
        <v>10592100.852594852</v>
      </c>
      <c r="I23" s="102">
        <f>'Dane - 31 marca 2021 r'!AO53</f>
        <v>171</v>
      </c>
      <c r="J23" s="103">
        <f>'Dane - 31 marca 2021 r'!AP53/'Dane - 31 marca 2021 r'!$B$3</f>
        <v>28568334.21936328</v>
      </c>
      <c r="K23" s="193">
        <v>80</v>
      </c>
      <c r="L23" s="104">
        <f>G23</f>
        <v>55</v>
      </c>
      <c r="M23" s="183">
        <f>L23/K23</f>
        <v>0.6875</v>
      </c>
    </row>
    <row r="24" spans="1:13" ht="17.25" thickTop="1" thickBot="1" x14ac:dyDescent="0.3">
      <c r="A24" s="300" t="s">
        <v>192</v>
      </c>
      <c r="B24" s="301"/>
      <c r="C24" s="195"/>
      <c r="D24" s="195"/>
      <c r="E24" s="195"/>
      <c r="F24" s="195"/>
      <c r="G24" s="195"/>
      <c r="H24" s="195"/>
      <c r="I24" s="195"/>
      <c r="J24" s="195"/>
      <c r="K24" s="178">
        <v>92149002</v>
      </c>
      <c r="L24" s="178">
        <f>'Dane - 31 marca 2021 r'!AP49/'Dane - 31 marca 2021 r'!$B$3</f>
        <v>37886882.269952029</v>
      </c>
      <c r="M24" s="183">
        <f>L24/K24</f>
        <v>0.41114804770161295</v>
      </c>
    </row>
    <row r="25" spans="1:13" ht="18.75" thickTop="1" thickBot="1" x14ac:dyDescent="0.3">
      <c r="A25" s="302" t="s">
        <v>199</v>
      </c>
      <c r="B25" s="303"/>
      <c r="C25" s="303"/>
      <c r="D25" s="303"/>
      <c r="E25" s="303"/>
      <c r="F25" s="303"/>
      <c r="G25" s="303"/>
      <c r="H25" s="303"/>
      <c r="I25" s="303"/>
      <c r="J25" s="303"/>
      <c r="K25" s="177"/>
      <c r="L25" s="177"/>
      <c r="M25" s="200"/>
    </row>
    <row r="26" spans="1:13" ht="33" thickTop="1" thickBot="1" x14ac:dyDescent="0.3">
      <c r="A26" s="92" t="s">
        <v>200</v>
      </c>
      <c r="B26" s="176" t="s">
        <v>158</v>
      </c>
      <c r="C26" s="102">
        <f>'Dane - 31 marca 2021 r'!C54</f>
        <v>10</v>
      </c>
      <c r="D26" s="103">
        <f>'Dane - 31 marca 2021 r'!D54/'Dane - 31 marca 2021 r'!$B$3</f>
        <v>798285.01526384649</v>
      </c>
      <c r="E26" s="102">
        <f>'Dane - 31 marca 2021 r'!X54</f>
        <v>1</v>
      </c>
      <c r="F26" s="103">
        <f>'Dane - 31 marca 2021 r'!Y54/'Dane - 31 marca 2021 r'!$B$3</f>
        <v>245926.91670300916</v>
      </c>
      <c r="G26" s="102">
        <f>'Dane - 31 marca 2021 r'!AB54</f>
        <v>0</v>
      </c>
      <c r="H26" s="103">
        <f>'Dane - 31 marca 2021 r'!AD54/'Dane - 31 marca 2021 r'!$B$3</f>
        <v>0</v>
      </c>
      <c r="I26" s="102">
        <f>'Dane - 31 marca 2021 r'!AO54</f>
        <v>0</v>
      </c>
      <c r="J26" s="103">
        <f>'Dane - 31 marca 2021 r'!AP54/'Dane - 31 marca 2021 r'!$B$3</f>
        <v>0</v>
      </c>
      <c r="K26" s="193">
        <v>10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304" t="s">
        <v>192</v>
      </c>
      <c r="B27" s="305"/>
      <c r="C27" s="192"/>
      <c r="D27" s="192"/>
      <c r="E27" s="192"/>
      <c r="F27" s="192"/>
      <c r="G27" s="192"/>
      <c r="H27" s="192"/>
      <c r="I27" s="192"/>
      <c r="J27" s="192"/>
      <c r="K27" s="109">
        <v>3333334</v>
      </c>
      <c r="L27" s="202">
        <f>'Dane - 31 marca 2021 r'!AP54/'Dane - 31 marca 2021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- 31 marca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2021-05-19T08:02:59Z</dcterms:modified>
</cp:coreProperties>
</file>