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P_RÓŻNE\GENERATOR WNIOSKÓW\GWD_2022\Specyficzne\Energia dla wsi\"/>
    </mc:Choice>
  </mc:AlternateContent>
  <workbookProtection workbookPassword="DA6F" lockStructure="1"/>
  <bookViews>
    <workbookView xWindow="0" yWindow="0" windowWidth="19200" windowHeight="11145"/>
  </bookViews>
  <sheets>
    <sheet name="Koszty" sheetId="4" r:id="rId1"/>
    <sheet name="EDB" sheetId="3" state="hidden" r:id="rId2"/>
    <sheet name="Opis inw.ref." sheetId="5" state="hidden" r:id="rId3"/>
    <sheet name="instrukcja" sheetId="7" r:id="rId4"/>
  </sheets>
  <definedNames>
    <definedName name="_xlnm.Print_Area" localSheetId="1">EDB!$A$12:$X$142</definedName>
    <definedName name="_xlnm.Print_Area" localSheetId="3">instrukcja!$A$1:$C$31</definedName>
    <definedName name="_xlnm.Print_Area" localSheetId="0">Koszty!$A$1:$H$46</definedName>
  </definedNames>
  <calcPr calcId="162913"/>
</workbook>
</file>

<file path=xl/calcChain.xml><?xml version="1.0" encoding="utf-8"?>
<calcChain xmlns="http://schemas.openxmlformats.org/spreadsheetml/2006/main">
  <c r="J58" i="4" l="1"/>
  <c r="A16" i="4" l="1"/>
  <c r="D51" i="4" l="1"/>
  <c r="D49" i="4"/>
  <c r="K18" i="4" l="1"/>
  <c r="D18" i="4" l="1"/>
  <c r="H41" i="4" s="1"/>
  <c r="A15" i="4"/>
  <c r="H35" i="4"/>
  <c r="H30" i="4"/>
  <c r="H37" i="4"/>
  <c r="H36" i="4"/>
  <c r="H34" i="4"/>
  <c r="H33" i="4"/>
  <c r="H31" i="4"/>
  <c r="H29" i="4"/>
  <c r="H28" i="4"/>
  <c r="H27" i="4"/>
  <c r="H26" i="4"/>
  <c r="H25" i="4"/>
  <c r="G32" i="4"/>
  <c r="F32" i="4"/>
  <c r="G24" i="4"/>
  <c r="H32" i="4" l="1"/>
  <c r="K19" i="3" l="1"/>
  <c r="K20" i="3" s="1"/>
  <c r="U23" i="3"/>
  <c r="K17" i="3"/>
  <c r="L33" i="3"/>
  <c r="C135" i="3"/>
  <c r="C136" i="3" s="1"/>
  <c r="C139" i="3"/>
  <c r="C142" i="3" s="1"/>
  <c r="C123" i="3"/>
  <c r="C126" i="3" s="1"/>
  <c r="C125" i="3"/>
  <c r="C127" i="3"/>
  <c r="C129" i="3" s="1"/>
  <c r="C131" i="3"/>
  <c r="C134" i="3" s="1"/>
  <c r="H24" i="4"/>
  <c r="X19" i="3" s="1"/>
  <c r="AP19" i="3" s="1"/>
  <c r="C119" i="3"/>
  <c r="C120" i="3" s="1"/>
  <c r="C115" i="3"/>
  <c r="C117" i="3" s="1"/>
  <c r="C111" i="3"/>
  <c r="C112" i="3" s="1"/>
  <c r="C107" i="3"/>
  <c r="C110" i="3" s="1"/>
  <c r="C103" i="3"/>
  <c r="C105" i="3" s="1"/>
  <c r="C99" i="3"/>
  <c r="C101" i="3" s="1"/>
  <c r="C95" i="3"/>
  <c r="C96" i="3" s="1"/>
  <c r="C97" i="3"/>
  <c r="C91" i="3"/>
  <c r="C92" i="3" s="1"/>
  <c r="C87" i="3"/>
  <c r="C88" i="3" s="1"/>
  <c r="C83" i="3"/>
  <c r="C84" i="3" s="1"/>
  <c r="C79" i="3"/>
  <c r="C81" i="3"/>
  <c r="C75" i="3"/>
  <c r="C76" i="3" s="1"/>
  <c r="C71" i="3"/>
  <c r="C73" i="3" s="1"/>
  <c r="C67" i="3"/>
  <c r="C69" i="3" s="1"/>
  <c r="C63" i="3"/>
  <c r="C66" i="3" s="1"/>
  <c r="C59" i="3"/>
  <c r="C55" i="3"/>
  <c r="C57" i="3" s="1"/>
  <c r="C51" i="3"/>
  <c r="C54" i="3" s="1"/>
  <c r="C47" i="3"/>
  <c r="C50" i="3" s="1"/>
  <c r="C43" i="3"/>
  <c r="C39" i="3"/>
  <c r="C42" i="3" s="1"/>
  <c r="N35" i="3"/>
  <c r="M35" i="3"/>
  <c r="C35" i="3"/>
  <c r="C37" i="3" s="1"/>
  <c r="I33" i="3"/>
  <c r="U10" i="3" s="1"/>
  <c r="G33" i="3"/>
  <c r="B8" i="3" s="1"/>
  <c r="B10" i="3"/>
  <c r="V9" i="3"/>
  <c r="V10" i="3" s="1"/>
  <c r="B9" i="3"/>
  <c r="AD8" i="3"/>
  <c r="L68" i="4"/>
  <c r="P92" i="4"/>
  <c r="Q92" i="4"/>
  <c r="O92" i="4"/>
  <c r="L92" i="4"/>
  <c r="L84" i="4"/>
  <c r="P84" i="4"/>
  <c r="Q84" i="4"/>
  <c r="R84" i="4"/>
  <c r="S84" i="4"/>
  <c r="O84" i="4"/>
  <c r="N76" i="4"/>
  <c r="R73" i="4"/>
  <c r="Q73" i="4"/>
  <c r="P73" i="4"/>
  <c r="O73" i="4"/>
  <c r="O66" i="4"/>
  <c r="N65" i="4"/>
  <c r="O65" i="4" s="1"/>
  <c r="K68" i="4" s="1"/>
  <c r="C82" i="3"/>
  <c r="C45" i="3"/>
  <c r="C124" i="3"/>
  <c r="C78" i="3"/>
  <c r="C98" i="3"/>
  <c r="C80" i="3"/>
  <c r="C41" i="3"/>
  <c r="C108" i="3"/>
  <c r="C118" i="3"/>
  <c r="C62" i="3"/>
  <c r="W9" i="3"/>
  <c r="F79" i="3" l="1"/>
  <c r="Y79" i="3" s="1"/>
  <c r="C68" i="3"/>
  <c r="K92" i="4"/>
  <c r="K84" i="4"/>
  <c r="F101" i="3"/>
  <c r="F131" i="3"/>
  <c r="H131" i="3" s="1"/>
  <c r="F99" i="3"/>
  <c r="Y99" i="3" s="1"/>
  <c r="C52" i="3"/>
  <c r="F52" i="3" s="1"/>
  <c r="C94" i="3"/>
  <c r="F94" i="3" s="1"/>
  <c r="C93" i="3"/>
  <c r="C137" i="3"/>
  <c r="F59" i="3"/>
  <c r="H59" i="3" s="1"/>
  <c r="C133" i="3"/>
  <c r="F133" i="3" s="1"/>
  <c r="F66" i="3"/>
  <c r="F73" i="3"/>
  <c r="C70" i="3"/>
  <c r="F98" i="3"/>
  <c r="C100" i="3"/>
  <c r="C53" i="3"/>
  <c r="F53" i="3" s="1"/>
  <c r="C122" i="3"/>
  <c r="F122" i="3" s="1"/>
  <c r="C102" i="3"/>
  <c r="F102" i="3" s="1"/>
  <c r="C141" i="3"/>
  <c r="F141" i="3" s="1"/>
  <c r="C140" i="3"/>
  <c r="F140" i="3" s="1"/>
  <c r="C121" i="3"/>
  <c r="C56" i="3"/>
  <c r="F56" i="3" s="1"/>
  <c r="N36" i="3"/>
  <c r="O36" i="3" s="1"/>
  <c r="C132" i="3"/>
  <c r="C109" i="3"/>
  <c r="F109" i="3" s="1"/>
  <c r="C58" i="3"/>
  <c r="F58" i="3" s="1"/>
  <c r="C106" i="3"/>
  <c r="F106" i="3" s="1"/>
  <c r="F117" i="3"/>
  <c r="F126" i="3"/>
  <c r="F111" i="3"/>
  <c r="J111" i="3" s="1"/>
  <c r="C60" i="3"/>
  <c r="F60" i="3" s="1"/>
  <c r="F43" i="3"/>
  <c r="H43" i="3" s="1"/>
  <c r="F69" i="3"/>
  <c r="F47" i="3"/>
  <c r="Y47" i="3" s="1"/>
  <c r="C74" i="3"/>
  <c r="C138" i="3"/>
  <c r="F39" i="3"/>
  <c r="H39" i="3" s="1"/>
  <c r="C89" i="3"/>
  <c r="F89" i="3" s="1"/>
  <c r="C61" i="3"/>
  <c r="F61" i="3" s="1"/>
  <c r="C48" i="3"/>
  <c r="C40" i="3"/>
  <c r="F40" i="3" s="1"/>
  <c r="C38" i="3"/>
  <c r="F38" i="3" s="1"/>
  <c r="F87" i="3"/>
  <c r="H87" i="3" s="1"/>
  <c r="C90" i="3"/>
  <c r="F90" i="3" s="1"/>
  <c r="C49" i="3"/>
  <c r="F49" i="3" s="1"/>
  <c r="C64" i="3"/>
  <c r="F64" i="3" s="1"/>
  <c r="C114" i="3"/>
  <c r="F114" i="3" s="1"/>
  <c r="C113" i="3"/>
  <c r="C72" i="3"/>
  <c r="F72" i="3" s="1"/>
  <c r="O35" i="3"/>
  <c r="F35" i="3"/>
  <c r="Y35" i="3" s="1"/>
  <c r="C65" i="3"/>
  <c r="F65" i="3" s="1"/>
  <c r="C46" i="3"/>
  <c r="F46" i="3" s="1"/>
  <c r="C44" i="3"/>
  <c r="F44" i="3" s="1"/>
  <c r="C77" i="3"/>
  <c r="F127" i="3"/>
  <c r="H127" i="3" s="1"/>
  <c r="C128" i="3"/>
  <c r="F128" i="3" s="1"/>
  <c r="C86" i="3"/>
  <c r="F86" i="3" s="1"/>
  <c r="C104" i="3"/>
  <c r="F104" i="3" s="1"/>
  <c r="C85" i="3"/>
  <c r="F85" i="3" s="1"/>
  <c r="C116" i="3"/>
  <c r="F116" i="3" s="1"/>
  <c r="C130" i="3"/>
  <c r="F130" i="3" s="1"/>
  <c r="C36" i="3"/>
  <c r="F125" i="3"/>
  <c r="F88" i="3"/>
  <c r="F82" i="3"/>
  <c r="F138" i="3"/>
  <c r="F103" i="3"/>
  <c r="J103" i="3" s="1"/>
  <c r="F97" i="3"/>
  <c r="F108" i="3"/>
  <c r="F67" i="3"/>
  <c r="J67" i="3" s="1"/>
  <c r="F92" i="3"/>
  <c r="F105" i="3"/>
  <c r="F129" i="3"/>
  <c r="J43" i="3"/>
  <c r="F124" i="3"/>
  <c r="P35" i="3"/>
  <c r="Y127" i="3"/>
  <c r="F121" i="3"/>
  <c r="F96" i="3"/>
  <c r="F45" i="3"/>
  <c r="F107" i="3"/>
  <c r="Y107" i="3" s="1"/>
  <c r="F112" i="3"/>
  <c r="F62" i="3"/>
  <c r="F70" i="3"/>
  <c r="F142" i="3"/>
  <c r="F118" i="3"/>
  <c r="F63" i="3"/>
  <c r="F48" i="3"/>
  <c r="F93" i="3"/>
  <c r="J127" i="3"/>
  <c r="Y43" i="3"/>
  <c r="H38" i="4"/>
  <c r="F50" i="3"/>
  <c r="F55" i="3"/>
  <c r="J55" i="3" s="1"/>
  <c r="F113" i="3"/>
  <c r="F135" i="3"/>
  <c r="F41" i="3"/>
  <c r="F68" i="3"/>
  <c r="F132" i="3"/>
  <c r="F120" i="3"/>
  <c r="Y39" i="3"/>
  <c r="F80" i="3"/>
  <c r="F91" i="3"/>
  <c r="F84" i="3"/>
  <c r="F95" i="3"/>
  <c r="F115" i="3"/>
  <c r="Y115" i="3" s="1"/>
  <c r="F76" i="3"/>
  <c r="F74" i="3"/>
  <c r="H79" i="3"/>
  <c r="F81" i="3"/>
  <c r="F37" i="3"/>
  <c r="F134" i="3"/>
  <c r="F119" i="3"/>
  <c r="F75" i="3"/>
  <c r="F137" i="3"/>
  <c r="F51" i="3"/>
  <c r="F57" i="3"/>
  <c r="F110" i="3"/>
  <c r="F123" i="3"/>
  <c r="F42" i="3"/>
  <c r="F83" i="3"/>
  <c r="F139" i="3"/>
  <c r="B11" i="3"/>
  <c r="F36" i="3"/>
  <c r="F71" i="3"/>
  <c r="F78" i="3"/>
  <c r="F136" i="3"/>
  <c r="F77" i="3"/>
  <c r="F54" i="3"/>
  <c r="F100" i="3"/>
  <c r="D19" i="4" l="1"/>
  <c r="H39" i="4" s="1"/>
  <c r="H40" i="4" s="1"/>
  <c r="H42" i="4" s="1"/>
  <c r="Y131" i="3"/>
  <c r="Q35" i="3"/>
  <c r="H99" i="3"/>
  <c r="J99" i="3"/>
  <c r="J131" i="3"/>
  <c r="J79" i="3"/>
  <c r="J59" i="3"/>
  <c r="Y59" i="3"/>
  <c r="H35" i="3"/>
  <c r="J35" i="3"/>
  <c r="P36" i="3"/>
  <c r="Q36" i="3" s="1"/>
  <c r="H67" i="3"/>
  <c r="Y67" i="3"/>
  <c r="Y111" i="3"/>
  <c r="J47" i="3"/>
  <c r="J39" i="3"/>
  <c r="H47" i="3"/>
  <c r="H111" i="3"/>
  <c r="Y103" i="3"/>
  <c r="J87" i="3"/>
  <c r="Y87" i="3"/>
  <c r="H103" i="3"/>
  <c r="H55" i="3"/>
  <c r="J63" i="3"/>
  <c r="H63" i="3"/>
  <c r="Y63" i="3"/>
  <c r="H107" i="3"/>
  <c r="J107" i="3"/>
  <c r="Y55" i="3"/>
  <c r="Y91" i="3"/>
  <c r="H91" i="3"/>
  <c r="J91" i="3"/>
  <c r="Y95" i="3"/>
  <c r="J95" i="3"/>
  <c r="H95" i="3"/>
  <c r="J135" i="3"/>
  <c r="H135" i="3"/>
  <c r="Y135" i="3"/>
  <c r="J115" i="3"/>
  <c r="H115" i="3"/>
  <c r="J71" i="3"/>
  <c r="H71" i="3"/>
  <c r="Y71" i="3"/>
  <c r="H51" i="3"/>
  <c r="J51" i="3"/>
  <c r="Y51" i="3"/>
  <c r="H123" i="3"/>
  <c r="Y123" i="3"/>
  <c r="J123" i="3"/>
  <c r="H83" i="3"/>
  <c r="Y83" i="3"/>
  <c r="J83" i="3"/>
  <c r="J139" i="3"/>
  <c r="H139" i="3"/>
  <c r="Y139" i="3"/>
  <c r="H119" i="3"/>
  <c r="J119" i="3"/>
  <c r="Y119" i="3"/>
  <c r="E98" i="3"/>
  <c r="E63" i="3"/>
  <c r="E78" i="3"/>
  <c r="E42" i="3"/>
  <c r="E70" i="3"/>
  <c r="E137" i="3"/>
  <c r="E72" i="3"/>
  <c r="E86" i="3"/>
  <c r="E88" i="3"/>
  <c r="E118" i="3"/>
  <c r="E104" i="3"/>
  <c r="E37" i="3"/>
  <c r="E39" i="3"/>
  <c r="E135" i="3"/>
  <c r="E136" i="3"/>
  <c r="E93" i="3"/>
  <c r="E35" i="3"/>
  <c r="R35" i="3" s="1"/>
  <c r="E56" i="3"/>
  <c r="E140" i="3"/>
  <c r="E114" i="3"/>
  <c r="E122" i="3"/>
  <c r="E112" i="3"/>
  <c r="E107" i="3"/>
  <c r="E141" i="3"/>
  <c r="E106" i="3"/>
  <c r="E40" i="3"/>
  <c r="E62" i="3"/>
  <c r="E48" i="3"/>
  <c r="E73" i="3"/>
  <c r="E105" i="3"/>
  <c r="E41" i="3"/>
  <c r="E49" i="3"/>
  <c r="E95" i="3"/>
  <c r="E79" i="3"/>
  <c r="E55" i="3"/>
  <c r="E81" i="3"/>
  <c r="E97" i="3"/>
  <c r="E133" i="3"/>
  <c r="E87" i="3"/>
  <c r="E132" i="3"/>
  <c r="E103" i="3"/>
  <c r="E74" i="3"/>
  <c r="E96" i="3"/>
  <c r="E58" i="3"/>
  <c r="E100" i="3"/>
  <c r="E108" i="3"/>
  <c r="E53" i="3"/>
  <c r="E127" i="3"/>
  <c r="E99" i="3"/>
  <c r="E117" i="3"/>
  <c r="E68" i="3"/>
  <c r="E69" i="3"/>
  <c r="E130" i="3"/>
  <c r="E67" i="3"/>
  <c r="E115" i="3"/>
  <c r="E43" i="3"/>
  <c r="E90" i="3"/>
  <c r="E66" i="3"/>
  <c r="E36" i="3"/>
  <c r="R36" i="3" s="1"/>
  <c r="E139" i="3"/>
  <c r="E124" i="3"/>
  <c r="E125" i="3"/>
  <c r="E59" i="3"/>
  <c r="E83" i="3"/>
  <c r="E61" i="3"/>
  <c r="E50" i="3"/>
  <c r="E113" i="3"/>
  <c r="E110" i="3"/>
  <c r="E64" i="3"/>
  <c r="E89" i="3"/>
  <c r="E138" i="3"/>
  <c r="E75" i="3"/>
  <c r="E119" i="3"/>
  <c r="E142" i="3"/>
  <c r="E126" i="3"/>
  <c r="E111" i="3"/>
  <c r="E60" i="3"/>
  <c r="E85" i="3"/>
  <c r="E71" i="3"/>
  <c r="E44" i="3"/>
  <c r="E101" i="3"/>
  <c r="E84" i="3"/>
  <c r="E51" i="3"/>
  <c r="E57" i="3"/>
  <c r="E77" i="3"/>
  <c r="E116" i="3"/>
  <c r="E47" i="3"/>
  <c r="E76" i="3"/>
  <c r="E46" i="3"/>
  <c r="E65" i="3"/>
  <c r="E82" i="3"/>
  <c r="E123" i="3"/>
  <c r="E91" i="3"/>
  <c r="E128" i="3"/>
  <c r="E121" i="3"/>
  <c r="E134" i="3"/>
  <c r="E45" i="3"/>
  <c r="E54" i="3"/>
  <c r="E80" i="3"/>
  <c r="E129" i="3"/>
  <c r="E109" i="3"/>
  <c r="E52" i="3"/>
  <c r="E92" i="3"/>
  <c r="E102" i="3"/>
  <c r="E120" i="3"/>
  <c r="E94" i="3"/>
  <c r="E38" i="3"/>
  <c r="E131" i="3"/>
  <c r="J75" i="3"/>
  <c r="H75" i="3"/>
  <c r="Y75" i="3"/>
  <c r="H33" i="3" l="1"/>
  <c r="X8" i="3" s="1"/>
  <c r="J33" i="3"/>
  <c r="X10" i="3" s="1"/>
  <c r="X11" i="3" l="1"/>
  <c r="K33" i="3"/>
  <c r="T18" i="3" l="1"/>
  <c r="T17" i="3" l="1"/>
  <c r="W10" i="3"/>
  <c r="M36" i="3" s="1"/>
  <c r="N37" i="3" s="1"/>
  <c r="P37" i="3" s="1"/>
  <c r="X18" i="3"/>
  <c r="AP18" i="3" s="1"/>
  <c r="O37" i="3" l="1"/>
  <c r="M37" i="3"/>
  <c r="M38" i="3" s="1"/>
  <c r="M39" i="3" s="1"/>
  <c r="T138" i="3"/>
  <c r="S138" i="3" s="1"/>
  <c r="T89" i="3"/>
  <c r="S89" i="3" s="1"/>
  <c r="T52" i="3"/>
  <c r="S52" i="3" s="1"/>
  <c r="T80" i="3"/>
  <c r="S80" i="3" s="1"/>
  <c r="T72" i="3"/>
  <c r="S72" i="3" s="1"/>
  <c r="T130" i="3"/>
  <c r="S130" i="3" s="1"/>
  <c r="T74" i="3"/>
  <c r="S74" i="3" s="1"/>
  <c r="T44" i="3"/>
  <c r="S44" i="3" s="1"/>
  <c r="T135" i="3"/>
  <c r="T69" i="3"/>
  <c r="S69" i="3" s="1"/>
  <c r="T65" i="3"/>
  <c r="S65" i="3" s="1"/>
  <c r="T98" i="3"/>
  <c r="S98" i="3" s="1"/>
  <c r="T75" i="3"/>
  <c r="T40" i="3"/>
  <c r="S40" i="3" s="1"/>
  <c r="T73" i="3"/>
  <c r="S73" i="3" s="1"/>
  <c r="T67" i="3"/>
  <c r="T60" i="3"/>
  <c r="S60" i="3" s="1"/>
  <c r="T42" i="3"/>
  <c r="S42" i="3" s="1"/>
  <c r="T49" i="3"/>
  <c r="S49" i="3" s="1"/>
  <c r="T92" i="3"/>
  <c r="S92" i="3" s="1"/>
  <c r="T53" i="3"/>
  <c r="S53" i="3" s="1"/>
  <c r="T90" i="3"/>
  <c r="S90" i="3" s="1"/>
  <c r="T128" i="3"/>
  <c r="S128" i="3" s="1"/>
  <c r="T120" i="3"/>
  <c r="S120" i="3" s="1"/>
  <c r="T79" i="3"/>
  <c r="T85" i="3"/>
  <c r="S85" i="3" s="1"/>
  <c r="T82" i="3"/>
  <c r="S82" i="3" s="1"/>
  <c r="T132" i="3"/>
  <c r="S132" i="3" s="1"/>
  <c r="T139" i="3"/>
  <c r="T35" i="3"/>
  <c r="T105" i="3"/>
  <c r="S105" i="3" s="1"/>
  <c r="T104" i="3"/>
  <c r="S104" i="3" s="1"/>
  <c r="T96" i="3"/>
  <c r="S96" i="3" s="1"/>
  <c r="T64" i="3"/>
  <c r="S64" i="3" s="1"/>
  <c r="T119" i="3"/>
  <c r="T122" i="3"/>
  <c r="S122" i="3" s="1"/>
  <c r="T46" i="3"/>
  <c r="S46" i="3" s="1"/>
  <c r="T113" i="3"/>
  <c r="S113" i="3" s="1"/>
  <c r="T108" i="3"/>
  <c r="S108" i="3" s="1"/>
  <c r="T134" i="3"/>
  <c r="S134" i="3" s="1"/>
  <c r="T54" i="3"/>
  <c r="S54" i="3" s="1"/>
  <c r="T129" i="3"/>
  <c r="S129" i="3" s="1"/>
  <c r="T83" i="3"/>
  <c r="T111" i="3"/>
  <c r="T112" i="3"/>
  <c r="S112" i="3" s="1"/>
  <c r="T37" i="3"/>
  <c r="S37" i="3" s="1"/>
  <c r="T71" i="3"/>
  <c r="T51" i="3"/>
  <c r="T117" i="3"/>
  <c r="S117" i="3" s="1"/>
  <c r="T109" i="3"/>
  <c r="S109" i="3" s="1"/>
  <c r="T136" i="3"/>
  <c r="S136" i="3" s="1"/>
  <c r="T57" i="3"/>
  <c r="S57" i="3" s="1"/>
  <c r="T55" i="3"/>
  <c r="T56" i="3"/>
  <c r="S56" i="3" s="1"/>
  <c r="T125" i="3"/>
  <c r="S125" i="3" s="1"/>
  <c r="T137" i="3"/>
  <c r="S137" i="3" s="1"/>
  <c r="T81" i="3"/>
  <c r="S81" i="3" s="1"/>
  <c r="T115" i="3"/>
  <c r="T107" i="3"/>
  <c r="T99" i="3"/>
  <c r="T127" i="3"/>
  <c r="T61" i="3"/>
  <c r="S61" i="3" s="1"/>
  <c r="T142" i="3"/>
  <c r="S142" i="3" s="1"/>
  <c r="T87" i="3"/>
  <c r="T66" i="3"/>
  <c r="S66" i="3" s="1"/>
  <c r="T76" i="3"/>
  <c r="S76" i="3" s="1"/>
  <c r="T114" i="3"/>
  <c r="S114" i="3" s="1"/>
  <c r="T50" i="3"/>
  <c r="S50" i="3" s="1"/>
  <c r="T39" i="3"/>
  <c r="T88" i="3"/>
  <c r="S88" i="3" s="1"/>
  <c r="T58" i="3"/>
  <c r="S58" i="3" s="1"/>
  <c r="T102" i="3"/>
  <c r="S102" i="3" s="1"/>
  <c r="T131" i="3"/>
  <c r="T121" i="3"/>
  <c r="S121" i="3" s="1"/>
  <c r="T141" i="3"/>
  <c r="S141" i="3" s="1"/>
  <c r="T41" i="3"/>
  <c r="S41" i="3" s="1"/>
  <c r="T62" i="3"/>
  <c r="S62" i="3" s="1"/>
  <c r="T103" i="3"/>
  <c r="T38" i="3"/>
  <c r="S38" i="3" s="1"/>
  <c r="T110" i="3"/>
  <c r="S110" i="3" s="1"/>
  <c r="T84" i="3"/>
  <c r="S84" i="3" s="1"/>
  <c r="T126" i="3"/>
  <c r="S126" i="3" s="1"/>
  <c r="T43" i="3"/>
  <c r="T97" i="3"/>
  <c r="S97" i="3" s="1"/>
  <c r="T68" i="3"/>
  <c r="S68" i="3" s="1"/>
  <c r="T100" i="3"/>
  <c r="S100" i="3" s="1"/>
  <c r="T118" i="3"/>
  <c r="S118" i="3" s="1"/>
  <c r="T95" i="3"/>
  <c r="T123" i="3"/>
  <c r="T86" i="3"/>
  <c r="S86" i="3" s="1"/>
  <c r="T133" i="3"/>
  <c r="S133" i="3" s="1"/>
  <c r="T63" i="3"/>
  <c r="T78" i="3"/>
  <c r="S78" i="3" s="1"/>
  <c r="T70" i="3"/>
  <c r="S70" i="3" s="1"/>
  <c r="T77" i="3"/>
  <c r="S77" i="3" s="1"/>
  <c r="T101" i="3"/>
  <c r="S101" i="3" s="1"/>
  <c r="T140" i="3"/>
  <c r="S140" i="3" s="1"/>
  <c r="T91" i="3"/>
  <c r="T93" i="3"/>
  <c r="S93" i="3" s="1"/>
  <c r="T48" i="3"/>
  <c r="S48" i="3" s="1"/>
  <c r="T36" i="3"/>
  <c r="S36" i="3" s="1"/>
  <c r="T106" i="3"/>
  <c r="S106" i="3" s="1"/>
  <c r="T45" i="3"/>
  <c r="S45" i="3" s="1"/>
  <c r="T124" i="3"/>
  <c r="S124" i="3" s="1"/>
  <c r="T47" i="3"/>
  <c r="T116" i="3"/>
  <c r="S116" i="3" s="1"/>
  <c r="T59" i="3"/>
  <c r="T94" i="3"/>
  <c r="S94" i="3" s="1"/>
  <c r="T21" i="3"/>
  <c r="U25" i="3" s="1"/>
  <c r="X17" i="3"/>
  <c r="Q37" i="3"/>
  <c r="R37" i="3" s="1"/>
  <c r="M40" i="3" l="1"/>
  <c r="M41" i="3" s="1"/>
  <c r="N38" i="3"/>
  <c r="S95" i="3"/>
  <c r="V95" i="3"/>
  <c r="W95" i="3" s="1"/>
  <c r="S51" i="3"/>
  <c r="V51" i="3"/>
  <c r="W51" i="3" s="1"/>
  <c r="S111" i="3"/>
  <c r="V111" i="3"/>
  <c r="W111" i="3" s="1"/>
  <c r="S59" i="3"/>
  <c r="V59" i="3"/>
  <c r="W59" i="3" s="1"/>
  <c r="V43" i="3"/>
  <c r="W43" i="3" s="1"/>
  <c r="S43" i="3"/>
  <c r="S107" i="3"/>
  <c r="V107" i="3"/>
  <c r="W107" i="3" s="1"/>
  <c r="V91" i="3"/>
  <c r="W91" i="3" s="1"/>
  <c r="S91" i="3"/>
  <c r="S103" i="3"/>
  <c r="V103" i="3"/>
  <c r="W103" i="3" s="1"/>
  <c r="S115" i="3"/>
  <c r="V115" i="3"/>
  <c r="W115" i="3" s="1"/>
  <c r="S35" i="3"/>
  <c r="T33" i="3"/>
  <c r="V35" i="3"/>
  <c r="S63" i="3"/>
  <c r="V63" i="3"/>
  <c r="W63" i="3" s="1"/>
  <c r="S87" i="3"/>
  <c r="V87" i="3"/>
  <c r="W87" i="3" s="1"/>
  <c r="S99" i="3"/>
  <c r="V99" i="3"/>
  <c r="W99" i="3" s="1"/>
  <c r="V67" i="3"/>
  <c r="W67" i="3" s="1"/>
  <c r="S67" i="3"/>
  <c r="V71" i="3"/>
  <c r="W71" i="3" s="1"/>
  <c r="S71" i="3"/>
  <c r="V83" i="3"/>
  <c r="W83" i="3" s="1"/>
  <c r="S83" i="3"/>
  <c r="S119" i="3"/>
  <c r="V119" i="3"/>
  <c r="W119" i="3" s="1"/>
  <c r="S47" i="3"/>
  <c r="V47" i="3"/>
  <c r="W47" i="3" s="1"/>
  <c r="S123" i="3"/>
  <c r="V123" i="3"/>
  <c r="W123" i="3" s="1"/>
  <c r="S131" i="3"/>
  <c r="V131" i="3"/>
  <c r="W131" i="3" s="1"/>
  <c r="V39" i="3"/>
  <c r="W39" i="3" s="1"/>
  <c r="S39" i="3"/>
  <c r="V127" i="3"/>
  <c r="W127" i="3" s="1"/>
  <c r="S127" i="3"/>
  <c r="V55" i="3"/>
  <c r="W55" i="3" s="1"/>
  <c r="S55" i="3"/>
  <c r="S139" i="3"/>
  <c r="V139" i="3"/>
  <c r="W139" i="3" s="1"/>
  <c r="S79" i="3"/>
  <c r="V79" i="3"/>
  <c r="W79" i="3" s="1"/>
  <c r="V75" i="3"/>
  <c r="W75" i="3" s="1"/>
  <c r="S75" i="3"/>
  <c r="V135" i="3"/>
  <c r="W135" i="3" s="1"/>
  <c r="S135" i="3"/>
  <c r="M42" i="3" l="1"/>
  <c r="N39" i="3"/>
  <c r="O38" i="3"/>
  <c r="P38" i="3"/>
  <c r="Q38" i="3" s="1"/>
  <c r="R38" i="3" s="1"/>
  <c r="W35" i="3"/>
  <c r="W33" i="3" s="1"/>
  <c r="U19" i="3" s="1"/>
  <c r="V33" i="3"/>
  <c r="S33" i="3"/>
  <c r="M43" i="3" l="1"/>
  <c r="O39" i="3"/>
  <c r="P39" i="3"/>
  <c r="N40" i="3"/>
  <c r="M44" i="3" l="1"/>
  <c r="O40" i="3"/>
  <c r="N41" i="3"/>
  <c r="P40" i="3"/>
  <c r="Q39" i="3"/>
  <c r="R39" i="3" s="1"/>
  <c r="M45" i="3" l="1"/>
  <c r="M46" i="3" s="1"/>
  <c r="Q40" i="3"/>
  <c r="R40" i="3" s="1"/>
  <c r="P41" i="3"/>
  <c r="O41" i="3"/>
  <c r="N42" i="3"/>
  <c r="M47" i="3" l="1"/>
  <c r="N43" i="3"/>
  <c r="O42" i="3"/>
  <c r="P42" i="3"/>
  <c r="Q41" i="3"/>
  <c r="R41" i="3" s="1"/>
  <c r="Q42" i="3" l="1"/>
  <c r="R42" i="3" s="1"/>
  <c r="M48" i="3"/>
  <c r="O43" i="3"/>
  <c r="N44" i="3"/>
  <c r="P43" i="3"/>
  <c r="M49" i="3" l="1"/>
  <c r="M50" i="3" s="1"/>
  <c r="M51" i="3" s="1"/>
  <c r="Q43" i="3"/>
  <c r="R43" i="3" s="1"/>
  <c r="P44" i="3"/>
  <c r="O44" i="3"/>
  <c r="N45" i="3"/>
  <c r="M52" i="3" l="1"/>
  <c r="M53" i="3" s="1"/>
  <c r="M54" i="3" s="1"/>
  <c r="P45" i="3"/>
  <c r="O45" i="3"/>
  <c r="N46" i="3"/>
  <c r="Q44" i="3"/>
  <c r="R44" i="3" s="1"/>
  <c r="M55" i="3" l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33" i="3" s="1"/>
  <c r="N47" i="3"/>
  <c r="O46" i="3"/>
  <c r="P46" i="3"/>
  <c r="Q45" i="3"/>
  <c r="R45" i="3" s="1"/>
  <c r="P47" i="3" l="1"/>
  <c r="N48" i="3"/>
  <c r="O47" i="3"/>
  <c r="Q46" i="3"/>
  <c r="R46" i="3" s="1"/>
  <c r="Q47" i="3" l="1"/>
  <c r="R47" i="3" s="1"/>
  <c r="P48" i="3"/>
  <c r="O48" i="3"/>
  <c r="N49" i="3"/>
  <c r="Q48" i="3" l="1"/>
  <c r="R48" i="3" s="1"/>
  <c r="O49" i="3"/>
  <c r="N50" i="3"/>
  <c r="P49" i="3"/>
  <c r="Q49" i="3" l="1"/>
  <c r="R49" i="3" s="1"/>
  <c r="O50" i="3"/>
  <c r="N51" i="3"/>
  <c r="P50" i="3"/>
  <c r="O51" i="3" l="1"/>
  <c r="N52" i="3"/>
  <c r="P51" i="3"/>
  <c r="Q50" i="3"/>
  <c r="R50" i="3" s="1"/>
  <c r="Q51" i="3" l="1"/>
  <c r="R51" i="3" s="1"/>
  <c r="O52" i="3"/>
  <c r="N53" i="3"/>
  <c r="P52" i="3"/>
  <c r="P53" i="3" l="1"/>
  <c r="N54" i="3"/>
  <c r="O53" i="3"/>
  <c r="Q52" i="3"/>
  <c r="R52" i="3" s="1"/>
  <c r="Q53" i="3" l="1"/>
  <c r="R53" i="3" s="1"/>
  <c r="O54" i="3"/>
  <c r="P54" i="3"/>
  <c r="N55" i="3"/>
  <c r="Q54" i="3" l="1"/>
  <c r="R54" i="3" s="1"/>
  <c r="P55" i="3"/>
  <c r="O55" i="3"/>
  <c r="N56" i="3"/>
  <c r="N57" i="3" l="1"/>
  <c r="P56" i="3"/>
  <c r="O56" i="3"/>
  <c r="Q55" i="3"/>
  <c r="R55" i="3" s="1"/>
  <c r="Q56" i="3" l="1"/>
  <c r="R56" i="3" s="1"/>
  <c r="N58" i="3"/>
  <c r="P57" i="3"/>
  <c r="O57" i="3"/>
  <c r="Q57" i="3" l="1"/>
  <c r="R57" i="3" s="1"/>
  <c r="P58" i="3"/>
  <c r="N59" i="3"/>
  <c r="O58" i="3"/>
  <c r="O59" i="3" l="1"/>
  <c r="P59" i="3"/>
  <c r="N60" i="3"/>
  <c r="Q58" i="3"/>
  <c r="R58" i="3" s="1"/>
  <c r="O60" i="3" l="1"/>
  <c r="N61" i="3"/>
  <c r="P60" i="3"/>
  <c r="Q59" i="3"/>
  <c r="R59" i="3" s="1"/>
  <c r="Q60" i="3" l="1"/>
  <c r="R60" i="3" s="1"/>
  <c r="N62" i="3"/>
  <c r="P61" i="3"/>
  <c r="O61" i="3"/>
  <c r="Q61" i="3" l="1"/>
  <c r="R61" i="3" s="1"/>
  <c r="O62" i="3"/>
  <c r="N63" i="3"/>
  <c r="P62" i="3"/>
  <c r="Q62" i="3" s="1"/>
  <c r="R62" i="3" s="1"/>
  <c r="N64" i="3" l="1"/>
  <c r="P63" i="3"/>
  <c r="O63" i="3"/>
  <c r="Q63" i="3" l="1"/>
  <c r="R63" i="3" s="1"/>
  <c r="N65" i="3"/>
  <c r="P64" i="3"/>
  <c r="O64" i="3"/>
  <c r="Q64" i="3" l="1"/>
  <c r="R64" i="3" s="1"/>
  <c r="O65" i="3"/>
  <c r="P65" i="3"/>
  <c r="Q65" i="3" s="1"/>
  <c r="R65" i="3" s="1"/>
  <c r="N66" i="3"/>
  <c r="P66" i="3" l="1"/>
  <c r="O66" i="3"/>
  <c r="N67" i="3"/>
  <c r="N68" i="3" l="1"/>
  <c r="O67" i="3"/>
  <c r="P67" i="3"/>
  <c r="Q66" i="3"/>
  <c r="R66" i="3" s="1"/>
  <c r="Q67" i="3" l="1"/>
  <c r="R67" i="3" s="1"/>
  <c r="N69" i="3"/>
  <c r="O68" i="3"/>
  <c r="P68" i="3"/>
  <c r="Q68" i="3" l="1"/>
  <c r="R68" i="3" s="1"/>
  <c r="P69" i="3"/>
  <c r="O69" i="3"/>
  <c r="N70" i="3"/>
  <c r="P70" i="3" l="1"/>
  <c r="O70" i="3"/>
  <c r="N71" i="3"/>
  <c r="Q69" i="3"/>
  <c r="R69" i="3" s="1"/>
  <c r="P71" i="3" l="1"/>
  <c r="O71" i="3"/>
  <c r="N72" i="3"/>
  <c r="Q70" i="3"/>
  <c r="R70" i="3" s="1"/>
  <c r="O72" i="3" l="1"/>
  <c r="N73" i="3"/>
  <c r="P72" i="3"/>
  <c r="Q71" i="3"/>
  <c r="R71" i="3" s="1"/>
  <c r="Q72" i="3" l="1"/>
  <c r="R72" i="3" s="1"/>
  <c r="P73" i="3"/>
  <c r="N74" i="3"/>
  <c r="O73" i="3"/>
  <c r="N75" i="3" l="1"/>
  <c r="P74" i="3"/>
  <c r="O74" i="3"/>
  <c r="Q73" i="3"/>
  <c r="R73" i="3" s="1"/>
  <c r="Q74" i="3" l="1"/>
  <c r="R74" i="3" s="1"/>
  <c r="N76" i="3"/>
  <c r="O75" i="3"/>
  <c r="P75" i="3"/>
  <c r="Q75" i="3" l="1"/>
  <c r="R75" i="3" s="1"/>
  <c r="O76" i="3"/>
  <c r="P76" i="3"/>
  <c r="N77" i="3"/>
  <c r="Q76" i="3" l="1"/>
  <c r="R76" i="3" s="1"/>
  <c r="P77" i="3"/>
  <c r="N78" i="3"/>
  <c r="O77" i="3"/>
  <c r="N79" i="3" l="1"/>
  <c r="O78" i="3"/>
  <c r="P78" i="3"/>
  <c r="Q77" i="3"/>
  <c r="R77" i="3" s="1"/>
  <c r="Q78" i="3" l="1"/>
  <c r="R78" i="3" s="1"/>
  <c r="P79" i="3"/>
  <c r="N80" i="3"/>
  <c r="O79" i="3"/>
  <c r="P80" i="3" l="1"/>
  <c r="N81" i="3"/>
  <c r="O80" i="3"/>
  <c r="Q79" i="3"/>
  <c r="R79" i="3" s="1"/>
  <c r="O81" i="3" l="1"/>
  <c r="N82" i="3"/>
  <c r="P81" i="3"/>
  <c r="Q80" i="3"/>
  <c r="R80" i="3" s="1"/>
  <c r="Q81" i="3" l="1"/>
  <c r="R81" i="3" s="1"/>
  <c r="O82" i="3"/>
  <c r="N83" i="3"/>
  <c r="P82" i="3"/>
  <c r="Q82" i="3" s="1"/>
  <c r="R82" i="3" s="1"/>
  <c r="O83" i="3" l="1"/>
  <c r="P83" i="3"/>
  <c r="N84" i="3"/>
  <c r="Q83" i="3" l="1"/>
  <c r="R83" i="3" s="1"/>
  <c r="O84" i="3"/>
  <c r="N85" i="3"/>
  <c r="P84" i="3"/>
  <c r="Q84" i="3" l="1"/>
  <c r="R84" i="3" s="1"/>
  <c r="P85" i="3"/>
  <c r="O85" i="3"/>
  <c r="N86" i="3"/>
  <c r="O86" i="3" l="1"/>
  <c r="P86" i="3"/>
  <c r="N87" i="3"/>
  <c r="Q85" i="3"/>
  <c r="R85" i="3" s="1"/>
  <c r="Q86" i="3" l="1"/>
  <c r="R86" i="3" s="1"/>
  <c r="P87" i="3"/>
  <c r="O87" i="3"/>
  <c r="N88" i="3"/>
  <c r="N89" i="3" l="1"/>
  <c r="O88" i="3"/>
  <c r="P88" i="3"/>
  <c r="Q87" i="3"/>
  <c r="R87" i="3" s="1"/>
  <c r="Q88" i="3" l="1"/>
  <c r="R88" i="3" s="1"/>
  <c r="O89" i="3"/>
  <c r="N90" i="3"/>
  <c r="P89" i="3"/>
  <c r="Q89" i="3" l="1"/>
  <c r="R89" i="3" s="1"/>
  <c r="O90" i="3"/>
  <c r="P90" i="3"/>
  <c r="Q90" i="3" s="1"/>
  <c r="R90" i="3" s="1"/>
  <c r="N91" i="3"/>
  <c r="P91" i="3" l="1"/>
  <c r="O91" i="3"/>
  <c r="N92" i="3"/>
  <c r="P92" i="3" l="1"/>
  <c r="O92" i="3"/>
  <c r="N93" i="3"/>
  <c r="Q91" i="3"/>
  <c r="R91" i="3" s="1"/>
  <c r="O93" i="3" l="1"/>
  <c r="N94" i="3"/>
  <c r="P93" i="3"/>
  <c r="Q92" i="3"/>
  <c r="R92" i="3" s="1"/>
  <c r="Q93" i="3" l="1"/>
  <c r="R93" i="3" s="1"/>
  <c r="P94" i="3"/>
  <c r="N95" i="3"/>
  <c r="O94" i="3"/>
  <c r="P95" i="3" l="1"/>
  <c r="O95" i="3"/>
  <c r="N96" i="3"/>
  <c r="Q94" i="3"/>
  <c r="R94" i="3" s="1"/>
  <c r="P96" i="3" l="1"/>
  <c r="N97" i="3"/>
  <c r="O96" i="3"/>
  <c r="Q95" i="3"/>
  <c r="R95" i="3" s="1"/>
  <c r="N98" i="3" l="1"/>
  <c r="O97" i="3"/>
  <c r="P97" i="3"/>
  <c r="Q97" i="3" s="1"/>
  <c r="R97" i="3" s="1"/>
  <c r="Q96" i="3"/>
  <c r="R96" i="3" s="1"/>
  <c r="N99" i="3" l="1"/>
  <c r="P98" i="3"/>
  <c r="O98" i="3"/>
  <c r="Q98" i="3" l="1"/>
  <c r="R98" i="3" s="1"/>
  <c r="N100" i="3"/>
  <c r="O99" i="3"/>
  <c r="P99" i="3"/>
  <c r="Q99" i="3" l="1"/>
  <c r="R99" i="3" s="1"/>
  <c r="P100" i="3"/>
  <c r="O100" i="3"/>
  <c r="N101" i="3"/>
  <c r="P101" i="3" l="1"/>
  <c r="O101" i="3"/>
  <c r="N102" i="3"/>
  <c r="Q100" i="3"/>
  <c r="R100" i="3" s="1"/>
  <c r="Q101" i="3" l="1"/>
  <c r="R101" i="3" s="1"/>
  <c r="N103" i="3"/>
  <c r="P102" i="3"/>
  <c r="O102" i="3"/>
  <c r="Q102" i="3" l="1"/>
  <c r="R102" i="3" s="1"/>
  <c r="N104" i="3"/>
  <c r="O103" i="3"/>
  <c r="P103" i="3"/>
  <c r="Q103" i="3" l="1"/>
  <c r="R103" i="3" s="1"/>
  <c r="O104" i="3"/>
  <c r="N105" i="3"/>
  <c r="P104" i="3"/>
  <c r="Q104" i="3" l="1"/>
  <c r="R104" i="3" s="1"/>
  <c r="O105" i="3"/>
  <c r="N106" i="3"/>
  <c r="P105" i="3"/>
  <c r="Q105" i="3" s="1"/>
  <c r="R105" i="3" s="1"/>
  <c r="N107" i="3" l="1"/>
  <c r="P106" i="3"/>
  <c r="O106" i="3"/>
  <c r="Q106" i="3" l="1"/>
  <c r="R106" i="3" s="1"/>
  <c r="N108" i="3"/>
  <c r="P107" i="3"/>
  <c r="O107" i="3"/>
  <c r="Q107" i="3" l="1"/>
  <c r="R107" i="3" s="1"/>
  <c r="P108" i="3"/>
  <c r="N109" i="3"/>
  <c r="O108" i="3"/>
  <c r="N110" i="3" l="1"/>
  <c r="O109" i="3"/>
  <c r="P109" i="3"/>
  <c r="Q109" i="3" s="1"/>
  <c r="R109" i="3" s="1"/>
  <c r="Q108" i="3"/>
  <c r="R108" i="3" s="1"/>
  <c r="O110" i="3" l="1"/>
  <c r="P110" i="3"/>
  <c r="N111" i="3"/>
  <c r="Q110" i="3" l="1"/>
  <c r="R110" i="3" s="1"/>
  <c r="O111" i="3"/>
  <c r="P111" i="3"/>
  <c r="Q111" i="3" s="1"/>
  <c r="R111" i="3" s="1"/>
  <c r="N112" i="3"/>
  <c r="N113" i="3" l="1"/>
  <c r="O112" i="3"/>
  <c r="P112" i="3"/>
  <c r="Q112" i="3" l="1"/>
  <c r="R112" i="3" s="1"/>
  <c r="O113" i="3"/>
  <c r="P113" i="3"/>
  <c r="N114" i="3"/>
  <c r="Q113" i="3" l="1"/>
  <c r="R113" i="3" s="1"/>
  <c r="O114" i="3"/>
  <c r="N115" i="3"/>
  <c r="P114" i="3"/>
  <c r="Q114" i="3" l="1"/>
  <c r="R114" i="3" s="1"/>
  <c r="O115" i="3"/>
  <c r="P115" i="3"/>
  <c r="N116" i="3"/>
  <c r="Q115" i="3" l="1"/>
  <c r="R115" i="3" s="1"/>
  <c r="O116" i="3"/>
  <c r="P116" i="3"/>
  <c r="N117" i="3"/>
  <c r="Q116" i="3" l="1"/>
  <c r="R116" i="3" s="1"/>
  <c r="O117" i="3"/>
  <c r="N118" i="3"/>
  <c r="P117" i="3"/>
  <c r="Q117" i="3" l="1"/>
  <c r="R117" i="3" s="1"/>
  <c r="O118" i="3"/>
  <c r="N119" i="3"/>
  <c r="P118" i="3"/>
  <c r="Q118" i="3" l="1"/>
  <c r="R118" i="3" s="1"/>
  <c r="O119" i="3"/>
  <c r="P119" i="3"/>
  <c r="Q119" i="3" s="1"/>
  <c r="R119" i="3" s="1"/>
  <c r="N120" i="3"/>
  <c r="O120" i="3" l="1"/>
  <c r="P120" i="3"/>
  <c r="N121" i="3"/>
  <c r="Q120" i="3" l="1"/>
  <c r="R120" i="3" s="1"/>
  <c r="P121" i="3"/>
  <c r="O121" i="3"/>
  <c r="N122" i="3"/>
  <c r="O122" i="3" l="1"/>
  <c r="P122" i="3"/>
  <c r="N123" i="3"/>
  <c r="Q121" i="3"/>
  <c r="R121" i="3" s="1"/>
  <c r="Q122" i="3" l="1"/>
  <c r="R122" i="3" s="1"/>
  <c r="P123" i="3"/>
  <c r="N124" i="3"/>
  <c r="O123" i="3"/>
  <c r="O124" i="3" l="1"/>
  <c r="P124" i="3"/>
  <c r="N125" i="3"/>
  <c r="Q123" i="3"/>
  <c r="R123" i="3" s="1"/>
  <c r="Q124" i="3" l="1"/>
  <c r="R124" i="3" s="1"/>
  <c r="P125" i="3"/>
  <c r="N126" i="3"/>
  <c r="O125" i="3"/>
  <c r="N127" i="3" l="1"/>
  <c r="P126" i="3"/>
  <c r="O126" i="3"/>
  <c r="Q125" i="3"/>
  <c r="R125" i="3" s="1"/>
  <c r="Q126" i="3" l="1"/>
  <c r="R126" i="3" s="1"/>
  <c r="P127" i="3"/>
  <c r="N128" i="3"/>
  <c r="O127" i="3"/>
  <c r="N129" i="3" l="1"/>
  <c r="O128" i="3"/>
  <c r="P128" i="3"/>
  <c r="Q127" i="3"/>
  <c r="R127" i="3" s="1"/>
  <c r="Q128" i="3" l="1"/>
  <c r="R128" i="3" s="1"/>
  <c r="P129" i="3"/>
  <c r="O129" i="3"/>
  <c r="N130" i="3"/>
  <c r="N131" i="3" l="1"/>
  <c r="O130" i="3"/>
  <c r="P130" i="3"/>
  <c r="Q129" i="3"/>
  <c r="R129" i="3" s="1"/>
  <c r="Q130" i="3" l="1"/>
  <c r="R130" i="3" s="1"/>
  <c r="N132" i="3"/>
  <c r="O131" i="3"/>
  <c r="P131" i="3"/>
  <c r="Q131" i="3" s="1"/>
  <c r="R131" i="3" s="1"/>
  <c r="P132" i="3" l="1"/>
  <c r="N133" i="3"/>
  <c r="O132" i="3"/>
  <c r="O133" i="3" l="1"/>
  <c r="N134" i="3"/>
  <c r="P133" i="3"/>
  <c r="Q132" i="3"/>
  <c r="R132" i="3" s="1"/>
  <c r="Q133" i="3" l="1"/>
  <c r="R133" i="3" s="1"/>
  <c r="P134" i="3"/>
  <c r="O134" i="3"/>
  <c r="N135" i="3"/>
  <c r="P135" i="3" l="1"/>
  <c r="O135" i="3"/>
  <c r="N136" i="3"/>
  <c r="Q134" i="3"/>
  <c r="R134" i="3" s="1"/>
  <c r="P136" i="3" l="1"/>
  <c r="O136" i="3"/>
  <c r="N137" i="3"/>
  <c r="Q135" i="3"/>
  <c r="R135" i="3" s="1"/>
  <c r="P137" i="3" l="1"/>
  <c r="N138" i="3"/>
  <c r="O137" i="3"/>
  <c r="Q136" i="3"/>
  <c r="R136" i="3" s="1"/>
  <c r="N139" i="3" l="1"/>
  <c r="O138" i="3"/>
  <c r="P138" i="3"/>
  <c r="Q137" i="3"/>
  <c r="R137" i="3" s="1"/>
  <c r="Q138" i="3" l="1"/>
  <c r="R138" i="3" s="1"/>
  <c r="O139" i="3"/>
  <c r="P139" i="3"/>
  <c r="N140" i="3"/>
  <c r="Q139" i="3" l="1"/>
  <c r="R139" i="3" s="1"/>
  <c r="N141" i="3"/>
  <c r="O140" i="3"/>
  <c r="P140" i="3"/>
  <c r="N142" i="3" l="1"/>
  <c r="O141" i="3"/>
  <c r="P141" i="3"/>
  <c r="Q140" i="3"/>
  <c r="R140" i="3" s="1"/>
  <c r="P142" i="3" l="1"/>
  <c r="O142" i="3"/>
  <c r="O33" i="3" s="1"/>
  <c r="Q141" i="3"/>
  <c r="R141" i="3" s="1"/>
  <c r="P33" i="3" l="1"/>
  <c r="Q142" i="3"/>
  <c r="R142" i="3" l="1"/>
  <c r="R33" i="3" s="1"/>
  <c r="U18" i="3" s="1"/>
  <c r="U17" i="3" s="1"/>
  <c r="Q33" i="3"/>
  <c r="U21" i="3" l="1"/>
  <c r="AD9" i="3"/>
  <c r="X25" i="3" l="1"/>
  <c r="U22" i="3"/>
  <c r="AP22" i="3" s="1"/>
</calcChain>
</file>

<file path=xl/comments1.xml><?xml version="1.0" encoding="utf-8"?>
<comments xmlns="http://schemas.openxmlformats.org/spreadsheetml/2006/main">
  <authors>
    <author>Ruciński Piotr</author>
    <author>Author</author>
  </authors>
  <commentList>
    <comment ref="J58" authorId="0" shapeId="0">
      <text>
        <r>
          <rPr>
            <sz val="9"/>
            <color indexed="81"/>
            <rFont val="Tahoma"/>
            <family val="2"/>
            <charset val="238"/>
          </rPr>
          <t>wartość obliczana na podst. wyboru w D11</t>
        </r>
      </text>
    </comment>
    <comment ref="S73" authorId="0" shapeId="0">
      <text>
        <r>
          <rPr>
            <b/>
            <sz val="9"/>
            <color indexed="81"/>
            <rFont val="Tahoma"/>
            <family val="2"/>
            <charset val="238"/>
          </rPr>
          <t>stała wartość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88" authorId="1" shapeId="0">
      <text>
        <r>
          <rPr>
            <sz val="9"/>
            <color indexed="81"/>
            <rFont val="Tahoma"/>
            <family val="2"/>
          </rPr>
          <t xml:space="preserve">Dla przedziału &lt;50;400) - jednostkowe nakłady na instalację referencyjną stałe jak dla wartości 50 GWh/r
</t>
        </r>
      </text>
    </comment>
  </commentList>
</comments>
</file>

<file path=xl/sharedStrings.xml><?xml version="1.0" encoding="utf-8"?>
<sst xmlns="http://schemas.openxmlformats.org/spreadsheetml/2006/main" count="400" uniqueCount="263">
  <si>
    <t>L.p.</t>
  </si>
  <si>
    <t>Wyszczególnienie</t>
  </si>
  <si>
    <t>Kwota</t>
  </si>
  <si>
    <t>1.1</t>
  </si>
  <si>
    <t>1.2</t>
  </si>
  <si>
    <t>Zarządzanie procesem inwestycyjnym, w tym nadzór nad robotami budowlanymi</t>
  </si>
  <si>
    <t>1.3</t>
  </si>
  <si>
    <t>Nabycie praw związanych z nieruchomościami</t>
  </si>
  <si>
    <t>1.4</t>
  </si>
  <si>
    <t>1.5</t>
  </si>
  <si>
    <t>Sprzęt i wyposażenie</t>
  </si>
  <si>
    <t>1.6</t>
  </si>
  <si>
    <t>Wartości niematerialne i prawne</t>
  </si>
  <si>
    <t>1.7</t>
  </si>
  <si>
    <t>Inne opłaty i obciążenia bezpośrednio związane z realizacją projektu inwestycyjnego</t>
  </si>
  <si>
    <t>2.1</t>
  </si>
  <si>
    <t>2.2</t>
  </si>
  <si>
    <t>2.3</t>
  </si>
  <si>
    <t>Informacja i promocja</t>
  </si>
  <si>
    <t>2.4</t>
  </si>
  <si>
    <t>………………..</t>
  </si>
  <si>
    <t>2.5</t>
  </si>
  <si>
    <t>Suma kosztów inwestycji</t>
  </si>
  <si>
    <t>Lokalizacja inwestycji</t>
  </si>
  <si>
    <t>Rodzaj instalacji (technologia)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</si>
  <si>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</si>
  <si>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</si>
  <si>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</si>
  <si>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</si>
  <si>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</si>
  <si>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</si>
  <si>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</si>
  <si>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</si>
  <si>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</si>
  <si>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</si>
  <si>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</si>
  <si>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</si>
  <si>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</si>
  <si>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</si>
  <si>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</si>
  <si>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mikro</t>
  </si>
  <si>
    <t>Wielkość przedsiębiorcy</t>
  </si>
  <si>
    <t xml:space="preserve">mały </t>
  </si>
  <si>
    <t xml:space="preserve">średni </t>
  </si>
  <si>
    <t>duży</t>
  </si>
  <si>
    <t>WOJ</t>
  </si>
  <si>
    <t>MSP</t>
  </si>
  <si>
    <t>Max intensywność pomocy</t>
  </si>
  <si>
    <t>TECH</t>
  </si>
  <si>
    <t>Koszt inwestycji referencyjnej [zł]</t>
  </si>
  <si>
    <t>moc [MWt]</t>
  </si>
  <si>
    <t>do 1</t>
  </si>
  <si>
    <t>(1;5&gt;</t>
  </si>
  <si>
    <t>(5;15&gt;</t>
  </si>
  <si>
    <t>(15;25&gt;</t>
  </si>
  <si>
    <t>(25;40&gt;</t>
  </si>
  <si>
    <t>mln PLN/MWt</t>
  </si>
  <si>
    <t>PLN/GJ</t>
  </si>
  <si>
    <t>instalacja referencyjna</t>
  </si>
  <si>
    <t>kotły wodne gazowe</t>
  </si>
  <si>
    <t>funkcja</t>
  </si>
  <si>
    <t>x=</t>
  </si>
  <si>
    <t xml:space="preserve">taka sama funkcja </t>
  </si>
  <si>
    <t>od 40</t>
  </si>
  <si>
    <t>Koszt jedn. [na MW]</t>
  </si>
  <si>
    <t>Koszt jedn. [na GJ/r]</t>
  </si>
  <si>
    <t>mln zł</t>
  </si>
  <si>
    <t>zł</t>
  </si>
  <si>
    <t>przedziałami</t>
  </si>
  <si>
    <t>moc</t>
  </si>
  <si>
    <t>prod</t>
  </si>
  <si>
    <t>kogeneracja z OZE</t>
  </si>
  <si>
    <t>Średnia roczna produkcja netto energii elektrycznej  [MWh/r]</t>
  </si>
  <si>
    <t>silniki gazowe</t>
  </si>
  <si>
    <t>blok gazowo-parowy</t>
  </si>
  <si>
    <t>moc [MWe]</t>
  </si>
  <si>
    <t>&lt;1;10)</t>
  </si>
  <si>
    <t>&lt;10;20)</t>
  </si>
  <si>
    <t>&lt;20;35)</t>
  </si>
  <si>
    <t>&lt;35;50)</t>
  </si>
  <si>
    <t>&lt;50;100)</t>
  </si>
  <si>
    <t>&lt;100;200)</t>
  </si>
  <si>
    <t>od 200</t>
  </si>
  <si>
    <t>mln PLN/MWe</t>
  </si>
  <si>
    <t>PLN/MWh</t>
  </si>
  <si>
    <t>produkcja [GWh/r]</t>
  </si>
  <si>
    <t>instalacja referencyjna (moc)</t>
  </si>
  <si>
    <t>instalacja referencyjna (prod.)</t>
  </si>
  <si>
    <t>do 0,4</t>
  </si>
  <si>
    <t xml:space="preserve">x =    </t>
  </si>
  <si>
    <t xml:space="preserve">y =    </t>
  </si>
  <si>
    <t xml:space="preserve">x =  </t>
  </si>
  <si>
    <t xml:space="preserve">y =  </t>
  </si>
  <si>
    <t>produkcja [MWh/r]</t>
  </si>
  <si>
    <t>&lt;3000;
10000)</t>
  </si>
  <si>
    <t>&lt;10000;
50000)</t>
  </si>
  <si>
    <t>&lt;400;
3000)</t>
  </si>
  <si>
    <t>&lt;50000;
400000)</t>
  </si>
  <si>
    <t>&lt;400000;
1000000)</t>
  </si>
  <si>
    <t>od 1000000</t>
  </si>
  <si>
    <t>zł/MW</t>
  </si>
  <si>
    <t>zł/MWh</t>
  </si>
  <si>
    <r>
      <t xml:space="preserve">Moc cieplna [MW]  </t>
    </r>
    <r>
      <rPr>
        <i/>
        <sz val="11"/>
        <color indexed="8"/>
        <rFont val="Calibri"/>
        <family val="2"/>
        <charset val="238"/>
      </rPr>
      <t>(tylko dla kogeneracji)</t>
    </r>
  </si>
  <si>
    <t>Czy dofinansowanie jest pomocą publiczną</t>
  </si>
  <si>
    <t>TAK</t>
  </si>
  <si>
    <t>Koszty kwalifikowalne POIS</t>
  </si>
  <si>
    <t>Kwota dysk.</t>
  </si>
  <si>
    <t>Koszty</t>
  </si>
  <si>
    <t>Dotacja UE</t>
  </si>
  <si>
    <t>Łączna pomoc UE</t>
  </si>
  <si>
    <t>NIE</t>
  </si>
  <si>
    <t xml:space="preserve">Korzyści </t>
  </si>
  <si>
    <t>Koszty - korzyści</t>
  </si>
  <si>
    <t>Data</t>
  </si>
  <si>
    <t>EDB</t>
  </si>
  <si>
    <t>Stopa bazowa</t>
  </si>
  <si>
    <t>Koszty kwalifikowalne</t>
  </si>
  <si>
    <t>Wysoki</t>
  </si>
  <si>
    <t>Stopa dyskonta</t>
  </si>
  <si>
    <t>Dofinansowanie UE</t>
  </si>
  <si>
    <t>Dobry</t>
  </si>
  <si>
    <t>Rating</t>
  </si>
  <si>
    <t>Zadowalający</t>
  </si>
  <si>
    <t xml:space="preserve">   Pomoc zwrotna</t>
  </si>
  <si>
    <t>Marża</t>
  </si>
  <si>
    <t>Niski</t>
  </si>
  <si>
    <t>Stopa referencyjna</t>
  </si>
  <si>
    <t>Inna pomoc</t>
  </si>
  <si>
    <t>intensywność</t>
  </si>
  <si>
    <t>Zły/Trudności fin.</t>
  </si>
  <si>
    <t xml:space="preserve">Stopa oprocentowania pomocy zwrotnej </t>
  </si>
  <si>
    <t>Łączna pomoc</t>
  </si>
  <si>
    <t>z tego:</t>
  </si>
  <si>
    <t>pomoc na EE</t>
  </si>
  <si>
    <t>Premia inwestycyjna</t>
  </si>
  <si>
    <t>pomoc na OZE</t>
  </si>
  <si>
    <t>Pożyczka</t>
  </si>
  <si>
    <t>Rok</t>
  </si>
  <si>
    <t>Kwart.</t>
  </si>
  <si>
    <t>nr_kwart</t>
  </si>
  <si>
    <t>wsk.dysk_kw.</t>
  </si>
  <si>
    <t>wsk.dysk_r.</t>
  </si>
  <si>
    <t>koszty_dysk</t>
  </si>
  <si>
    <t>Korzyści</t>
  </si>
  <si>
    <t>korzyści_dysk</t>
  </si>
  <si>
    <t>Wypłaty</t>
  </si>
  <si>
    <t>Spłaty</t>
  </si>
  <si>
    <t>Spłaty - umorz.</t>
  </si>
  <si>
    <t>Zadłużenie</t>
  </si>
  <si>
    <t>Odsetki poż.</t>
  </si>
  <si>
    <t>Odsetki ref.</t>
  </si>
  <si>
    <t>Odsetki_różn.</t>
  </si>
  <si>
    <t>Odsetki_różn_dysk</t>
  </si>
  <si>
    <t>Spłaty pomniejszone o premię inwestycyjną</t>
  </si>
  <si>
    <t>umorz_r</t>
  </si>
  <si>
    <t>umorz_r_dysk</t>
  </si>
  <si>
    <t>I</t>
  </si>
  <si>
    <t>II</t>
  </si>
  <si>
    <t>III</t>
  </si>
  <si>
    <t>IV</t>
  </si>
  <si>
    <t>Rok (aktualny)</t>
  </si>
  <si>
    <t>Stopa dyskontowa</t>
  </si>
  <si>
    <t>Intensywność łącznej pomocy</t>
  </si>
  <si>
    <t xml:space="preserve">Max intensywność pomocy </t>
  </si>
  <si>
    <t>Koszt inwestycji referencyjnej</t>
  </si>
  <si>
    <t>x</t>
  </si>
  <si>
    <t>W tabeli poniżej należy wpisać koszty w złotych, bez VAT (chyba że wnioskodawca nie ma możliwości odzyskania lub odliczenia VAT)</t>
  </si>
  <si>
    <t>Kwota jako % kosztów kwal.</t>
  </si>
  <si>
    <t xml:space="preserve">      Premia inwestycyjna</t>
  </si>
  <si>
    <t>Rodzaj inwestycji</t>
  </si>
  <si>
    <t>budowa instalacji</t>
  </si>
  <si>
    <t>przebudowa istniejącej instalacji</t>
  </si>
  <si>
    <t>RODZAJ INWESTYCJI</t>
  </si>
  <si>
    <t>Roboty budowlane wraz z materiałami, opłatami przyłączeniowymi, uruchomieniem i rozruchem</t>
  </si>
  <si>
    <t>Przygotowanie projektu - analizy, studium wykonalności, projekt inwestycyjny itp.</t>
  </si>
  <si>
    <t>Koszty kwalifikowalne do pomocy horyzontalnej*</t>
  </si>
  <si>
    <t>Koszty poniesione przed dniem  złożenia Wniosku</t>
  </si>
  <si>
    <t xml:space="preserve">Koszty planowane do poniesienia po dniu złożenia Wniosku   </t>
  </si>
  <si>
    <t>Nazwa Wnioskodawcy:</t>
  </si>
  <si>
    <t>Tytuł projektu:</t>
  </si>
  <si>
    <t>Razem</t>
  </si>
  <si>
    <t>Koszt kwalifikujący się do objęcia pomocą (poz. 1 - poz. 4)</t>
  </si>
  <si>
    <t>Maksymalna intensywność pomocy horyzontalnej</t>
  </si>
  <si>
    <t>Maksymalna wartość pomocy horyzontalnej</t>
  </si>
  <si>
    <t>energia elektr. z OZE - wiatr, słońce, woda</t>
  </si>
  <si>
    <t>ciepło z OZE - kolektory słoneczne</t>
  </si>
  <si>
    <t>ciepło z OZE - biomasa, biogaz, geotermia, pompa ciepła</t>
  </si>
  <si>
    <t>elektr</t>
  </si>
  <si>
    <t>ciep</t>
  </si>
  <si>
    <t>&lt;=  "podstawowa" intensywność (bez bonusów)</t>
  </si>
  <si>
    <t>INSTRUKCJA</t>
  </si>
  <si>
    <t xml:space="preserve"> - dane identyfikacyjne, tj. nazwę Wnioskodawcy i tytuł projektu</t>
  </si>
  <si>
    <t>rozporządzenia Komisji (UE) Nr 651/2014 z dnia 17 czerwca 2014 r. uznającego niektóre rodzaje pomocy za zgodne z rynkiem wewnętrznym w zastosowaniu art. 107 i 108 Traktatu</t>
  </si>
  <si>
    <r>
      <t xml:space="preserve">W tabeli w pozycjach 1.1-1.7, jako koszty kwalifikowalne należy ująć tylko te koszty, które jednocześnie kwalifikują się do dofinansowania </t>
    </r>
    <r>
      <rPr>
        <sz val="11"/>
        <rFont val="Arial"/>
        <family val="2"/>
        <charset val="238"/>
      </rPr>
      <t>w ramach zasad danego naboru or</t>
    </r>
    <r>
      <rPr>
        <sz val="11"/>
        <color indexed="8"/>
        <rFont val="Arial"/>
        <family val="2"/>
        <charset val="238"/>
      </rPr>
      <t>az kwalifikują się do pomocy horyzontalnej. Wszystkie pozostałe koszty należy ująć w tabeli w poz. 2.1 – 2.5.</t>
    </r>
  </si>
  <si>
    <t>Arkusz "Koszty"</t>
  </si>
  <si>
    <t>Instalacja planowana/docelowa</t>
  </si>
  <si>
    <t>Instalacja referencyjna</t>
  </si>
  <si>
    <t>kolektory słoneczne</t>
  </si>
  <si>
    <t>ciepło z OZE</t>
  </si>
  <si>
    <t>energia elektryczna z OZE</t>
  </si>
  <si>
    <t>Kogeneracja wysokosprawna z OZE</t>
  </si>
  <si>
    <t>biomasa, biogaz, geotermia, pompa ciepła</t>
  </si>
  <si>
    <t>Kogeneracja wysokosprawna z paliw kopalnych</t>
  </si>
  <si>
    <t>wiatr, słońce, woda</t>
  </si>
  <si>
    <t>• kotły wodne gazowe o takiej samej rocznej produkcji ciepła jak instalacja OZE</t>
  </si>
  <si>
    <t>• instalacje gazowe oparte o silniki gazowe  lub blok gazowo-parowy o takiej
  samej rocznej produkcji energii elektrycznej jak instalacja OZE
• dla źródeł OZE o produkcji poniżej 400 MWh/r brak instalacji referencyjnej</t>
  </si>
  <si>
    <t>• kotły wodne gazowe o takiej samej mocy cieplnej jak instalacja kogeneracyjna</t>
  </si>
  <si>
    <t>• kotły wodne gazowe o takiej samej mocy cieplnej jak instalacja kogeneracyjna OZE</t>
  </si>
  <si>
    <r>
      <t xml:space="preserve">* Ograniczenia dotyczące kwalifikowalności kosztów:
    - kwalifikowalne mogą być tylko koszty poniesione po złożeniu wniosku o dofinansowanie,
    - kwalifikowalne mogą być tylko koszty, które </t>
    </r>
    <r>
      <rPr>
        <b/>
        <sz val="9"/>
        <rFont val="Arial"/>
        <family val="2"/>
        <charset val="238"/>
      </rPr>
      <t>jednocześnie</t>
    </r>
    <r>
      <rPr>
        <sz val="9"/>
        <rFont val="Arial"/>
        <family val="2"/>
        <charset val="238"/>
      </rPr>
      <t xml:space="preserve"> kwalifikują się do dofinansowania w ramach danego naboru oraz kwalifikują się do pomocy horyzontalnej (dokładniejsze wyjaśnienie 
      w instrukcji do kalkulatora).</t>
    </r>
  </si>
  <si>
    <r>
      <t xml:space="preserve"> - wielkość przedsiębiorstwa, tj. duże, średnie, małe lub </t>
    </r>
    <r>
      <rPr>
        <sz val="11"/>
        <rFont val="Arial"/>
        <family val="2"/>
        <charset val="238"/>
      </rPr>
      <t>mikro</t>
    </r>
    <r>
      <rPr>
        <sz val="11"/>
        <color indexed="8"/>
        <rFont val="Arial"/>
        <family val="2"/>
        <charset val="238"/>
      </rPr>
      <t xml:space="preserve"> - zgodnie z definicją zawartą w załączniku 1 do</t>
    </r>
  </si>
  <si>
    <t xml:space="preserve">W poz. 7 tabeli prezentowany jest wynik, tj. maksymalna wartość pomocy horyzontalnej. Odpowiada ona maksymalnej dopuszczalnej kwocie dofinansowania inwestycji, jeśli jest ono udzielane w formie dotacji. </t>
  </si>
  <si>
    <t>Koszty niekwalifikowalne do pomocy horyzontalnej</t>
  </si>
  <si>
    <t>• kotły wodne gazowe o takiej samej mocy cieplnej jak instalacja OZE</t>
  </si>
  <si>
    <t>•  instalacje gazowe oparte o silniki gazowe lub blok gazowo-parowy o takiej 
  samej mocy elektrycznej jak instalacja OZE
• dla źródeł OZE o mocy poniżej 0,05 MWe brak instalacji referencyjnej</t>
  </si>
  <si>
    <t>https://www.gov.pl/web/nfosigw/kalkulatory-pomocy-publicznej</t>
  </si>
  <si>
    <t xml:space="preserve">  w przypadku regionu warszawskiego stołecznego</t>
  </si>
  <si>
    <t>mazowieckie - region mazowiecki regionalny</t>
  </si>
  <si>
    <t>mazowieckie - region warszawski stołeczny</t>
  </si>
  <si>
    <t>region warszawski stoł.</t>
  </si>
  <si>
    <t>Baranów</t>
  </si>
  <si>
    <t>Błonie</t>
  </si>
  <si>
    <t>Dąbrówka</t>
  </si>
  <si>
    <t>Dobre</t>
  </si>
  <si>
    <t>Góra Kalwaria</t>
  </si>
  <si>
    <t>Grodzisk Mazowiecki</t>
  </si>
  <si>
    <t>Jadów</t>
  </si>
  <si>
    <t>Jaktorów</t>
  </si>
  <si>
    <t>Kałuszyn</t>
  </si>
  <si>
    <t>Kampinos</t>
  </si>
  <si>
    <t>Kołbiel</t>
  </si>
  <si>
    <t>Latowicz</t>
  </si>
  <si>
    <t>Leoncin</t>
  </si>
  <si>
    <t>Leszno</t>
  </si>
  <si>
    <t>Mrozy</t>
  </si>
  <si>
    <t>Nasielsk</t>
  </si>
  <si>
    <t>Osieck</t>
  </si>
  <si>
    <t>Prażmów</t>
  </si>
  <si>
    <t>Serock</t>
  </si>
  <si>
    <t>Siennica</t>
  </si>
  <si>
    <t>Sobienie-Jeziory</t>
  </si>
  <si>
    <t>Strachówka</t>
  </si>
  <si>
    <t>Tarczyn</t>
  </si>
  <si>
    <t>Tłuszcz</t>
  </si>
  <si>
    <t xml:space="preserve">Zakroczym </t>
  </si>
  <si>
    <t>Żabia Wola</t>
  </si>
  <si>
    <t>inna gmina</t>
  </si>
  <si>
    <t>nie dotyczy</t>
  </si>
  <si>
    <t xml:space="preserve"> - lokalizację inwestycji (województwo) - wybór z listy. Województwo mazowieckie podzielone jest na dwa regiony: </t>
  </si>
  <si>
    <t xml:space="preserve">     - region warszawski stołeczny - obejmujący m.st. Warszawa wraz z powiatami: grodziskim, legionowskim, mińskim, 
       nowodworskim, otwockim, piaseczyńskim, pruszkowskim, warszawskim zachodnim i wołomińskim;</t>
  </si>
  <si>
    <t xml:space="preserve">     - region mazowiecki regionalny - obejmujący pozostałą część województwa mazowieckiego.</t>
  </si>
  <si>
    <t xml:space="preserve">    W przypadku lokalizacji inwestycji w regionie warszawskim stołecznym należy dodatkowo (w kolejnym wierszu) wybrać z listy 
    właściwą gminę, a jeśli gminy nie ma na liście - wybrać "inna gmina". Jeśli inwestycja jest zlokalizowana poza regionem 
    warszawskim stołecznym, należy wybrać "nie dotyczy".</t>
  </si>
  <si>
    <r>
      <t xml:space="preserve">Na tej podstawie Wnioskodawca może samodzielnie sprawdzić, czy wnioskowana pomoc nie przekracza wielkości maksymalnej przewidzianej w </t>
    </r>
    <r>
      <rPr>
        <i/>
        <sz val="11"/>
        <color indexed="8"/>
        <rFont val="Arial"/>
        <family val="2"/>
        <charset val="238"/>
      </rPr>
      <t>rozporządzeniu Ministra Środowiska z dnia 21 grudnia 2015 r. w sprawie szczegółowych warunków udzielania horyzontalnej pomocy publicznej na cele z zakresu ochrony środowiska</t>
    </r>
    <r>
      <rPr>
        <sz val="11"/>
        <color indexed="8"/>
        <rFont val="Arial"/>
        <family val="2"/>
        <charset val="238"/>
      </rPr>
      <t>.</t>
    </r>
  </si>
  <si>
    <t>kogeneracja - inne niż OZE</t>
  </si>
  <si>
    <t>energia elektr. z OZE - biogaz</t>
  </si>
  <si>
    <t xml:space="preserve"> - rodzaj instalacji (technologię) – wybór z listy 
 - moc elektryczną - należy uwzględnić całkowitą moc wyjściową instalacji objętej dofinansowaniem
 - średnią roczną produkcję energii elektrycznej – wymagane w przypadku elektrowni wiatrowej, 
   fotowoltaicznej lub wodnej 
</t>
  </si>
  <si>
    <t>Zestawienie kosztów kwalifikujących się do pomocy wraz z wyliczeniem maksymalnej wartości pomocy publicznej
- Pomoc horyzontalna na OZE</t>
  </si>
  <si>
    <t xml:space="preserve">W tabeli należy wpisać koszty planowanej inwestycji w podziale na koszty kwalifikowalne oraz niekwalifikowalne. Koszty kwalifikowalne do pomocy horyzontalnej nie zawsze muszą pokrywać się z kosztami kwalifikowanymi zgodnie z zasadami danego naboru. </t>
  </si>
  <si>
    <t>Kosztami niekwalifikowalnymi z punktu widzenia pomocy horyzontalnej są koszty poniesione przed dniem złożenia wniosku o dofinansowanie. W przypadku, gdyby zasady naboru przewidywały surowsze warunki kwalifikowalności kosztów (np. ograniczenia procentowe w kwalifikacji określonego rodzaju kosztów), wówczas tę zasadę przyjmuje się również do kwalifikacji kosztów do pomocy horyzontalnej. Do pomocy nie kwalifikują się również koszty ponoszone m.in. na informację i promocję.</t>
  </si>
  <si>
    <t xml:space="preserve">Jeżeli instalacja OZE zintegrowana jest z magazynem, wówczas do kosztów kwalifikowalnych do pomocy horyzontalnej na OZE zalicza się zarówno instalację OZE, jak i magazyn energii.
 </t>
  </si>
  <si>
    <t>biogaz</t>
  </si>
  <si>
    <t xml:space="preserve">Natomiast jeśli wnioskowane dofinansowanie ma formę pożyczki (ewentualnie z jej częściowym umorzeniem) (lub pożyczki łączonej z dotacją), wartość pomocy publicznej (EDB) wynikającą z takiego dofinansowania można wyliczyć za pomocą Kalkulatora EDB dostępnego na stronie:  </t>
  </si>
  <si>
    <t xml:space="preserve">należy uzupełnić zgodnie z poniższym: </t>
  </si>
  <si>
    <t xml:space="preserve">W poz. 4 tabeli podawany jest koszt inwestycji referencyjnej, tj. konwencjonalnej instalacji o takiej samej zdolności do produkcji energii, jaką ma instalacja OZE objęta wnioskiem. Koszt takiej inwestycji jest wyliczany automatycznie i wyświetlany w komórce D19 (przenosi się on następnie do poz. 4 w tabeli). Szczegółowe zestawienie instalacji referencyjnych przedstawiono poniżej (kalkulator dobiera właściwą inwestycję referencyjną oraz oblicza jej koszt)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</si>
</sst>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"/>
    <numFmt numFmtId="166" formatCode="0.0000"/>
    <numFmt numFmtId="167" formatCode="#,##0.00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sz val="11"/>
      <name val="Arial"/>
      <family val="2"/>
      <charset val="238"/>
    </font>
    <font>
      <u/>
      <sz val="11"/>
      <color indexed="12"/>
      <name val="Calibri"/>
      <family val="2"/>
    </font>
    <font>
      <u/>
      <sz val="11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278">
    <xf numFmtId="0" fontId="0" fillId="0" borderId="0" xfId="0"/>
    <xf numFmtId="0" fontId="15" fillId="0" borderId="0" xfId="0" applyFont="1" applyProtection="1"/>
    <xf numFmtId="0" fontId="0" fillId="0" borderId="0" xfId="0" applyProtection="1"/>
    <xf numFmtId="0" fontId="17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horizontal="right" vertical="center"/>
    </xf>
    <xf numFmtId="0" fontId="0" fillId="0" borderId="3" xfId="0" applyFont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3" fontId="0" fillId="0" borderId="1" xfId="0" applyNumberFormat="1" applyFont="1" applyBorder="1" applyAlignment="1" applyProtection="1">
      <alignment horizontal="right"/>
    </xf>
    <xf numFmtId="3" fontId="0" fillId="6" borderId="1" xfId="0" applyNumberFormat="1" applyFont="1" applyFill="1" applyBorder="1" applyAlignment="1" applyProtection="1">
      <alignment horizontal="center"/>
    </xf>
    <xf numFmtId="0" fontId="0" fillId="6" borderId="1" xfId="0" applyFont="1" applyFill="1" applyBorder="1" applyProtection="1"/>
    <xf numFmtId="9" fontId="12" fillId="0" borderId="0" xfId="2" applyFont="1" applyAlignment="1" applyProtection="1">
      <alignment horizontal="left"/>
    </xf>
    <xf numFmtId="0" fontId="0" fillId="2" borderId="0" xfId="0" applyFill="1" applyProtection="1"/>
    <xf numFmtId="0" fontId="0" fillId="0" borderId="0" xfId="0" applyFill="1" applyProtection="1"/>
    <xf numFmtId="0" fontId="0" fillId="7" borderId="0" xfId="0" applyFill="1" applyProtection="1"/>
    <xf numFmtId="0" fontId="0" fillId="2" borderId="1" xfId="0" applyFill="1" applyBorder="1" applyProtection="1"/>
    <xf numFmtId="0" fontId="0" fillId="0" borderId="1" xfId="0" applyBorder="1" applyProtection="1"/>
    <xf numFmtId="0" fontId="0" fillId="2" borderId="5" xfId="0" applyFill="1" applyBorder="1" applyProtection="1"/>
    <xf numFmtId="0" fontId="0" fillId="0" borderId="1" xfId="0" applyBorder="1" applyAlignment="1" applyProtection="1">
      <alignment vertical="top"/>
    </xf>
    <xf numFmtId="0" fontId="0" fillId="0" borderId="0" xfId="0" applyBorder="1" applyProtection="1"/>
    <xf numFmtId="0" fontId="8" fillId="0" borderId="6" xfId="0" applyFont="1" applyBorder="1" applyAlignment="1" applyProtection="1">
      <alignment vertical="top" wrapText="1"/>
    </xf>
    <xf numFmtId="3" fontId="0" fillId="0" borderId="1" xfId="0" applyNumberFormat="1" applyBorder="1" applyAlignment="1" applyProtection="1">
      <alignment horizontal="right" vertical="center"/>
    </xf>
    <xf numFmtId="0" fontId="0" fillId="0" borderId="6" xfId="0" applyBorder="1" applyAlignment="1" applyProtection="1">
      <alignment vertical="top" wrapText="1"/>
    </xf>
    <xf numFmtId="0" fontId="0" fillId="2" borderId="0" xfId="0" applyFill="1" applyBorder="1" applyProtection="1"/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Protection="1"/>
    <xf numFmtId="4" fontId="0" fillId="4" borderId="1" xfId="0" applyNumberFormat="1" applyFill="1" applyBorder="1" applyProtection="1"/>
    <xf numFmtId="0" fontId="0" fillId="7" borderId="1" xfId="0" applyFill="1" applyBorder="1" applyProtection="1"/>
    <xf numFmtId="4" fontId="0" fillId="7" borderId="2" xfId="0" applyNumberFormat="1" applyFill="1" applyBorder="1" applyProtection="1"/>
    <xf numFmtId="4" fontId="0" fillId="7" borderId="0" xfId="0" applyNumberFormat="1" applyFill="1" applyProtection="1"/>
    <xf numFmtId="0" fontId="8" fillId="7" borderId="0" xfId="0" applyFont="1" applyFill="1" applyProtection="1"/>
    <xf numFmtId="0" fontId="0" fillId="2" borderId="0" xfId="0" applyFill="1" applyAlignment="1" applyProtection="1">
      <alignment horizontal="left"/>
    </xf>
    <xf numFmtId="9" fontId="0" fillId="2" borderId="0" xfId="0" applyNumberFormat="1" applyFill="1" applyProtection="1"/>
    <xf numFmtId="4" fontId="0" fillId="2" borderId="0" xfId="0" applyNumberFormat="1" applyFill="1" applyProtection="1"/>
    <xf numFmtId="0" fontId="8" fillId="7" borderId="1" xfId="0" applyFont="1" applyFill="1" applyBorder="1" applyProtection="1"/>
    <xf numFmtId="4" fontId="0" fillId="7" borderId="1" xfId="0" applyNumberFormat="1" applyFill="1" applyBorder="1" applyProtection="1"/>
    <xf numFmtId="0" fontId="0" fillId="4" borderId="1" xfId="0" applyFill="1" applyBorder="1" applyProtection="1"/>
    <xf numFmtId="9" fontId="12" fillId="0" borderId="0" xfId="3" applyNumberFormat="1" applyFont="1" applyProtection="1"/>
    <xf numFmtId="14" fontId="0" fillId="2" borderId="1" xfId="0" applyNumberFormat="1" applyFill="1" applyBorder="1" applyProtection="1"/>
    <xf numFmtId="14" fontId="0" fillId="0" borderId="1" xfId="0" applyNumberFormat="1" applyBorder="1" applyProtection="1">
      <protection locked="0"/>
    </xf>
    <xf numFmtId="10" fontId="5" fillId="8" borderId="1" xfId="3" applyNumberFormat="1" applyFont="1" applyFill="1" applyBorder="1" applyProtection="1"/>
    <xf numFmtId="0" fontId="8" fillId="3" borderId="1" xfId="0" applyFont="1" applyFill="1" applyBorder="1" applyProtection="1"/>
    <xf numFmtId="4" fontId="0" fillId="8" borderId="1" xfId="0" applyNumberFormat="1" applyFill="1" applyBorder="1" applyProtection="1"/>
    <xf numFmtId="0" fontId="0" fillId="8" borderId="0" xfId="0" applyFill="1" applyProtection="1"/>
    <xf numFmtId="0" fontId="0" fillId="8" borderId="7" xfId="0" applyFill="1" applyBorder="1" applyProtection="1"/>
    <xf numFmtId="166" fontId="0" fillId="2" borderId="0" xfId="0" applyNumberFormat="1" applyFill="1" applyProtection="1"/>
    <xf numFmtId="10" fontId="12" fillId="2" borderId="1" xfId="3" applyNumberFormat="1" applyFont="1" applyFill="1" applyBorder="1" applyProtection="1"/>
    <xf numFmtId="0" fontId="9" fillId="0" borderId="0" xfId="0" applyFont="1" applyProtection="1"/>
    <xf numFmtId="0" fontId="8" fillId="0" borderId="0" xfId="0" applyFont="1" applyProtection="1"/>
    <xf numFmtId="10" fontId="0" fillId="8" borderId="1" xfId="0" applyNumberFormat="1" applyFill="1" applyBorder="1" applyProtection="1"/>
    <xf numFmtId="166" fontId="0" fillId="7" borderId="0" xfId="0" applyNumberFormat="1" applyFill="1" applyProtection="1"/>
    <xf numFmtId="0" fontId="0" fillId="8" borderId="0" xfId="0" applyFill="1" applyAlignment="1" applyProtection="1">
      <alignment horizontal="right"/>
    </xf>
    <xf numFmtId="0" fontId="0" fillId="8" borderId="1" xfId="0" applyFill="1" applyBorder="1" applyProtection="1"/>
    <xf numFmtId="10" fontId="5" fillId="8" borderId="1" xfId="2" applyNumberFormat="1" applyFont="1" applyFill="1" applyBorder="1" applyProtection="1"/>
    <xf numFmtId="0" fontId="1" fillId="0" borderId="0" xfId="0" applyFont="1" applyProtection="1"/>
    <xf numFmtId="10" fontId="10" fillId="5" borderId="5" xfId="3" applyNumberFormat="1" applyFont="1" applyFill="1" applyBorder="1" applyProtection="1"/>
    <xf numFmtId="10" fontId="10" fillId="5" borderId="8" xfId="3" applyNumberFormat="1" applyFont="1" applyFill="1" applyBorder="1" applyProtection="1"/>
    <xf numFmtId="4" fontId="10" fillId="5" borderId="1" xfId="0" applyNumberFormat="1" applyFont="1" applyFill="1" applyBorder="1" applyProtection="1"/>
    <xf numFmtId="4" fontId="10" fillId="2" borderId="1" xfId="0" applyNumberFormat="1" applyFont="1" applyFill="1" applyBorder="1" applyProtection="1"/>
    <xf numFmtId="0" fontId="0" fillId="3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0" fillId="0" borderId="1" xfId="0" applyNumberForma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0" fillId="0" borderId="0" xfId="0" applyFont="1" applyBorder="1" applyProtection="1"/>
    <xf numFmtId="9" fontId="12" fillId="0" borderId="0" xfId="2" applyFont="1" applyBorder="1" applyAlignment="1" applyProtection="1">
      <alignment horizontal="center"/>
    </xf>
    <xf numFmtId="4" fontId="0" fillId="9" borderId="1" xfId="0" applyNumberFormat="1" applyFill="1" applyBorder="1" applyProtection="1"/>
    <xf numFmtId="0" fontId="0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Protection="1"/>
    <xf numFmtId="4" fontId="19" fillId="5" borderId="1" xfId="0" applyNumberFormat="1" applyFont="1" applyFill="1" applyBorder="1" applyProtection="1"/>
    <xf numFmtId="4" fontId="19" fillId="2" borderId="1" xfId="0" applyNumberFormat="1" applyFont="1" applyFill="1" applyBorder="1" applyProtection="1"/>
    <xf numFmtId="0" fontId="0" fillId="0" borderId="1" xfId="0" applyFont="1" applyBorder="1" applyAlignment="1" applyProtection="1">
      <alignment vertical="center" wrapText="1"/>
    </xf>
    <xf numFmtId="4" fontId="0" fillId="8" borderId="1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</xf>
    <xf numFmtId="4" fontId="0" fillId="0" borderId="1" xfId="0" applyNumberFormat="1" applyBorder="1" applyAlignment="1" applyProtection="1">
      <alignment horizontal="right" vertical="center"/>
    </xf>
    <xf numFmtId="10" fontId="5" fillId="0" borderId="1" xfId="3" applyNumberFormat="1" applyFont="1" applyFill="1" applyBorder="1" applyProtection="1">
      <protection locked="0"/>
    </xf>
    <xf numFmtId="0" fontId="0" fillId="0" borderId="0" xfId="0" applyFont="1" applyAlignment="1" applyProtection="1">
      <alignment wrapText="1"/>
    </xf>
    <xf numFmtId="3" fontId="0" fillId="0" borderId="4" xfId="0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wrapText="1"/>
    </xf>
    <xf numFmtId="2" fontId="0" fillId="0" borderId="1" xfId="0" applyNumberFormat="1" applyFont="1" applyBorder="1" applyAlignment="1" applyProtection="1">
      <alignment horizontal="center" wrapText="1"/>
    </xf>
    <xf numFmtId="0" fontId="0" fillId="6" borderId="0" xfId="0" applyFont="1" applyFill="1" applyBorder="1" applyAlignment="1" applyProtection="1">
      <alignment wrapText="1"/>
    </xf>
    <xf numFmtId="0" fontId="0" fillId="6" borderId="0" xfId="0" applyFont="1" applyFill="1" applyAlignment="1" applyProtection="1">
      <alignment wrapText="1"/>
    </xf>
    <xf numFmtId="3" fontId="0" fillId="0" borderId="3" xfId="0" applyNumberFormat="1" applyFont="1" applyBorder="1" applyAlignment="1" applyProtection="1">
      <alignment vertical="center" wrapText="1"/>
    </xf>
    <xf numFmtId="3" fontId="0" fillId="0" borderId="4" xfId="0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3" fontId="0" fillId="0" borderId="1" xfId="0" applyNumberFormat="1" applyFont="1" applyBorder="1" applyAlignment="1" applyProtection="1">
      <alignment horizontal="center" wrapText="1"/>
    </xf>
    <xf numFmtId="0" fontId="0" fillId="6" borderId="1" xfId="0" applyFont="1" applyFill="1" applyBorder="1" applyAlignment="1" applyProtection="1">
      <alignment wrapText="1"/>
    </xf>
    <xf numFmtId="3" fontId="0" fillId="6" borderId="1" xfId="0" applyNumberFormat="1" applyFont="1" applyFill="1" applyBorder="1" applyAlignment="1" applyProtection="1">
      <alignment horizontal="center" wrapText="1"/>
    </xf>
    <xf numFmtId="0" fontId="20" fillId="10" borderId="0" xfId="0" applyFont="1" applyFill="1" applyProtection="1"/>
    <xf numFmtId="3" fontId="0" fillId="0" borderId="0" xfId="0" applyNumberFormat="1" applyProtection="1"/>
    <xf numFmtId="165" fontId="0" fillId="0" borderId="0" xfId="0" applyNumberFormat="1" applyFill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14" fillId="0" borderId="0" xfId="0" applyFont="1" applyProtection="1"/>
    <xf numFmtId="0" fontId="21" fillId="0" borderId="0" xfId="1" applyFont="1" applyFill="1" applyAlignment="1" applyProtection="1"/>
    <xf numFmtId="0" fontId="0" fillId="0" borderId="0" xfId="0" applyFont="1" applyFill="1" applyAlignment="1" applyProtection="1"/>
    <xf numFmtId="0" fontId="21" fillId="0" borderId="0" xfId="1" applyFont="1" applyFill="1" applyProtection="1"/>
    <xf numFmtId="0" fontId="21" fillId="0" borderId="0" xfId="1" applyFont="1" applyFill="1" applyAlignment="1" applyProtection="1">
      <alignment horizontal="center"/>
    </xf>
    <xf numFmtId="0" fontId="21" fillId="11" borderId="0" xfId="1" applyFont="1" applyFill="1" applyProtection="1"/>
    <xf numFmtId="0" fontId="0" fillId="11" borderId="0" xfId="0" applyFont="1" applyFill="1" applyAlignment="1" applyProtection="1">
      <alignment horizontal="center"/>
    </xf>
    <xf numFmtId="2" fontId="0" fillId="11" borderId="0" xfId="0" applyNumberFormat="1" applyFont="1" applyFill="1" applyAlignment="1" applyProtection="1">
      <alignment horizontal="center"/>
    </xf>
    <xf numFmtId="0" fontId="21" fillId="11" borderId="10" xfId="1" applyFont="1" applyFill="1" applyBorder="1" applyProtection="1"/>
    <xf numFmtId="1" fontId="0" fillId="11" borderId="10" xfId="0" applyNumberFormat="1" applyFont="1" applyFill="1" applyBorder="1" applyAlignment="1" applyProtection="1">
      <alignment horizontal="center"/>
    </xf>
    <xf numFmtId="0" fontId="21" fillId="11" borderId="0" xfId="1" applyFont="1" applyFill="1" applyBorder="1" applyProtection="1"/>
    <xf numFmtId="0" fontId="0" fillId="6" borderId="0" xfId="0" applyFill="1" applyProtection="1"/>
    <xf numFmtId="1" fontId="0" fillId="0" borderId="0" xfId="0" applyNumberFormat="1" applyProtection="1"/>
    <xf numFmtId="0" fontId="22" fillId="0" borderId="0" xfId="0" applyFont="1" applyAlignment="1" applyProtection="1">
      <alignment horizontal="right"/>
    </xf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right"/>
    </xf>
    <xf numFmtId="0" fontId="0" fillId="11" borderId="0" xfId="0" applyFont="1" applyFill="1" applyAlignment="1" applyProtection="1">
      <alignment horizontal="left"/>
    </xf>
    <xf numFmtId="0" fontId="0" fillId="11" borderId="0" xfId="0" applyFont="1" applyFill="1" applyBorder="1" applyAlignment="1" applyProtection="1">
      <alignment horizontal="center"/>
    </xf>
    <xf numFmtId="0" fontId="0" fillId="11" borderId="11" xfId="0" applyFont="1" applyFill="1" applyBorder="1" applyAlignment="1" applyProtection="1">
      <alignment horizontal="center"/>
    </xf>
    <xf numFmtId="0" fontId="0" fillId="11" borderId="0" xfId="0" applyFont="1" applyFill="1" applyProtection="1"/>
    <xf numFmtId="2" fontId="0" fillId="11" borderId="0" xfId="0" applyNumberFormat="1" applyFont="1" applyFill="1" applyBorder="1" applyAlignment="1" applyProtection="1">
      <alignment horizontal="center"/>
    </xf>
    <xf numFmtId="2" fontId="0" fillId="11" borderId="11" xfId="0" applyNumberFormat="1" applyFont="1" applyFill="1" applyBorder="1" applyAlignment="1" applyProtection="1">
      <alignment horizontal="center"/>
    </xf>
    <xf numFmtId="0" fontId="0" fillId="11" borderId="10" xfId="0" applyFont="1" applyFill="1" applyBorder="1" applyProtection="1"/>
    <xf numFmtId="1" fontId="0" fillId="11" borderId="13" xfId="0" applyNumberFormat="1" applyFont="1" applyFill="1" applyBorder="1" applyAlignment="1" applyProtection="1">
      <alignment horizontal="center"/>
    </xf>
    <xf numFmtId="4" fontId="0" fillId="0" borderId="0" xfId="0" applyNumberFormat="1" applyProtection="1"/>
    <xf numFmtId="0" fontId="0" fillId="0" borderId="0" xfId="0" applyFont="1" applyFill="1" applyAlignment="1" applyProtection="1">
      <alignment horizontal="right" wrapText="1"/>
    </xf>
    <xf numFmtId="0" fontId="23" fillId="0" borderId="0" xfId="0" applyFont="1" applyFill="1" applyAlignment="1" applyProtection="1">
      <alignment horizontal="center" wrapText="1"/>
    </xf>
    <xf numFmtId="0" fontId="0" fillId="0" borderId="0" xfId="0" applyFont="1" applyFill="1" applyAlignment="1" applyProtection="1">
      <alignment horizontal="center" wrapText="1"/>
    </xf>
    <xf numFmtId="0" fontId="0" fillId="0" borderId="11" xfId="0" applyFont="1" applyFill="1" applyBorder="1" applyAlignment="1" applyProtection="1">
      <alignment horizontal="center" wrapText="1"/>
    </xf>
    <xf numFmtId="0" fontId="0" fillId="11" borderId="0" xfId="0" applyFont="1" applyFill="1" applyAlignment="1" applyProtection="1">
      <alignment horizontal="right"/>
    </xf>
    <xf numFmtId="0" fontId="24" fillId="11" borderId="11" xfId="0" applyFont="1" applyFill="1" applyBorder="1" applyAlignment="1" applyProtection="1">
      <alignment horizontal="center"/>
    </xf>
    <xf numFmtId="2" fontId="24" fillId="11" borderId="11" xfId="0" applyNumberFormat="1" applyFont="1" applyFill="1" applyBorder="1" applyAlignment="1" applyProtection="1">
      <alignment horizontal="center"/>
    </xf>
    <xf numFmtId="1" fontId="24" fillId="11" borderId="1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0" fontId="0" fillId="3" borderId="5" xfId="0" applyFill="1" applyBorder="1" applyAlignment="1" applyProtection="1">
      <alignment vertical="center" wrapText="1"/>
    </xf>
    <xf numFmtId="0" fontId="0" fillId="3" borderId="9" xfId="0" applyFill="1" applyBorder="1" applyAlignment="1" applyProtection="1">
      <alignment vertical="center" wrapText="1"/>
    </xf>
    <xf numFmtId="4" fontId="0" fillId="0" borderId="0" xfId="0" applyNumberFormat="1" applyFill="1" applyBorder="1" applyProtection="1"/>
    <xf numFmtId="4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vertical="center"/>
    </xf>
    <xf numFmtId="4" fontId="0" fillId="8" borderId="2" xfId="0" applyNumberFormat="1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4" fontId="0" fillId="8" borderId="1" xfId="0" applyNumberFormat="1" applyFont="1" applyFill="1" applyBorder="1" applyAlignment="1" applyProtection="1">
      <alignment vertical="center"/>
    </xf>
    <xf numFmtId="9" fontId="25" fillId="8" borderId="0" xfId="3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0" fontId="12" fillId="12" borderId="1" xfId="2" applyNumberFormat="1" applyFont="1" applyFill="1" applyBorder="1" applyAlignment="1" applyProtection="1">
      <alignment vertical="center"/>
    </xf>
    <xf numFmtId="4" fontId="0" fillId="8" borderId="4" xfId="0" applyNumberFormat="1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10" fontId="12" fillId="8" borderId="4" xfId="2" applyNumberFormat="1" applyFont="1" applyFill="1" applyBorder="1" applyAlignment="1" applyProtection="1">
      <alignment vertical="center"/>
    </xf>
    <xf numFmtId="0" fontId="0" fillId="0" borderId="0" xfId="0" applyAlignment="1">
      <alignment vertical="top" wrapText="1"/>
    </xf>
    <xf numFmtId="0" fontId="0" fillId="0" borderId="0" xfId="0" applyAlignment="1" applyProtection="1">
      <alignment wrapText="1"/>
    </xf>
    <xf numFmtId="0" fontId="0" fillId="3" borderId="5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9" fontId="12" fillId="8" borderId="1" xfId="2" applyFont="1" applyFill="1" applyBorder="1" applyAlignment="1" applyProtection="1">
      <alignment vertical="center"/>
    </xf>
    <xf numFmtId="4" fontId="0" fillId="8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0" xfId="0" applyFont="1" applyAlignment="1" applyProtection="1"/>
    <xf numFmtId="0" fontId="28" fillId="0" borderId="0" xfId="0" applyFont="1" applyAlignment="1" applyProtection="1">
      <alignment horizontal="left" vertical="center"/>
    </xf>
    <xf numFmtId="0" fontId="0" fillId="0" borderId="9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 indent="2"/>
    </xf>
    <xf numFmtId="0" fontId="8" fillId="0" borderId="0" xfId="0" applyFont="1" applyAlignment="1" applyProtection="1">
      <alignment horizontal="left" vertical="center"/>
    </xf>
    <xf numFmtId="9" fontId="0" fillId="0" borderId="0" xfId="2" applyFont="1" applyAlignment="1" applyProtection="1">
      <alignment horizontal="left"/>
    </xf>
    <xf numFmtId="9" fontId="15" fillId="6" borderId="0" xfId="2" applyFont="1" applyFill="1" applyProtection="1"/>
    <xf numFmtId="0" fontId="10" fillId="8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10" fillId="0" borderId="1" xfId="0" applyFont="1" applyFill="1" applyBorder="1" applyAlignment="1" applyProtection="1">
      <alignment horizontal="center" vertical="center" wrapText="1"/>
    </xf>
    <xf numFmtId="10" fontId="10" fillId="0" borderId="1" xfId="3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10" fontId="10" fillId="0" borderId="0" xfId="3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vertical="top" wrapText="1"/>
    </xf>
    <xf numFmtId="167" fontId="29" fillId="0" borderId="1" xfId="0" applyNumberFormat="1" applyFont="1" applyFill="1" applyBorder="1" applyAlignment="1" applyProtection="1">
      <alignment horizontal="center"/>
      <protection locked="0"/>
    </xf>
    <xf numFmtId="9" fontId="29" fillId="12" borderId="1" xfId="2" applyFont="1" applyFill="1" applyBorder="1" applyAlignment="1" applyProtection="1">
      <alignment horizontal="center"/>
    </xf>
    <xf numFmtId="0" fontId="29" fillId="0" borderId="19" xfId="0" applyFont="1" applyBorder="1" applyAlignment="1" applyProtection="1">
      <alignment horizontal="left" vertical="top" wrapText="1"/>
    </xf>
    <xf numFmtId="0" fontId="29" fillId="0" borderId="0" xfId="0" applyFont="1" applyBorder="1" applyAlignment="1" applyProtection="1">
      <alignment horizontal="left" vertical="top" wrapText="1"/>
    </xf>
    <xf numFmtId="3" fontId="29" fillId="0" borderId="0" xfId="0" applyNumberFormat="1" applyFont="1" applyAlignment="1" applyProtection="1"/>
    <xf numFmtId="0" fontId="29" fillId="0" borderId="0" xfId="0" applyFont="1" applyBorder="1" applyProtection="1"/>
    <xf numFmtId="0" fontId="30" fillId="0" borderId="0" xfId="0" applyFont="1" applyAlignment="1" applyProtection="1"/>
    <xf numFmtId="0" fontId="10" fillId="0" borderId="1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14" borderId="7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14" borderId="7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9" fontId="10" fillId="8" borderId="1" xfId="2" applyFont="1" applyFill="1" applyBorder="1" applyAlignment="1" applyProtection="1">
      <alignment horizontal="right" vertical="center" wrapText="1"/>
    </xf>
    <xf numFmtId="0" fontId="32" fillId="0" borderId="0" xfId="0" applyFont="1"/>
    <xf numFmtId="0" fontId="32" fillId="0" borderId="0" xfId="5" applyFont="1"/>
    <xf numFmtId="164" fontId="32" fillId="0" borderId="0" xfId="6" applyFont="1"/>
    <xf numFmtId="0" fontId="32" fillId="0" borderId="0" xfId="5" applyFont="1" applyAlignment="1">
      <alignment horizontal="left" vertical="top" wrapText="1"/>
    </xf>
    <xf numFmtId="4" fontId="10" fillId="8" borderId="1" xfId="0" applyNumberFormat="1" applyFont="1" applyFill="1" applyBorder="1" applyAlignment="1" applyProtection="1">
      <alignment horizontal="right" vertical="center"/>
    </xf>
    <xf numFmtId="4" fontId="8" fillId="0" borderId="9" xfId="0" applyNumberFormat="1" applyFont="1" applyBorder="1" applyAlignment="1" applyProtection="1">
      <alignment horizontal="right" vertical="center" wrapText="1"/>
      <protection locked="0"/>
    </xf>
    <xf numFmtId="4" fontId="8" fillId="8" borderId="1" xfId="0" applyNumberFormat="1" applyFont="1" applyFill="1" applyBorder="1" applyAlignment="1" applyProtection="1">
      <alignment horizontal="right" vertical="center" wrapText="1"/>
    </xf>
    <xf numFmtId="4" fontId="10" fillId="8" borderId="1" xfId="0" applyNumberFormat="1" applyFont="1" applyFill="1" applyBorder="1" applyAlignment="1" applyProtection="1">
      <alignment horizontal="right" vertical="center" wrapText="1"/>
    </xf>
    <xf numFmtId="4" fontId="10" fillId="8" borderId="9" xfId="0" applyNumberFormat="1" applyFont="1" applyFill="1" applyBorder="1" applyAlignment="1" applyProtection="1">
      <alignment horizontal="right" vertical="center" wrapText="1"/>
    </xf>
    <xf numFmtId="4" fontId="29" fillId="8" borderId="1" xfId="0" applyNumberFormat="1" applyFont="1" applyFill="1" applyBorder="1" applyAlignment="1" applyProtection="1">
      <alignment horizontal="center"/>
    </xf>
    <xf numFmtId="4" fontId="29" fillId="0" borderId="19" xfId="0" applyNumberFormat="1" applyFont="1" applyBorder="1" applyAlignment="1" applyProtection="1">
      <protection locked="0"/>
    </xf>
    <xf numFmtId="0" fontId="41" fillId="0" borderId="0" xfId="0" applyFont="1" applyProtection="1"/>
    <xf numFmtId="0" fontId="0" fillId="10" borderId="0" xfId="0" applyFill="1" applyProtection="1"/>
    <xf numFmtId="9" fontId="12" fillId="6" borderId="0" xfId="2" applyFont="1" applyFill="1" applyAlignment="1" applyProtection="1">
      <alignment horizontal="left"/>
    </xf>
    <xf numFmtId="0" fontId="37" fillId="0" borderId="21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vertical="center" wrapText="1"/>
    </xf>
    <xf numFmtId="0" fontId="38" fillId="0" borderId="8" xfId="0" applyFont="1" applyFill="1" applyBorder="1" applyAlignment="1">
      <alignment vertical="center" wrapText="1"/>
    </xf>
    <xf numFmtId="0" fontId="32" fillId="0" borderId="0" xfId="5" applyFont="1" applyFill="1" applyAlignment="1">
      <alignment horizontal="left" vertical="top" wrapText="1"/>
    </xf>
    <xf numFmtId="0" fontId="32" fillId="0" borderId="0" xfId="5" applyFont="1" applyFill="1"/>
    <xf numFmtId="0" fontId="10" fillId="13" borderId="0" xfId="0" applyFont="1" applyFill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0" fontId="10" fillId="8" borderId="5" xfId="0" applyFont="1" applyFill="1" applyBorder="1" applyAlignment="1" applyProtection="1">
      <alignment horizontal="left" vertical="center" wrapText="1"/>
    </xf>
    <xf numFmtId="0" fontId="10" fillId="8" borderId="14" xfId="0" applyFont="1" applyFill="1" applyBorder="1" applyAlignment="1" applyProtection="1">
      <alignment horizontal="left" vertical="center" wrapText="1"/>
    </xf>
    <xf numFmtId="0" fontId="10" fillId="8" borderId="9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center" indent="1"/>
    </xf>
    <xf numFmtId="3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/>
    </xf>
    <xf numFmtId="0" fontId="29" fillId="0" borderId="1" xfId="0" applyFont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9" fillId="0" borderId="5" xfId="0" applyFont="1" applyBorder="1" applyAlignment="1" applyProtection="1">
      <alignment horizontal="left"/>
    </xf>
    <xf numFmtId="0" fontId="29" fillId="0" borderId="14" xfId="0" applyFont="1" applyBorder="1" applyAlignment="1" applyProtection="1">
      <alignment horizontal="left"/>
    </xf>
    <xf numFmtId="0" fontId="29" fillId="0" borderId="9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 vertical="center" wrapText="1"/>
    </xf>
    <xf numFmtId="0" fontId="29" fillId="0" borderId="19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8" borderId="1" xfId="0" applyFont="1" applyFill="1" applyBorder="1" applyAlignment="1" applyProtection="1">
      <alignment horizontal="left"/>
    </xf>
    <xf numFmtId="0" fontId="29" fillId="12" borderId="1" xfId="0" applyFont="1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 vertical="top" wrapText="1"/>
    </xf>
    <xf numFmtId="0" fontId="0" fillId="3" borderId="16" xfId="0" applyFill="1" applyBorder="1" applyAlignment="1" applyProtection="1">
      <alignment horizontal="left" vertical="top" wrapText="1"/>
    </xf>
    <xf numFmtId="0" fontId="0" fillId="3" borderId="17" xfId="0" applyFill="1" applyBorder="1" applyAlignment="1" applyProtection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left"/>
    </xf>
    <xf numFmtId="0" fontId="11" fillId="3" borderId="1" xfId="0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right" vertical="center"/>
    </xf>
    <xf numFmtId="0" fontId="27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wrapText="1"/>
    </xf>
    <xf numFmtId="0" fontId="32" fillId="0" borderId="0" xfId="5" applyFont="1" applyAlignment="1">
      <alignment horizontal="left" vertical="top" wrapText="1"/>
    </xf>
    <xf numFmtId="0" fontId="32" fillId="0" borderId="0" xfId="0" applyFont="1" applyFill="1" applyAlignment="1">
      <alignment horizontal="left" vertical="top" wrapText="1"/>
    </xf>
    <xf numFmtId="0" fontId="32" fillId="0" borderId="0" xfId="5" applyFont="1" applyFill="1" applyAlignment="1">
      <alignment horizontal="left" vertical="top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4" xfId="0" applyFont="1" applyFill="1" applyBorder="1" applyAlignment="1">
      <alignment horizontal="left" vertical="center" wrapText="1"/>
    </xf>
    <xf numFmtId="0" fontId="38" fillId="0" borderId="23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horizontal="left" vertical="center" wrapText="1"/>
    </xf>
    <xf numFmtId="0" fontId="36" fillId="0" borderId="0" xfId="4" applyFont="1" applyFill="1" applyAlignment="1">
      <alignment horizontal="left" vertical="top" wrapText="1"/>
    </xf>
    <xf numFmtId="0" fontId="34" fillId="0" borderId="0" xfId="5" applyFont="1" applyFill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31" fillId="0" borderId="0" xfId="5" applyFont="1" applyAlignment="1">
      <alignment horizontal="center" vertical="top" wrapText="1"/>
    </xf>
    <xf numFmtId="0" fontId="33" fillId="0" borderId="0" xfId="5" applyFont="1" applyAlignment="1">
      <alignment horizontal="left" vertical="top" wrapText="1"/>
    </xf>
  </cellXfs>
  <cellStyles count="7">
    <cellStyle name="Dziesiętny 2" xfId="6"/>
    <cellStyle name="Hiperłącze" xfId="4" builtinId="8"/>
    <cellStyle name="Normal 2" xfId="1"/>
    <cellStyle name="Normalny" xfId="0" builtinId="0"/>
    <cellStyle name="Normalny 2" xfId="5"/>
    <cellStyle name="Procentowy" xfId="2" builtinId="5"/>
    <cellStyle name="Procentowy 2" xfId="3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okik.gov.pl/stopa_referencyjna_i_archiwum.php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127001</xdr:colOff>
      <xdr:row>11</xdr:row>
      <xdr:rowOff>34395</xdr:rowOff>
    </xdr:from>
    <xdr:to>
      <xdr:col>18</xdr:col>
      <xdr:colOff>1262063</xdr:colOff>
      <xdr:row>13</xdr:row>
      <xdr:rowOff>117739</xdr:rowOff>
    </xdr:to>
    <xdr:sp macro="" textlink="">
      <xdr:nvSpPr>
        <xdr:cNvPr id="2" name="pole tekstowe 1">
          <a:hlinkClick xmlns:r="http://schemas.openxmlformats.org/officeDocument/2006/relationships" r:id="rId1"/>
        </xdr:cNvPr>
        <xdr:cNvSpPr txBox="1"/>
      </xdr:nvSpPr>
      <xdr:spPr>
        <a:xfrm>
          <a:off x="1746251" y="34395"/>
          <a:ext cx="408781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Aktualną</a:t>
          </a:r>
          <a:r>
            <a:rPr lang="pl-PL" sz="1100" baseline="0"/>
            <a:t> wysokość stopy bazowej należy sprawdzić na stronie:</a:t>
          </a:r>
        </a:p>
        <a:p>
          <a:r>
            <a:rPr lang="pl-PL" sz="1100"/>
            <a:t>https://www.uokik.gov.pl/stopa_referencyjna_i_archiwum.php</a:t>
          </a:r>
        </a:p>
        <a:p>
          <a:endParaRPr lang="pl-PL" sz="1100"/>
        </a:p>
      </xdr:txBody>
    </xdr:sp>
    <xdr:clientData/>
  </xdr:twoCellAnchor>
  <xdr:twoCellAnchor>
    <xdr:from>
      <xdr:col>11</xdr:col>
      <xdr:colOff>8659</xdr:colOff>
      <xdr:row>13</xdr:row>
      <xdr:rowOff>132411</xdr:rowOff>
    </xdr:from>
    <xdr:to>
      <xdr:col>11</xdr:col>
      <xdr:colOff>455324</xdr:colOff>
      <xdr:row>15</xdr:row>
      <xdr:rowOff>86591</xdr:rowOff>
    </xdr:to>
    <xdr:cxnSp macro="">
      <xdr:nvCxnSpPr>
        <xdr:cNvPr id="14" name="Łącznik prosty ze strzałką 13"/>
        <xdr:cNvCxnSpPr/>
      </xdr:nvCxnSpPr>
      <xdr:spPr>
        <a:xfrm flipH="1">
          <a:off x="3151909" y="513411"/>
          <a:ext cx="446665" cy="33518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95250</xdr:rowOff>
        </xdr:from>
        <xdr:to>
          <xdr:col>10</xdr:col>
          <xdr:colOff>447675</xdr:colOff>
          <xdr:row>55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u_Microsoft_Word_97_2003.doc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pl/web/nfosigw/kalkulatory-pomocy-publiczn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2"/>
  <sheetViews>
    <sheetView showGridLines="0" tabSelected="1" zoomScale="90" zoomScaleNormal="90" workbookViewId="0">
      <selection activeCell="C3" sqref="C3:H3"/>
    </sheetView>
  </sheetViews>
  <sheetFormatPr defaultColWidth="9.140625" defaultRowHeight="15" x14ac:dyDescent="0.25"/>
  <cols>
    <col min="1" max="1" width="5.7109375" style="2" customWidth="1"/>
    <col min="2" max="2" width="19.140625" style="2" customWidth="1"/>
    <col min="3" max="3" width="22.28515625" style="2" customWidth="1"/>
    <col min="4" max="4" width="50.7109375" style="2" customWidth="1"/>
    <col min="5" max="5" width="17.28515625" style="2" customWidth="1"/>
    <col min="6" max="6" width="17.7109375" style="2" customWidth="1"/>
    <col min="7" max="7" width="20" style="2" customWidth="1"/>
    <col min="8" max="8" width="17.7109375" style="2" customWidth="1"/>
    <col min="9" max="9" width="28.7109375" style="2" customWidth="1"/>
    <col min="10" max="10" width="5.42578125" style="2" customWidth="1"/>
    <col min="11" max="11" width="41" style="2" hidden="1" customWidth="1"/>
    <col min="12" max="12" width="26.42578125" style="2" hidden="1" customWidth="1"/>
    <col min="13" max="13" width="19.7109375" style="2" hidden="1" customWidth="1"/>
    <col min="14" max="14" width="11.5703125" style="2" customWidth="1"/>
    <col min="15" max="15" width="12.28515625" style="2" customWidth="1"/>
    <col min="16" max="16" width="11.28515625" style="2" customWidth="1"/>
    <col min="17" max="18" width="12.42578125" style="2" customWidth="1"/>
    <col min="19" max="23" width="9.140625" style="2" customWidth="1"/>
    <col min="24" max="16384" width="9.140625" style="2"/>
  </cols>
  <sheetData>
    <row r="1" spans="1:13" s="167" customFormat="1" ht="31.5" customHeight="1" x14ac:dyDescent="0.25">
      <c r="A1" s="217" t="s">
        <v>255</v>
      </c>
      <c r="B1" s="217"/>
      <c r="C1" s="217"/>
      <c r="D1" s="217"/>
      <c r="E1" s="217"/>
      <c r="F1" s="217"/>
      <c r="G1" s="217"/>
      <c r="H1" s="217"/>
    </row>
    <row r="2" spans="1:13" ht="15" customHeight="1" x14ac:dyDescent="0.25">
      <c r="A2" s="176"/>
      <c r="B2" s="176"/>
      <c r="C2" s="176"/>
      <c r="D2" s="176"/>
      <c r="E2" s="176"/>
      <c r="F2" s="176"/>
      <c r="G2" s="176"/>
      <c r="H2" s="176"/>
    </row>
    <row r="3" spans="1:13" s="169" customFormat="1" ht="15" customHeight="1" x14ac:dyDescent="0.25">
      <c r="A3" s="234" t="s">
        <v>178</v>
      </c>
      <c r="B3" s="234"/>
      <c r="C3" s="229"/>
      <c r="D3" s="229"/>
      <c r="E3" s="229"/>
      <c r="F3" s="229"/>
      <c r="G3" s="229"/>
      <c r="H3" s="229"/>
    </row>
    <row r="4" spans="1:13" s="169" customFormat="1" ht="9.75" customHeight="1" x14ac:dyDescent="0.25">
      <c r="A4" s="170"/>
      <c r="B4" s="170"/>
      <c r="C4" s="170"/>
      <c r="D4" s="171"/>
      <c r="E4" s="171"/>
      <c r="F4" s="171"/>
      <c r="G4" s="171"/>
    </row>
    <row r="5" spans="1:13" s="169" customFormat="1" ht="32.25" customHeight="1" x14ac:dyDescent="0.25">
      <c r="A5" s="234" t="s">
        <v>179</v>
      </c>
      <c r="B5" s="234"/>
      <c r="C5" s="230"/>
      <c r="D5" s="230"/>
      <c r="E5" s="230"/>
      <c r="F5" s="230"/>
      <c r="G5" s="230"/>
      <c r="H5" s="230"/>
    </row>
    <row r="6" spans="1:13" ht="21.75" customHeight="1" x14ac:dyDescent="0.25">
      <c r="A6" s="176"/>
      <c r="B6" s="176"/>
      <c r="C6" s="176"/>
      <c r="D6" s="176"/>
      <c r="E6" s="176"/>
      <c r="F6" s="176"/>
      <c r="G6" s="176"/>
      <c r="H6" s="176"/>
      <c r="K6" s="22"/>
    </row>
    <row r="7" spans="1:13" ht="15" hidden="1" customHeight="1" x14ac:dyDescent="0.25">
      <c r="A7" s="238" t="s">
        <v>160</v>
      </c>
      <c r="B7" s="238"/>
      <c r="C7" s="177">
        <v>2018</v>
      </c>
      <c r="D7" s="176"/>
      <c r="E7" s="176"/>
      <c r="F7" s="176"/>
      <c r="G7" s="176"/>
      <c r="H7" s="176"/>
      <c r="K7" s="71"/>
      <c r="L7" s="72"/>
    </row>
    <row r="8" spans="1:13" ht="15" hidden="1" customHeight="1" x14ac:dyDescent="0.25">
      <c r="A8" s="238" t="s">
        <v>161</v>
      </c>
      <c r="B8" s="238"/>
      <c r="C8" s="178">
        <v>2.8500000000000001E-2</v>
      </c>
      <c r="D8" s="176"/>
      <c r="E8" s="176"/>
      <c r="F8" s="176"/>
      <c r="G8" s="176"/>
      <c r="H8" s="176"/>
      <c r="K8" s="22"/>
    </row>
    <row r="9" spans="1:13" ht="15" hidden="1" customHeight="1" x14ac:dyDescent="0.25">
      <c r="A9" s="179"/>
      <c r="B9" s="179"/>
      <c r="C9" s="180"/>
      <c r="D9" s="176"/>
      <c r="E9" s="176"/>
      <c r="F9" s="176"/>
      <c r="G9" s="176"/>
      <c r="H9" s="176"/>
      <c r="K9" s="71"/>
      <c r="L9" s="168"/>
    </row>
    <row r="10" spans="1:13" ht="18" customHeight="1" x14ac:dyDescent="0.25">
      <c r="A10" s="236" t="s">
        <v>23</v>
      </c>
      <c r="B10" s="236"/>
      <c r="C10" s="236"/>
      <c r="D10" s="181" t="s">
        <v>25</v>
      </c>
      <c r="E10" s="176"/>
      <c r="F10" s="176"/>
      <c r="G10" s="176"/>
      <c r="H10" s="176"/>
      <c r="K10" s="71"/>
      <c r="L10" s="168"/>
    </row>
    <row r="11" spans="1:13" ht="18" customHeight="1" x14ac:dyDescent="0.25">
      <c r="A11" s="239" t="s">
        <v>215</v>
      </c>
      <c r="B11" s="240"/>
      <c r="C11" s="241"/>
      <c r="D11" s="181" t="s">
        <v>246</v>
      </c>
      <c r="E11" s="176"/>
      <c r="F11" s="176"/>
      <c r="G11" s="176"/>
      <c r="H11" s="176"/>
      <c r="K11" s="71"/>
      <c r="L11" s="168"/>
    </row>
    <row r="12" spans="1:13" ht="18" customHeight="1" x14ac:dyDescent="0.25">
      <c r="A12" s="236" t="s">
        <v>41</v>
      </c>
      <c r="B12" s="236"/>
      <c r="C12" s="236"/>
      <c r="D12" s="181" t="s">
        <v>44</v>
      </c>
      <c r="E12" s="176"/>
      <c r="F12" s="176"/>
      <c r="G12" s="176"/>
      <c r="H12" s="176"/>
      <c r="K12" s="71"/>
      <c r="L12" s="168"/>
    </row>
    <row r="13" spans="1:13" ht="18" hidden="1" customHeight="1" x14ac:dyDescent="0.25">
      <c r="A13" s="236" t="s">
        <v>169</v>
      </c>
      <c r="B13" s="236"/>
      <c r="C13" s="236"/>
      <c r="D13" s="181" t="s">
        <v>170</v>
      </c>
      <c r="E13" s="243"/>
      <c r="F13" s="244"/>
      <c r="G13" s="244"/>
      <c r="H13" s="182"/>
      <c r="K13" s="71"/>
      <c r="L13" s="163"/>
    </row>
    <row r="14" spans="1:13" ht="18" customHeight="1" x14ac:dyDescent="0.25">
      <c r="A14" s="236" t="s">
        <v>24</v>
      </c>
      <c r="B14" s="236"/>
      <c r="C14" s="236"/>
      <c r="D14" s="181" t="s">
        <v>253</v>
      </c>
      <c r="E14" s="243"/>
      <c r="F14" s="244"/>
      <c r="G14" s="244"/>
      <c r="H14" s="182"/>
      <c r="K14" s="71"/>
      <c r="L14" s="163"/>
    </row>
    <row r="15" spans="1:13" ht="18" customHeight="1" x14ac:dyDescent="0.25">
      <c r="A15" s="236" t="str">
        <f>IF(OR(D14=M51,D14=M52),"Moc elektryczna [MW]","Moc cieplna [MW]")</f>
        <v>Moc elektryczna [MW]</v>
      </c>
      <c r="B15" s="236"/>
      <c r="C15" s="236"/>
      <c r="D15" s="183"/>
      <c r="E15" s="243"/>
      <c r="F15" s="244"/>
      <c r="G15" s="244"/>
      <c r="H15" s="182"/>
      <c r="K15" s="71"/>
      <c r="L15" s="163"/>
    </row>
    <row r="16" spans="1:13" ht="18" customHeight="1" x14ac:dyDescent="0.25">
      <c r="A16" s="237" t="str">
        <f>IF(OR(D14=M51,D14=M52),"Średnia roczna produkcja energii elektrycznej  [MWh/r]","Średnia roczna produkcja energii cieplnej  [GJ/r]")</f>
        <v>Średnia roczna produkcja energii elektrycznej  [MWh/r]</v>
      </c>
      <c r="B16" s="237"/>
      <c r="C16" s="237"/>
      <c r="D16" s="235"/>
      <c r="E16" s="243"/>
      <c r="F16" s="244"/>
      <c r="G16" s="244"/>
      <c r="H16" s="182"/>
      <c r="K16" s="242" t="s">
        <v>72</v>
      </c>
      <c r="L16" s="242"/>
      <c r="M16" s="242"/>
    </row>
    <row r="17" spans="1:13" s="1" customFormat="1" ht="18" customHeight="1" x14ac:dyDescent="0.25">
      <c r="A17" s="237"/>
      <c r="B17" s="237"/>
      <c r="C17" s="237"/>
      <c r="D17" s="235"/>
      <c r="E17" s="243"/>
      <c r="F17" s="244"/>
      <c r="G17" s="244"/>
      <c r="H17" s="182"/>
      <c r="K17" s="242"/>
      <c r="L17" s="242"/>
      <c r="M17" s="242"/>
    </row>
    <row r="18" spans="1:13" s="1" customFormat="1" ht="18" customHeight="1" x14ac:dyDescent="0.25">
      <c r="A18" s="246" t="s">
        <v>47</v>
      </c>
      <c r="B18" s="246"/>
      <c r="C18" s="246"/>
      <c r="D18" s="184">
        <f>K18+VLOOKUP(D10,I51:J67,2,FALSE)+VLOOKUP(D12,K51:L54,2,FALSE)</f>
        <v>0.35</v>
      </c>
      <c r="E18" s="185"/>
      <c r="F18" s="186"/>
      <c r="G18" s="182"/>
      <c r="H18" s="182"/>
      <c r="K18" s="173">
        <f>IF(OR(AND(VLOOKUP(D14,M51:O56,3,FALSE)="elektr",VLOOKUP(D14,M51:O56,2,FALSE)="prod",D16&lt;400),AND(VLOOKUP(D14,M51:O56,3,FALSE)="elektr",VLOOKUP(D14,M51:O56,2,FALSE)="moc",D15&lt;0.05)),0.3,0.45)</f>
        <v>0.3</v>
      </c>
      <c r="L18" s="1" t="s">
        <v>189</v>
      </c>
    </row>
    <row r="19" spans="1:13" ht="18" customHeight="1" x14ac:dyDescent="0.25">
      <c r="A19" s="245" t="s">
        <v>49</v>
      </c>
      <c r="B19" s="245"/>
      <c r="C19" s="245"/>
      <c r="D19" s="206">
        <f>IF(D13="budowa instalacji",ROUNDUP(IF(K18=0.3,0,IF(AND(VLOOKUP(D14,M51:O56,3,FALSE)="elektr",VLOOKUP(D14,M51:O56,2,FALSE)="prod"),D16*K92,IF(AND(VLOOKUP(D14,M51:O56,3,FALSE)="elektr",VLOOKUP(D14,M51:O56,2,FALSE)="moc"),D15*K84,IF(AND(VLOOKUP(D14,M51:O56,3,FALSE)="ciep",VLOOKUP(D14,M51:O56,2,FALSE)="moc"),D15*K68,D16*O66)))),2),"proszę wpisać w komórce obok --&gt;")</f>
        <v>0</v>
      </c>
      <c r="E19" s="207"/>
      <c r="F19" s="187"/>
      <c r="G19" s="187"/>
      <c r="H19" s="176"/>
    </row>
    <row r="20" spans="1:13" ht="24.75" customHeight="1" x14ac:dyDescent="0.25">
      <c r="A20" s="176"/>
      <c r="B20" s="176"/>
      <c r="C20" s="176"/>
      <c r="D20" s="176"/>
      <c r="E20" s="176"/>
      <c r="F20" s="176"/>
      <c r="G20" s="188"/>
      <c r="H20" s="176"/>
    </row>
    <row r="21" spans="1:13" s="1" customFormat="1" ht="15" customHeight="1" x14ac:dyDescent="0.25">
      <c r="A21" s="189" t="s">
        <v>166</v>
      </c>
      <c r="B21" s="189"/>
      <c r="C21" s="189"/>
      <c r="D21" s="189"/>
      <c r="E21" s="189"/>
      <c r="F21" s="189"/>
      <c r="G21" s="189"/>
      <c r="H21" s="189"/>
    </row>
    <row r="22" spans="1:13" ht="4.5" customHeight="1" x14ac:dyDescent="0.25">
      <c r="A22" s="176"/>
      <c r="B22" s="176"/>
      <c r="C22" s="176"/>
      <c r="D22" s="176"/>
      <c r="E22" s="176"/>
      <c r="F22" s="176"/>
      <c r="G22" s="176"/>
      <c r="H22" s="176"/>
    </row>
    <row r="23" spans="1:13" s="4" customFormat="1" ht="67.5" customHeight="1" x14ac:dyDescent="0.25">
      <c r="A23" s="190" t="s">
        <v>0</v>
      </c>
      <c r="B23" s="231" t="s">
        <v>1</v>
      </c>
      <c r="C23" s="232"/>
      <c r="D23" s="232"/>
      <c r="E23" s="233"/>
      <c r="F23" s="191" t="s">
        <v>176</v>
      </c>
      <c r="G23" s="191" t="s">
        <v>177</v>
      </c>
      <c r="H23" s="190" t="s">
        <v>180</v>
      </c>
    </row>
    <row r="24" spans="1:13" s="4" customFormat="1" ht="18" customHeight="1" x14ac:dyDescent="0.25">
      <c r="A24" s="175">
        <v>1</v>
      </c>
      <c r="B24" s="222" t="s">
        <v>175</v>
      </c>
      <c r="C24" s="223"/>
      <c r="D24" s="223"/>
      <c r="E24" s="224"/>
      <c r="F24" s="192"/>
      <c r="G24" s="201">
        <f>SUM(G25:G31)</f>
        <v>0</v>
      </c>
      <c r="H24" s="201">
        <f>SUM(H25:H31)</f>
        <v>0</v>
      </c>
    </row>
    <row r="25" spans="1:13" s="84" customFormat="1" ht="18" customHeight="1" x14ac:dyDescent="0.25">
      <c r="A25" s="193" t="s">
        <v>3</v>
      </c>
      <c r="B25" s="218" t="s">
        <v>174</v>
      </c>
      <c r="C25" s="219"/>
      <c r="D25" s="219"/>
      <c r="E25" s="220"/>
      <c r="F25" s="194"/>
      <c r="G25" s="202"/>
      <c r="H25" s="203">
        <f>SUM(F25:G25)</f>
        <v>0</v>
      </c>
    </row>
    <row r="26" spans="1:13" s="84" customFormat="1" ht="18" customHeight="1" x14ac:dyDescent="0.25">
      <c r="A26" s="195" t="s">
        <v>4</v>
      </c>
      <c r="B26" s="218" t="s">
        <v>5</v>
      </c>
      <c r="C26" s="219"/>
      <c r="D26" s="219"/>
      <c r="E26" s="220"/>
      <c r="F26" s="194"/>
      <c r="G26" s="202"/>
      <c r="H26" s="203">
        <f t="shared" ref="H26:H31" si="0">SUM(F26:G26)</f>
        <v>0</v>
      </c>
      <c r="K26" s="79"/>
      <c r="L26" s="85"/>
    </row>
    <row r="27" spans="1:13" s="84" customFormat="1" ht="18" customHeight="1" x14ac:dyDescent="0.25">
      <c r="A27" s="195" t="s">
        <v>6</v>
      </c>
      <c r="B27" s="218" t="s">
        <v>7</v>
      </c>
      <c r="C27" s="219"/>
      <c r="D27" s="219"/>
      <c r="E27" s="220"/>
      <c r="F27" s="194"/>
      <c r="G27" s="202"/>
      <c r="H27" s="203">
        <f t="shared" si="0"/>
        <v>0</v>
      </c>
      <c r="K27" s="86" t="s">
        <v>102</v>
      </c>
      <c r="L27" s="87" t="s">
        <v>165</v>
      </c>
    </row>
    <row r="28" spans="1:13" s="84" customFormat="1" ht="18" customHeight="1" x14ac:dyDescent="0.25">
      <c r="A28" s="193" t="s">
        <v>8</v>
      </c>
      <c r="B28" s="218" t="s">
        <v>173</v>
      </c>
      <c r="C28" s="219"/>
      <c r="D28" s="219"/>
      <c r="E28" s="220"/>
      <c r="F28" s="194"/>
      <c r="G28" s="202"/>
      <c r="H28" s="203">
        <f t="shared" si="0"/>
        <v>0</v>
      </c>
    </row>
    <row r="29" spans="1:13" s="84" customFormat="1" ht="18" customHeight="1" x14ac:dyDescent="0.25">
      <c r="A29" s="195" t="s">
        <v>9</v>
      </c>
      <c r="B29" s="218" t="s">
        <v>10</v>
      </c>
      <c r="C29" s="219"/>
      <c r="D29" s="219"/>
      <c r="E29" s="220"/>
      <c r="F29" s="194"/>
      <c r="G29" s="202"/>
      <c r="H29" s="203">
        <f t="shared" si="0"/>
        <v>0</v>
      </c>
    </row>
    <row r="30" spans="1:13" s="84" customFormat="1" ht="18" customHeight="1" x14ac:dyDescent="0.25">
      <c r="A30" s="195" t="s">
        <v>11</v>
      </c>
      <c r="B30" s="218" t="s">
        <v>12</v>
      </c>
      <c r="C30" s="219"/>
      <c r="D30" s="219"/>
      <c r="E30" s="220"/>
      <c r="F30" s="194"/>
      <c r="G30" s="202"/>
      <c r="H30" s="203">
        <f t="shared" si="0"/>
        <v>0</v>
      </c>
    </row>
    <row r="31" spans="1:13" s="84" customFormat="1" ht="18" customHeight="1" x14ac:dyDescent="0.25">
      <c r="A31" s="195" t="s">
        <v>13</v>
      </c>
      <c r="B31" s="218" t="s">
        <v>14</v>
      </c>
      <c r="C31" s="219"/>
      <c r="D31" s="219"/>
      <c r="E31" s="220"/>
      <c r="F31" s="194"/>
      <c r="G31" s="202"/>
      <c r="H31" s="203">
        <f t="shared" si="0"/>
        <v>0</v>
      </c>
    </row>
    <row r="32" spans="1:13" s="84" customFormat="1" ht="18" customHeight="1" x14ac:dyDescent="0.25">
      <c r="A32" s="174">
        <v>2</v>
      </c>
      <c r="B32" s="222" t="s">
        <v>211</v>
      </c>
      <c r="C32" s="223"/>
      <c r="D32" s="223"/>
      <c r="E32" s="224"/>
      <c r="F32" s="204">
        <f t="shared" ref="F32:G32" si="1">SUM(F33:F37)</f>
        <v>0</v>
      </c>
      <c r="G32" s="204">
        <f t="shared" si="1"/>
        <v>0</v>
      </c>
      <c r="H32" s="204">
        <f>SUM(H33:H37)</f>
        <v>0</v>
      </c>
    </row>
    <row r="33" spans="1:12" s="84" customFormat="1" ht="18" customHeight="1" x14ac:dyDescent="0.25">
      <c r="A33" s="195" t="s">
        <v>15</v>
      </c>
      <c r="B33" s="218" t="s">
        <v>18</v>
      </c>
      <c r="C33" s="219"/>
      <c r="D33" s="219"/>
      <c r="E33" s="220"/>
      <c r="F33" s="202"/>
      <c r="G33" s="202"/>
      <c r="H33" s="203">
        <f t="shared" ref="H33:H37" si="2">SUM(F33:G33)</f>
        <v>0</v>
      </c>
    </row>
    <row r="34" spans="1:12" s="84" customFormat="1" ht="18" customHeight="1" x14ac:dyDescent="0.25">
      <c r="A34" s="195" t="s">
        <v>16</v>
      </c>
      <c r="B34" s="226" t="s">
        <v>20</v>
      </c>
      <c r="C34" s="227"/>
      <c r="D34" s="227"/>
      <c r="E34" s="228"/>
      <c r="F34" s="202"/>
      <c r="G34" s="202"/>
      <c r="H34" s="203">
        <f t="shared" si="2"/>
        <v>0</v>
      </c>
    </row>
    <row r="35" spans="1:12" s="84" customFormat="1" ht="18" customHeight="1" x14ac:dyDescent="0.25">
      <c r="A35" s="195" t="s">
        <v>17</v>
      </c>
      <c r="B35" s="226" t="s">
        <v>20</v>
      </c>
      <c r="C35" s="227"/>
      <c r="D35" s="227"/>
      <c r="E35" s="228"/>
      <c r="F35" s="202"/>
      <c r="G35" s="202"/>
      <c r="H35" s="203">
        <f t="shared" si="2"/>
        <v>0</v>
      </c>
      <c r="K35" s="88"/>
      <c r="L35" s="89"/>
    </row>
    <row r="36" spans="1:12" s="84" customFormat="1" ht="18" customHeight="1" x14ac:dyDescent="0.25">
      <c r="A36" s="195" t="s">
        <v>19</v>
      </c>
      <c r="B36" s="226" t="s">
        <v>20</v>
      </c>
      <c r="C36" s="227"/>
      <c r="D36" s="227"/>
      <c r="E36" s="228"/>
      <c r="F36" s="202"/>
      <c r="G36" s="202"/>
      <c r="H36" s="203">
        <f t="shared" si="2"/>
        <v>0</v>
      </c>
    </row>
    <row r="37" spans="1:12" s="84" customFormat="1" ht="18" customHeight="1" x14ac:dyDescent="0.25">
      <c r="A37" s="195" t="s">
        <v>21</v>
      </c>
      <c r="B37" s="226" t="s">
        <v>20</v>
      </c>
      <c r="C37" s="227"/>
      <c r="D37" s="227"/>
      <c r="E37" s="228"/>
      <c r="F37" s="202"/>
      <c r="G37" s="202"/>
      <c r="H37" s="203">
        <f t="shared" si="2"/>
        <v>0</v>
      </c>
    </row>
    <row r="38" spans="1:12" s="84" customFormat="1" ht="19.5" customHeight="1" x14ac:dyDescent="0.25">
      <c r="A38" s="174">
        <v>3</v>
      </c>
      <c r="B38" s="222" t="s">
        <v>22</v>
      </c>
      <c r="C38" s="223"/>
      <c r="D38" s="223"/>
      <c r="E38" s="224"/>
      <c r="F38" s="205"/>
      <c r="G38" s="205"/>
      <c r="H38" s="204">
        <f>+H24+H32</f>
        <v>0</v>
      </c>
      <c r="K38" s="9"/>
      <c r="L38" s="90"/>
    </row>
    <row r="39" spans="1:12" s="84" customFormat="1" ht="19.5" customHeight="1" x14ac:dyDescent="0.25">
      <c r="A39" s="174">
        <v>4</v>
      </c>
      <c r="B39" s="222" t="s">
        <v>164</v>
      </c>
      <c r="C39" s="223"/>
      <c r="D39" s="223"/>
      <c r="E39" s="223"/>
      <c r="F39" s="223"/>
      <c r="G39" s="224"/>
      <c r="H39" s="204">
        <f>IF(D13="budowa instalacji",D19,E19)</f>
        <v>0</v>
      </c>
      <c r="K39" s="10"/>
      <c r="L39" s="91"/>
    </row>
    <row r="40" spans="1:12" s="84" customFormat="1" ht="19.5" customHeight="1" x14ac:dyDescent="0.25">
      <c r="A40" s="175">
        <v>5</v>
      </c>
      <c r="B40" s="222" t="s">
        <v>181</v>
      </c>
      <c r="C40" s="223"/>
      <c r="D40" s="223"/>
      <c r="E40" s="223"/>
      <c r="F40" s="223"/>
      <c r="G40" s="224"/>
      <c r="H40" s="204">
        <f>H24-H39</f>
        <v>0</v>
      </c>
      <c r="K40" s="92"/>
      <c r="L40" s="93"/>
    </row>
    <row r="41" spans="1:12" s="84" customFormat="1" ht="19.5" customHeight="1" x14ac:dyDescent="0.25">
      <c r="A41" s="175">
        <v>6</v>
      </c>
      <c r="B41" s="222" t="s">
        <v>182</v>
      </c>
      <c r="C41" s="223"/>
      <c r="D41" s="223"/>
      <c r="E41" s="223"/>
      <c r="F41" s="223"/>
      <c r="G41" s="224"/>
      <c r="H41" s="196">
        <f>D18</f>
        <v>0.35</v>
      </c>
      <c r="K41" s="94"/>
      <c r="L41" s="95"/>
    </row>
    <row r="42" spans="1:12" s="84" customFormat="1" ht="19.5" customHeight="1" x14ac:dyDescent="0.25">
      <c r="A42" s="175">
        <v>7</v>
      </c>
      <c r="B42" s="222" t="s">
        <v>183</v>
      </c>
      <c r="C42" s="223"/>
      <c r="D42" s="223"/>
      <c r="E42" s="223"/>
      <c r="F42" s="223"/>
      <c r="G42" s="224"/>
      <c r="H42" s="204">
        <f>ROUNDDOWN(H41*H40,2)</f>
        <v>0</v>
      </c>
      <c r="K42" s="94"/>
      <c r="L42" s="95"/>
    </row>
    <row r="43" spans="1:12" s="4" customFormat="1" ht="7.5" customHeight="1" x14ac:dyDescent="0.25">
      <c r="A43" s="6"/>
      <c r="B43" s="6"/>
      <c r="C43" s="6"/>
      <c r="D43" s="7"/>
      <c r="E43" s="7"/>
      <c r="F43" s="7"/>
      <c r="G43" s="7"/>
      <c r="H43" s="8"/>
      <c r="K43" s="13"/>
      <c r="L43" s="12"/>
    </row>
    <row r="44" spans="1:12" s="4" customFormat="1" ht="15" customHeight="1" x14ac:dyDescent="0.25">
      <c r="A44" s="225" t="s">
        <v>208</v>
      </c>
      <c r="B44" s="225"/>
      <c r="C44" s="225"/>
      <c r="D44" s="225"/>
      <c r="E44" s="225"/>
      <c r="F44" s="225"/>
      <c r="G44" s="225"/>
      <c r="H44" s="225"/>
      <c r="I44" s="69"/>
    </row>
    <row r="45" spans="1:12" s="4" customFormat="1" ht="15" customHeight="1" x14ac:dyDescent="0.25">
      <c r="A45" s="225"/>
      <c r="B45" s="225"/>
      <c r="C45" s="225"/>
      <c r="D45" s="225"/>
      <c r="E45" s="225"/>
      <c r="F45" s="225"/>
      <c r="G45" s="225"/>
      <c r="H45" s="225"/>
      <c r="I45" s="69"/>
    </row>
    <row r="46" spans="1:12" s="4" customFormat="1" ht="16.5" customHeight="1" x14ac:dyDescent="0.25">
      <c r="A46" s="225"/>
      <c r="B46" s="225"/>
      <c r="C46" s="225"/>
      <c r="D46" s="225"/>
      <c r="E46" s="225"/>
      <c r="F46" s="225"/>
      <c r="G46" s="225"/>
      <c r="H46" s="225"/>
      <c r="I46" s="69"/>
    </row>
    <row r="47" spans="1:12" s="3" customFormat="1" ht="15" customHeight="1" x14ac:dyDescent="0.2"/>
    <row r="48" spans="1:12" s="3" customFormat="1" ht="15" hidden="1" customHeight="1" x14ac:dyDescent="0.2">
      <c r="A48" s="221"/>
      <c r="B48" s="221"/>
      <c r="C48" s="221"/>
      <c r="D48" s="221"/>
      <c r="E48" s="221"/>
      <c r="F48" s="221"/>
      <c r="G48" s="221"/>
      <c r="H48" s="221"/>
    </row>
    <row r="49" spans="2:16" ht="15" hidden="1" customHeight="1" x14ac:dyDescent="0.25">
      <c r="B49" s="70"/>
      <c r="C49" s="70"/>
      <c r="D49" s="70" t="b">
        <f>VLOOKUP(D14,M51:O56,3,FALSE)="elektr"</f>
        <v>1</v>
      </c>
      <c r="E49" s="70"/>
      <c r="F49" s="70"/>
      <c r="G49" s="70"/>
      <c r="H49" s="70"/>
      <c r="I49" s="70"/>
    </row>
    <row r="50" spans="2:16" hidden="1" x14ac:dyDescent="0.25">
      <c r="F50" s="208" t="s">
        <v>218</v>
      </c>
      <c r="I50" s="1" t="s">
        <v>45</v>
      </c>
      <c r="K50" s="1" t="s">
        <v>46</v>
      </c>
      <c r="M50" s="2" t="s">
        <v>48</v>
      </c>
      <c r="P50" s="2" t="s">
        <v>172</v>
      </c>
    </row>
    <row r="51" spans="2:16" hidden="1" x14ac:dyDescent="0.25">
      <c r="D51" s="2" t="b">
        <f>D16&gt;=400</f>
        <v>0</v>
      </c>
      <c r="F51" s="112" t="s">
        <v>246</v>
      </c>
      <c r="G51" s="210">
        <v>0</v>
      </c>
      <c r="I51" s="96" t="s">
        <v>25</v>
      </c>
      <c r="J51" s="14">
        <v>0.05</v>
      </c>
      <c r="K51" s="96" t="s">
        <v>44</v>
      </c>
      <c r="L51" s="14">
        <v>0</v>
      </c>
      <c r="M51" s="96" t="s">
        <v>184</v>
      </c>
      <c r="N51" s="14" t="s">
        <v>70</v>
      </c>
      <c r="O51" s="14" t="s">
        <v>187</v>
      </c>
      <c r="P51" s="96" t="s">
        <v>170</v>
      </c>
    </row>
    <row r="52" spans="2:16" hidden="1" x14ac:dyDescent="0.25">
      <c r="F52" s="209" t="s">
        <v>219</v>
      </c>
      <c r="G52" s="14">
        <v>0.05</v>
      </c>
      <c r="I52" s="96" t="s">
        <v>26</v>
      </c>
      <c r="J52" s="14">
        <v>0.15</v>
      </c>
      <c r="K52" s="96" t="s">
        <v>43</v>
      </c>
      <c r="L52" s="14">
        <v>0.1</v>
      </c>
      <c r="M52" s="96" t="s">
        <v>253</v>
      </c>
      <c r="N52" s="172" t="s">
        <v>69</v>
      </c>
      <c r="O52" s="172" t="s">
        <v>187</v>
      </c>
      <c r="P52" s="96" t="s">
        <v>171</v>
      </c>
    </row>
    <row r="53" spans="2:16" hidden="1" x14ac:dyDescent="0.25">
      <c r="F53" s="209" t="s">
        <v>220</v>
      </c>
      <c r="G53" s="14">
        <v>0.05</v>
      </c>
      <c r="I53" s="96" t="s">
        <v>27</v>
      </c>
      <c r="J53" s="14">
        <v>0.15</v>
      </c>
      <c r="K53" s="96" t="s">
        <v>42</v>
      </c>
      <c r="L53" s="14">
        <v>0.2</v>
      </c>
      <c r="M53" s="96" t="s">
        <v>185</v>
      </c>
      <c r="N53" s="14" t="s">
        <v>70</v>
      </c>
      <c r="O53" s="14" t="s">
        <v>188</v>
      </c>
    </row>
    <row r="54" spans="2:16" hidden="1" x14ac:dyDescent="0.25">
      <c r="F54" s="209" t="s">
        <v>221</v>
      </c>
      <c r="G54" s="14">
        <v>0.05</v>
      </c>
      <c r="I54" s="96" t="s">
        <v>28</v>
      </c>
      <c r="J54" s="14">
        <v>0.15</v>
      </c>
      <c r="K54" s="96" t="s">
        <v>40</v>
      </c>
      <c r="L54" s="14">
        <v>0.2</v>
      </c>
      <c r="M54" s="96" t="s">
        <v>186</v>
      </c>
      <c r="N54" s="14" t="s">
        <v>69</v>
      </c>
      <c r="O54" s="14" t="s">
        <v>188</v>
      </c>
    </row>
    <row r="55" spans="2:16" hidden="1" x14ac:dyDescent="0.25">
      <c r="F55" s="209" t="s">
        <v>222</v>
      </c>
      <c r="G55" s="14">
        <v>0.05</v>
      </c>
      <c r="I55" s="96" t="s">
        <v>29</v>
      </c>
      <c r="J55" s="14">
        <v>0.15</v>
      </c>
      <c r="K55" s="4"/>
      <c r="M55" s="96" t="s">
        <v>71</v>
      </c>
      <c r="N55" s="14" t="s">
        <v>69</v>
      </c>
      <c r="O55" s="14" t="s">
        <v>188</v>
      </c>
    </row>
    <row r="56" spans="2:16" hidden="1" x14ac:dyDescent="0.25">
      <c r="F56" s="209" t="s">
        <v>223</v>
      </c>
      <c r="G56" s="14">
        <v>0.05</v>
      </c>
      <c r="I56" s="96" t="s">
        <v>30</v>
      </c>
      <c r="J56" s="14">
        <v>0.15</v>
      </c>
      <c r="K56" s="4"/>
      <c r="M56" s="96" t="s">
        <v>252</v>
      </c>
      <c r="N56" s="14" t="s">
        <v>69</v>
      </c>
      <c r="O56" s="14" t="s">
        <v>188</v>
      </c>
    </row>
    <row r="57" spans="2:16" hidden="1" x14ac:dyDescent="0.25">
      <c r="F57" s="209" t="s">
        <v>224</v>
      </c>
      <c r="G57" s="14">
        <v>0.05</v>
      </c>
      <c r="I57" s="96" t="s">
        <v>216</v>
      </c>
      <c r="J57" s="14">
        <v>0.15</v>
      </c>
      <c r="K57" s="4"/>
    </row>
    <row r="58" spans="2:16" hidden="1" x14ac:dyDescent="0.25">
      <c r="F58" s="209" t="s">
        <v>225</v>
      </c>
      <c r="G58" s="14">
        <v>0.05</v>
      </c>
      <c r="I58" s="96" t="s">
        <v>217</v>
      </c>
      <c r="J58" s="210">
        <f>VLOOKUP(D11,F51:G78,2,FALSE)</f>
        <v>0</v>
      </c>
      <c r="K58" s="4"/>
    </row>
    <row r="59" spans="2:16" hidden="1" x14ac:dyDescent="0.25">
      <c r="F59" s="209" t="s">
        <v>226</v>
      </c>
      <c r="G59" s="14">
        <v>0.05</v>
      </c>
      <c r="I59" s="96" t="s">
        <v>31</v>
      </c>
      <c r="J59" s="14">
        <v>0.15</v>
      </c>
      <c r="K59" s="4"/>
    </row>
    <row r="60" spans="2:16" hidden="1" x14ac:dyDescent="0.25">
      <c r="F60" s="209" t="s">
        <v>227</v>
      </c>
      <c r="G60" s="14">
        <v>0.05</v>
      </c>
      <c r="I60" s="96" t="s">
        <v>32</v>
      </c>
      <c r="J60" s="14">
        <v>0.15</v>
      </c>
    </row>
    <row r="61" spans="2:16" hidden="1" x14ac:dyDescent="0.25">
      <c r="F61" s="209" t="s">
        <v>228</v>
      </c>
      <c r="G61" s="14">
        <v>0.05</v>
      </c>
      <c r="I61" s="96" t="s">
        <v>33</v>
      </c>
      <c r="J61" s="14">
        <v>0.15</v>
      </c>
    </row>
    <row r="62" spans="2:16" hidden="1" x14ac:dyDescent="0.25">
      <c r="F62" s="209" t="s">
        <v>229</v>
      </c>
      <c r="G62" s="14">
        <v>0.05</v>
      </c>
      <c r="I62" s="96" t="s">
        <v>34</v>
      </c>
      <c r="J62" s="14">
        <v>0.15</v>
      </c>
    </row>
    <row r="63" spans="2:16" hidden="1" x14ac:dyDescent="0.25">
      <c r="F63" s="209" t="s">
        <v>230</v>
      </c>
      <c r="G63" s="14">
        <v>0.05</v>
      </c>
      <c r="I63" s="96" t="s">
        <v>35</v>
      </c>
      <c r="J63" s="14">
        <v>0.15</v>
      </c>
    </row>
    <row r="64" spans="2:16" hidden="1" x14ac:dyDescent="0.25">
      <c r="F64" s="209" t="s">
        <v>231</v>
      </c>
      <c r="G64" s="14">
        <v>0.05</v>
      </c>
      <c r="I64" s="96" t="s">
        <v>36</v>
      </c>
      <c r="J64" s="14">
        <v>0.15</v>
      </c>
      <c r="K64" s="4"/>
      <c r="N64" s="2" t="s">
        <v>66</v>
      </c>
      <c r="O64" s="2" t="s">
        <v>67</v>
      </c>
    </row>
    <row r="65" spans="6:23" hidden="1" x14ac:dyDescent="0.25">
      <c r="F65" s="209" t="s">
        <v>232</v>
      </c>
      <c r="G65" s="14">
        <v>0.05</v>
      </c>
      <c r="I65" s="96" t="s">
        <v>37</v>
      </c>
      <c r="J65" s="14">
        <v>0.15</v>
      </c>
      <c r="K65" s="4"/>
      <c r="M65" s="96" t="s">
        <v>64</v>
      </c>
      <c r="N65" s="2">
        <f>IF(D15&lt;=1,N71,IF(D15&lt;=5,-0.115*D15+1.145,IF(D15&lt;=15,-0.019*D15+0.665,IF(D15&lt;=40,-0.006*D15+0.47,0.23))))</f>
        <v>1.03</v>
      </c>
      <c r="O65" s="97">
        <f>+N65*1000000</f>
        <v>1030000</v>
      </c>
    </row>
    <row r="66" spans="6:23" hidden="1" x14ac:dyDescent="0.25">
      <c r="F66" s="209" t="s">
        <v>233</v>
      </c>
      <c r="G66" s="14">
        <v>0.05</v>
      </c>
      <c r="I66" s="96" t="s">
        <v>38</v>
      </c>
      <c r="J66" s="14">
        <v>0.05</v>
      </c>
      <c r="K66" s="4"/>
      <c r="M66" s="96" t="s">
        <v>65</v>
      </c>
      <c r="O66" s="98">
        <f>IF(D15&lt;=1,N72,IF(D15&lt;=5,O72+(O70-D15)*(N72-O72)/(O70-N70),IF(D15&lt;=15,P72+(P70-D15)*(O72-P72)/(P70-O70),IF(D15&lt;=25,Q72+(Q70-D15)*(P72-Q72)/(Q70-P70),IF(D15&lt;=R70,R72+(R70-D15)*(Q72-R72)/(R70-Q70),29)))))</f>
        <v>131</v>
      </c>
    </row>
    <row r="67" spans="6:23" hidden="1" x14ac:dyDescent="0.25">
      <c r="F67" s="209" t="s">
        <v>234</v>
      </c>
      <c r="G67" s="14">
        <v>0.05</v>
      </c>
      <c r="I67" s="96" t="s">
        <v>39</v>
      </c>
      <c r="J67" s="14">
        <v>0.15</v>
      </c>
      <c r="K67" s="99" t="s">
        <v>100</v>
      </c>
    </row>
    <row r="68" spans="6:23" hidden="1" x14ac:dyDescent="0.25">
      <c r="F68" s="209" t="s">
        <v>235</v>
      </c>
      <c r="G68" s="14">
        <v>0.05</v>
      </c>
      <c r="K68" s="11">
        <f>+O65</f>
        <v>1030000</v>
      </c>
      <c r="L68" s="100" t="str">
        <f>+" = koszt jedn. = "</f>
        <v xml:space="preserve"> = koszt jedn. = </v>
      </c>
      <c r="M68" s="101" t="s">
        <v>58</v>
      </c>
      <c r="O68" s="102" t="s">
        <v>59</v>
      </c>
      <c r="P68" s="103"/>
      <c r="Q68" s="103"/>
      <c r="R68" s="103"/>
      <c r="S68" s="103"/>
    </row>
    <row r="69" spans="6:23" hidden="1" x14ac:dyDescent="0.25">
      <c r="F69" s="209" t="s">
        <v>236</v>
      </c>
      <c r="G69" s="14">
        <v>0.05</v>
      </c>
      <c r="K69" s="4"/>
      <c r="M69" s="104" t="s">
        <v>50</v>
      </c>
      <c r="N69" s="105" t="s">
        <v>51</v>
      </c>
      <c r="O69" s="105" t="s">
        <v>52</v>
      </c>
      <c r="P69" s="105" t="s">
        <v>53</v>
      </c>
      <c r="Q69" s="105" t="s">
        <v>54</v>
      </c>
      <c r="R69" s="105" t="s">
        <v>55</v>
      </c>
      <c r="S69" s="105" t="s">
        <v>63</v>
      </c>
    </row>
    <row r="70" spans="6:23" hidden="1" x14ac:dyDescent="0.25">
      <c r="F70" s="209" t="s">
        <v>237</v>
      </c>
      <c r="G70" s="14">
        <v>0.05</v>
      </c>
      <c r="M70" s="106" t="s">
        <v>50</v>
      </c>
      <c r="N70" s="107">
        <v>1</v>
      </c>
      <c r="O70" s="107">
        <v>5</v>
      </c>
      <c r="P70" s="107">
        <v>15</v>
      </c>
      <c r="Q70" s="107">
        <v>25</v>
      </c>
      <c r="R70" s="107">
        <v>40</v>
      </c>
    </row>
    <row r="71" spans="6:23" hidden="1" x14ac:dyDescent="0.25">
      <c r="F71" s="209" t="s">
        <v>238</v>
      </c>
      <c r="G71" s="14">
        <v>0.05</v>
      </c>
      <c r="K71" s="4"/>
      <c r="M71" s="106" t="s">
        <v>56</v>
      </c>
      <c r="N71" s="108">
        <v>1.03</v>
      </c>
      <c r="O71" s="108">
        <v>0.56999999999999995</v>
      </c>
      <c r="P71" s="108">
        <v>0.38</v>
      </c>
      <c r="Q71" s="108">
        <v>0.32</v>
      </c>
      <c r="R71" s="108">
        <v>0.23</v>
      </c>
    </row>
    <row r="72" spans="6:23" ht="15.75" hidden="1" thickBot="1" x14ac:dyDescent="0.3">
      <c r="F72" s="209" t="s">
        <v>239</v>
      </c>
      <c r="G72" s="14">
        <v>0.05</v>
      </c>
      <c r="M72" s="109" t="s">
        <v>57</v>
      </c>
      <c r="N72" s="110">
        <v>131</v>
      </c>
      <c r="O72" s="110">
        <v>73</v>
      </c>
      <c r="P72" s="110">
        <v>49</v>
      </c>
      <c r="Q72" s="110">
        <v>40</v>
      </c>
      <c r="R72" s="110">
        <v>29</v>
      </c>
    </row>
    <row r="73" spans="6:23" hidden="1" x14ac:dyDescent="0.25">
      <c r="F73" s="209" t="s">
        <v>240</v>
      </c>
      <c r="G73" s="14">
        <v>0.05</v>
      </c>
      <c r="K73" s="5" t="s">
        <v>61</v>
      </c>
      <c r="L73" s="2">
        <v>40</v>
      </c>
      <c r="M73" s="111" t="s">
        <v>60</v>
      </c>
      <c r="O73" s="2">
        <f>-0.115*$L$73+1.145</f>
        <v>-3.4550000000000005</v>
      </c>
      <c r="P73" s="2">
        <f>-0.019*$L$73+0.665</f>
        <v>-9.4999999999999973E-2</v>
      </c>
      <c r="Q73" s="112">
        <f>-0.006*$L$73+0.47</f>
        <v>0.22999999999999998</v>
      </c>
      <c r="R73" s="112">
        <f>-0.006*$L$73+0.47</f>
        <v>0.22999999999999998</v>
      </c>
      <c r="S73" s="2">
        <v>0.23</v>
      </c>
    </row>
    <row r="74" spans="6:23" hidden="1" x14ac:dyDescent="0.25">
      <c r="F74" s="209" t="s">
        <v>241</v>
      </c>
      <c r="G74" s="14">
        <v>0.05</v>
      </c>
      <c r="M74" s="111"/>
      <c r="Q74" s="112" t="s">
        <v>62</v>
      </c>
      <c r="R74" s="112"/>
    </row>
    <row r="75" spans="6:23" hidden="1" x14ac:dyDescent="0.25">
      <c r="F75" s="209" t="s">
        <v>242</v>
      </c>
      <c r="G75" s="14">
        <v>0.05</v>
      </c>
    </row>
    <row r="76" spans="6:23" hidden="1" x14ac:dyDescent="0.25">
      <c r="F76" s="209" t="s">
        <v>243</v>
      </c>
      <c r="G76" s="14">
        <v>0.05</v>
      </c>
      <c r="M76" s="111" t="s">
        <v>68</v>
      </c>
      <c r="N76" s="113">
        <f>+N72</f>
        <v>131</v>
      </c>
    </row>
    <row r="77" spans="6:23" hidden="1" x14ac:dyDescent="0.25">
      <c r="F77" s="209" t="s">
        <v>244</v>
      </c>
      <c r="G77" s="14">
        <v>0.05</v>
      </c>
    </row>
    <row r="78" spans="6:23" hidden="1" x14ac:dyDescent="0.25">
      <c r="F78" s="209" t="s">
        <v>245</v>
      </c>
      <c r="G78" s="14">
        <v>0</v>
      </c>
    </row>
    <row r="79" spans="6:23" hidden="1" x14ac:dyDescent="0.25">
      <c r="M79" s="114" t="s">
        <v>86</v>
      </c>
      <c r="N79" s="163" t="s">
        <v>73</v>
      </c>
      <c r="O79" s="163"/>
      <c r="P79" s="163"/>
      <c r="Q79" s="163"/>
      <c r="R79" s="163"/>
      <c r="S79" s="165"/>
      <c r="T79" s="163" t="s">
        <v>74</v>
      </c>
      <c r="U79" s="166"/>
      <c r="V79" s="166"/>
      <c r="W79" s="166"/>
    </row>
    <row r="80" spans="6:23" hidden="1" x14ac:dyDescent="0.25">
      <c r="M80" s="115" t="s">
        <v>75</v>
      </c>
      <c r="N80" s="116" t="s">
        <v>88</v>
      </c>
      <c r="O80" s="117" t="s">
        <v>51</v>
      </c>
      <c r="P80" s="117" t="s">
        <v>76</v>
      </c>
      <c r="Q80" s="117" t="s">
        <v>77</v>
      </c>
      <c r="R80" s="118" t="s">
        <v>78</v>
      </c>
      <c r="S80" s="119" t="s">
        <v>79</v>
      </c>
      <c r="T80" s="120"/>
      <c r="U80" s="5" t="s">
        <v>80</v>
      </c>
      <c r="V80" s="118" t="s">
        <v>81</v>
      </c>
      <c r="W80" s="118" t="s">
        <v>82</v>
      </c>
    </row>
    <row r="81" spans="11:23" hidden="1" x14ac:dyDescent="0.25">
      <c r="L81" s="99" t="s">
        <v>89</v>
      </c>
      <c r="M81" s="121" t="s">
        <v>75</v>
      </c>
      <c r="N81" s="107">
        <v>0.4</v>
      </c>
      <c r="O81" s="107">
        <v>1</v>
      </c>
      <c r="P81" s="107">
        <v>10</v>
      </c>
      <c r="Q81" s="107">
        <v>20</v>
      </c>
      <c r="R81" s="122">
        <v>35</v>
      </c>
      <c r="S81" s="123">
        <v>50</v>
      </c>
      <c r="T81" s="122">
        <v>50</v>
      </c>
      <c r="U81" s="122">
        <v>100</v>
      </c>
      <c r="V81" s="122">
        <v>200</v>
      </c>
      <c r="W81" s="122">
        <v>460</v>
      </c>
    </row>
    <row r="82" spans="11:23" hidden="1" x14ac:dyDescent="0.25">
      <c r="L82" s="99" t="s">
        <v>90</v>
      </c>
      <c r="M82" s="124" t="s">
        <v>83</v>
      </c>
      <c r="N82" s="108">
        <v>5.44</v>
      </c>
      <c r="O82" s="108">
        <v>4.9000000000000004</v>
      </c>
      <c r="P82" s="108">
        <v>3.54</v>
      </c>
      <c r="Q82" s="108">
        <v>3.14</v>
      </c>
      <c r="R82" s="125">
        <v>2.8</v>
      </c>
      <c r="S82" s="126">
        <v>2.66</v>
      </c>
      <c r="T82" s="125">
        <v>3.82</v>
      </c>
      <c r="U82" s="125">
        <v>3.49</v>
      </c>
      <c r="V82" s="125">
        <v>2.98</v>
      </c>
      <c r="W82" s="125">
        <v>2.59</v>
      </c>
    </row>
    <row r="83" spans="11:23" ht="15.75" hidden="1" thickBot="1" x14ac:dyDescent="0.3">
      <c r="K83" s="99" t="s">
        <v>100</v>
      </c>
      <c r="M83" s="127" t="s">
        <v>84</v>
      </c>
      <c r="N83" s="110">
        <v>682</v>
      </c>
      <c r="O83" s="110">
        <v>616</v>
      </c>
      <c r="P83" s="110">
        <v>448</v>
      </c>
      <c r="Q83" s="110">
        <v>398</v>
      </c>
      <c r="R83" s="110">
        <v>357</v>
      </c>
      <c r="S83" s="128">
        <v>338</v>
      </c>
      <c r="T83" s="110">
        <v>488</v>
      </c>
      <c r="U83" s="110">
        <v>446</v>
      </c>
      <c r="V83" s="110">
        <v>380</v>
      </c>
      <c r="W83" s="110">
        <v>321</v>
      </c>
    </row>
    <row r="84" spans="11:23" s="157" customFormat="1" hidden="1" x14ac:dyDescent="0.25">
      <c r="K84" s="11">
        <f>1000000*IF(D15&lt;=0.4,N84,IF(D15&lt;=1,O84,IF(D15&lt;=10,P84,IF(D15&lt;=20,Q84,IF(D15&lt;=35,R84,IF(D15&lt;=50,S84,T84))))))</f>
        <v>5440000</v>
      </c>
      <c r="L84" s="100" t="str">
        <f>+" = koszt jedn. = "</f>
        <v xml:space="preserve"> = koszt jedn. = </v>
      </c>
      <c r="M84" s="2"/>
      <c r="N84" s="2">
        <v>5.44</v>
      </c>
      <c r="O84" s="129">
        <f>O82+(O81-$D$15)*(N82-O82)/(O81-N81)</f>
        <v>5.8000000000000007</v>
      </c>
      <c r="P84" s="129">
        <f>P82+(P81-$D$15)*(O82-P82)/(P81-O81)</f>
        <v>5.051111111111112</v>
      </c>
      <c r="Q84" s="129">
        <f>Q82+(Q81-$D$15)*(P82-Q82)/(Q81-P81)</f>
        <v>3.94</v>
      </c>
      <c r="R84" s="129">
        <f>R82+(R81-$D$15)*(Q82-R82)/(R81-Q81)</f>
        <v>3.5933333333333337</v>
      </c>
      <c r="S84" s="129">
        <f>S82+(S81-$D$15)*(R82-S82)/(S81-R81)</f>
        <v>3.1266666666666656</v>
      </c>
      <c r="T84" s="2">
        <v>2.66</v>
      </c>
      <c r="U84" s="2"/>
      <c r="V84" s="2"/>
      <c r="W84" s="2"/>
    </row>
    <row r="85" spans="11:23" hidden="1" x14ac:dyDescent="0.25"/>
    <row r="86" spans="11:23" hidden="1" x14ac:dyDescent="0.25"/>
    <row r="87" spans="11:23" hidden="1" x14ac:dyDescent="0.25">
      <c r="M87" s="114" t="s">
        <v>87</v>
      </c>
      <c r="N87" s="163" t="s">
        <v>73</v>
      </c>
      <c r="O87" s="163"/>
      <c r="P87" s="163"/>
      <c r="Q87" s="163"/>
      <c r="R87" s="165"/>
      <c r="S87" s="163" t="s">
        <v>74</v>
      </c>
      <c r="T87" s="164"/>
      <c r="U87" s="164"/>
    </row>
    <row r="88" spans="11:23" ht="30" hidden="1" x14ac:dyDescent="0.25">
      <c r="K88" s="157"/>
      <c r="L88" s="157"/>
      <c r="M88" s="130" t="s">
        <v>85</v>
      </c>
      <c r="N88" s="131"/>
      <c r="O88" s="132" t="s">
        <v>96</v>
      </c>
      <c r="P88" s="132" t="s">
        <v>94</v>
      </c>
      <c r="Q88" s="132" t="s">
        <v>95</v>
      </c>
      <c r="R88" s="133" t="s">
        <v>97</v>
      </c>
      <c r="S88" s="132"/>
      <c r="T88" s="132" t="s">
        <v>98</v>
      </c>
      <c r="U88" s="132" t="s">
        <v>99</v>
      </c>
      <c r="V88" s="157"/>
      <c r="W88" s="157"/>
    </row>
    <row r="89" spans="11:23" hidden="1" x14ac:dyDescent="0.25">
      <c r="L89" s="99" t="s">
        <v>91</v>
      </c>
      <c r="M89" s="134" t="s">
        <v>93</v>
      </c>
      <c r="N89" s="107">
        <v>400</v>
      </c>
      <c r="O89" s="107">
        <v>3000</v>
      </c>
      <c r="P89" s="107">
        <v>10000</v>
      </c>
      <c r="Q89" s="107">
        <v>50000</v>
      </c>
      <c r="R89" s="135">
        <v>50000</v>
      </c>
      <c r="S89" s="107">
        <v>400000</v>
      </c>
      <c r="T89" s="107">
        <v>1000000</v>
      </c>
      <c r="U89" s="107">
        <v>3500000</v>
      </c>
    </row>
    <row r="90" spans="11:23" hidden="1" x14ac:dyDescent="0.25">
      <c r="L90" s="99"/>
      <c r="M90" s="124" t="s">
        <v>83</v>
      </c>
      <c r="N90" s="108">
        <v>6.67</v>
      </c>
      <c r="O90" s="108">
        <v>5.48</v>
      </c>
      <c r="P90" s="108">
        <v>4.7699999999999996</v>
      </c>
      <c r="Q90" s="108">
        <v>3.81</v>
      </c>
      <c r="R90" s="136">
        <v>3.81</v>
      </c>
      <c r="S90" s="108">
        <v>3.81</v>
      </c>
      <c r="T90" s="108">
        <v>3.4</v>
      </c>
      <c r="U90" s="108">
        <v>3.15</v>
      </c>
    </row>
    <row r="91" spans="11:23" ht="15.75" hidden="1" thickBot="1" x14ac:dyDescent="0.3">
      <c r="K91" s="99" t="s">
        <v>101</v>
      </c>
      <c r="L91" s="99" t="s">
        <v>92</v>
      </c>
      <c r="M91" s="127" t="s">
        <v>84</v>
      </c>
      <c r="N91" s="110">
        <v>834</v>
      </c>
      <c r="O91" s="110">
        <v>687</v>
      </c>
      <c r="P91" s="110">
        <v>599</v>
      </c>
      <c r="Q91" s="110">
        <v>483</v>
      </c>
      <c r="R91" s="137">
        <v>483</v>
      </c>
      <c r="S91" s="110">
        <v>483</v>
      </c>
      <c r="T91" s="110">
        <v>425</v>
      </c>
      <c r="U91" s="110">
        <v>321</v>
      </c>
    </row>
    <row r="92" spans="11:23" hidden="1" x14ac:dyDescent="0.25">
      <c r="K92" s="11">
        <f>IF(D16&lt;=400,N92,IF(D16&lt;=3000,O92,IF(D16&lt;=10000,P92,IF(D16&lt;=50000,Q92,R92))))</f>
        <v>834</v>
      </c>
      <c r="L92" s="100" t="str">
        <f>+" = koszt jedn. = "</f>
        <v xml:space="preserve"> = koszt jedn. = </v>
      </c>
      <c r="N92" s="2">
        <v>834</v>
      </c>
      <c r="O92" s="138">
        <f>+O91+(O89-$D$16)*(N91-O91)/(O89-N89)</f>
        <v>856.61538461538464</v>
      </c>
      <c r="P92" s="138">
        <f>+P91+(P89-$D$16)*(O91-P91)/(P89-O89)</f>
        <v>724.71428571428567</v>
      </c>
      <c r="Q92" s="138">
        <f>+Q91+(Q89-$D$16)*(P91-Q91)/(Q89-P89)</f>
        <v>628</v>
      </c>
      <c r="R92" s="138">
        <v>483</v>
      </c>
    </row>
  </sheetData>
  <sheetProtection password="DA6F" sheet="1" objects="1" scenarios="1"/>
  <mergeCells count="41">
    <mergeCell ref="K16:M17"/>
    <mergeCell ref="A5:B5"/>
    <mergeCell ref="B41:G41"/>
    <mergeCell ref="B42:G42"/>
    <mergeCell ref="B39:G39"/>
    <mergeCell ref="B40:G40"/>
    <mergeCell ref="E13:G17"/>
    <mergeCell ref="B37:E37"/>
    <mergeCell ref="B26:E26"/>
    <mergeCell ref="B35:E35"/>
    <mergeCell ref="B33:E33"/>
    <mergeCell ref="A19:C19"/>
    <mergeCell ref="B28:E28"/>
    <mergeCell ref="A18:C18"/>
    <mergeCell ref="A14:C14"/>
    <mergeCell ref="A13:C13"/>
    <mergeCell ref="A3:B3"/>
    <mergeCell ref="D16:D17"/>
    <mergeCell ref="A15:C15"/>
    <mergeCell ref="A16:C17"/>
    <mergeCell ref="A7:B7"/>
    <mergeCell ref="A8:B8"/>
    <mergeCell ref="A10:C10"/>
    <mergeCell ref="A12:C12"/>
    <mergeCell ref="A11:C11"/>
    <mergeCell ref="A1:H1"/>
    <mergeCell ref="B27:E27"/>
    <mergeCell ref="A48:H48"/>
    <mergeCell ref="B32:E32"/>
    <mergeCell ref="B29:E29"/>
    <mergeCell ref="B30:E30"/>
    <mergeCell ref="B31:E31"/>
    <mergeCell ref="A44:H46"/>
    <mergeCell ref="B34:E34"/>
    <mergeCell ref="B38:E38"/>
    <mergeCell ref="B36:E36"/>
    <mergeCell ref="C3:H3"/>
    <mergeCell ref="C5:H5"/>
    <mergeCell ref="B23:E23"/>
    <mergeCell ref="B24:E24"/>
    <mergeCell ref="B25:E25"/>
  </mergeCells>
  <conditionalFormatting sqref="E19">
    <cfRule type="expression" dxfId="7" priority="2">
      <formula>$D$13="przebudowa istniejącej instalacji"</formula>
    </cfRule>
  </conditionalFormatting>
  <dataValidations count="6">
    <dataValidation type="list" allowBlank="1" showInputMessage="1" showErrorMessage="1" sqref="D12">
      <formula1>$K$51:$K$54</formula1>
    </dataValidation>
    <dataValidation type="list" allowBlank="1" showInputMessage="1" showErrorMessage="1" sqref="L9:L15 D10">
      <formula1>$I$51:$I$67</formula1>
    </dataValidation>
    <dataValidation type="list" allowBlank="1" showInputMessage="1" showErrorMessage="1" sqref="D14">
      <formula1>$M$51:$M$52</formula1>
    </dataValidation>
    <dataValidation type="list" allowBlank="1" showInputMessage="1" showErrorMessage="1" sqref="D13">
      <formula1>$P$51:$P$52</formula1>
    </dataValidation>
    <dataValidation type="custom" allowBlank="1" showInputMessage="1" showErrorMessage="1" sqref="D19">
      <formula1>IF(VLOOKUP(D14,M51:N55,2,FALSE)="prod",D16*K92,D15*K84)</formula1>
    </dataValidation>
    <dataValidation type="list" allowBlank="1" showInputMessage="1" showErrorMessage="1" sqref="D11">
      <formula1>$F$51:$F$78</formula1>
    </dataValidation>
  </dataValidations>
  <pageMargins left="0.70866141732283472" right="0.70866141732283472" top="0.74803149606299213" bottom="0.39370078740157483" header="0.31496062992125984" footer="0.31496062992125984"/>
  <pageSetup paperSize="9" scale="64" orientation="landscape" r:id="rId1"/>
  <ignoredErrors>
    <ignoredError sqref="H37:H38 H25:H30 H31 H33:H36" unlockedFormula="1"/>
    <ignoredError sqref="H3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2"/>
  <sheetViews>
    <sheetView topLeftCell="A12" zoomScaleNormal="100" workbookViewId="0">
      <selection activeCell="T20" sqref="T20"/>
    </sheetView>
  </sheetViews>
  <sheetFormatPr defaultColWidth="9.140625" defaultRowHeight="15" x14ac:dyDescent="0.25"/>
  <cols>
    <col min="1" max="1" width="14.28515625" style="2" customWidth="1"/>
    <col min="2" max="2" width="10" style="2" customWidth="1"/>
    <col min="3" max="3" width="10.140625" style="15" hidden="1" customWidth="1"/>
    <col min="4" max="4" width="9.42578125" style="15" hidden="1" customWidth="1"/>
    <col min="5" max="5" width="12.5703125" style="15" hidden="1" customWidth="1"/>
    <col min="6" max="6" width="11.7109375" style="15" hidden="1" customWidth="1"/>
    <col min="7" max="7" width="15.28515625" style="2" hidden="1" customWidth="1"/>
    <col min="8" max="8" width="15.42578125" style="15" hidden="1" customWidth="1"/>
    <col min="9" max="9" width="15" style="2" hidden="1" customWidth="1"/>
    <col min="10" max="10" width="15.7109375" style="15" hidden="1" customWidth="1"/>
    <col min="11" max="11" width="22.85546875" style="2" customWidth="1"/>
    <col min="12" max="12" width="21.42578125" style="2" customWidth="1"/>
    <col min="13" max="13" width="16.28515625" style="15" hidden="1" customWidth="1"/>
    <col min="14" max="14" width="13.5703125" style="15" hidden="1" customWidth="1"/>
    <col min="15" max="17" width="13.140625" style="15" hidden="1" customWidth="1"/>
    <col min="18" max="18" width="17.85546875" style="15" hidden="1" customWidth="1"/>
    <col min="19" max="19" width="22.28515625" style="16" customWidth="1"/>
    <col min="20" max="20" width="19.42578125" style="16" customWidth="1"/>
    <col min="21" max="21" width="18.42578125" style="2" customWidth="1"/>
    <col min="22" max="22" width="15" style="15" hidden="1" customWidth="1"/>
    <col min="23" max="23" width="14.5703125" style="15" hidden="1" customWidth="1"/>
    <col min="24" max="24" width="16.5703125" style="2" customWidth="1"/>
    <col min="25" max="25" width="10.7109375" style="15" hidden="1" customWidth="1"/>
    <col min="26" max="26" width="15.42578125" style="17" hidden="1" customWidth="1"/>
    <col min="27" max="27" width="13.5703125" style="17" hidden="1" customWidth="1"/>
    <col min="28" max="28" width="12.85546875" style="17" hidden="1" customWidth="1"/>
    <col min="29" max="29" width="8.7109375" style="17" hidden="1" customWidth="1"/>
    <col min="30" max="30" width="9.140625" style="17" hidden="1" customWidth="1"/>
    <col min="31" max="31" width="8.42578125" style="17" hidden="1" customWidth="1"/>
    <col min="32" max="32" width="12.85546875" style="17" hidden="1" customWidth="1"/>
    <col min="33" max="33" width="9.140625" style="17" hidden="1" customWidth="1"/>
    <col min="34" max="34" width="22.85546875" style="2" hidden="1" customWidth="1"/>
    <col min="35" max="39" width="9.140625" style="2" hidden="1" customWidth="1"/>
    <col min="40" max="40" width="14.42578125" style="2" hidden="1" customWidth="1"/>
    <col min="41" max="41" width="11.5703125" style="2" hidden="1" customWidth="1"/>
    <col min="42" max="42" width="93.140625" style="2" customWidth="1"/>
    <col min="43" max="43" width="54.28515625" style="2" customWidth="1"/>
    <col min="44" max="44" width="16.42578125" style="2" customWidth="1"/>
    <col min="45" max="16384" width="9.140625" style="2"/>
  </cols>
  <sheetData>
    <row r="1" spans="1:41" ht="5.25" hidden="1" customHeight="1" x14ac:dyDescent="0.25"/>
    <row r="2" spans="1:41" ht="12" hidden="1" customHeight="1" x14ac:dyDescent="0.25"/>
    <row r="3" spans="1:41" ht="13.5" hidden="1" customHeight="1" x14ac:dyDescent="0.25">
      <c r="A3" s="247" t="s">
        <v>103</v>
      </c>
      <c r="B3" s="248"/>
      <c r="C3" s="18"/>
      <c r="D3" s="18"/>
      <c r="E3" s="18"/>
      <c r="F3" s="18"/>
      <c r="G3" s="19"/>
      <c r="H3" s="18"/>
      <c r="I3" s="19"/>
      <c r="J3" s="20"/>
      <c r="K3" s="21" t="s">
        <v>104</v>
      </c>
      <c r="L3" s="22"/>
    </row>
    <row r="4" spans="1:41" ht="15" hidden="1" customHeight="1" x14ac:dyDescent="0.25">
      <c r="A4" s="249"/>
      <c r="B4" s="250"/>
      <c r="C4" s="18"/>
      <c r="D4" s="18"/>
      <c r="E4" s="18"/>
      <c r="F4" s="18"/>
      <c r="G4" s="19"/>
      <c r="H4" s="18"/>
      <c r="I4" s="19"/>
      <c r="J4" s="20"/>
      <c r="K4" s="22"/>
      <c r="L4" s="22"/>
    </row>
    <row r="5" spans="1:41" ht="27.75" hidden="1" customHeight="1" x14ac:dyDescent="0.25">
      <c r="A5" s="247" t="s">
        <v>105</v>
      </c>
      <c r="B5" s="248"/>
      <c r="C5" s="23"/>
      <c r="D5" s="23"/>
      <c r="E5" s="23"/>
      <c r="F5" s="23"/>
      <c r="G5" s="23"/>
      <c r="H5" s="23"/>
      <c r="I5" s="23"/>
      <c r="J5" s="23"/>
      <c r="K5" s="24">
        <v>0</v>
      </c>
      <c r="L5" s="22"/>
    </row>
    <row r="6" spans="1:41" ht="18.75" hidden="1" customHeight="1" x14ac:dyDescent="0.25">
      <c r="A6" s="23"/>
      <c r="B6" s="25"/>
      <c r="C6" s="26"/>
      <c r="D6" s="26"/>
      <c r="E6" s="26"/>
      <c r="F6" s="26"/>
      <c r="G6" s="22"/>
      <c r="H6" s="26"/>
      <c r="I6" s="22"/>
      <c r="J6" s="26"/>
      <c r="K6" s="22"/>
      <c r="L6" s="22"/>
      <c r="T6" s="44" t="s">
        <v>116</v>
      </c>
      <c r="U6" s="73"/>
      <c r="V6" s="46"/>
      <c r="W6" s="46"/>
      <c r="X6" s="47"/>
    </row>
    <row r="7" spans="1:41" hidden="1" x14ac:dyDescent="0.25">
      <c r="U7" s="27" t="s">
        <v>2</v>
      </c>
      <c r="X7" s="27" t="s">
        <v>106</v>
      </c>
    </row>
    <row r="8" spans="1:41" ht="14.25" hidden="1" customHeight="1" x14ac:dyDescent="0.25">
      <c r="A8" s="28" t="s">
        <v>107</v>
      </c>
      <c r="B8" s="29">
        <f>+G33</f>
        <v>0</v>
      </c>
      <c r="X8" s="29">
        <f>+H33</f>
        <v>0</v>
      </c>
      <c r="Z8" s="30" t="s">
        <v>108</v>
      </c>
      <c r="AA8" s="31"/>
      <c r="AB8" s="32"/>
      <c r="AD8" s="31">
        <f>ROUND(Y33,2)</f>
        <v>0</v>
      </c>
      <c r="AE8" s="33" t="s">
        <v>104</v>
      </c>
    </row>
    <row r="9" spans="1:41" s="15" customFormat="1" ht="12.75" hidden="1" customHeight="1" x14ac:dyDescent="0.25">
      <c r="A9" s="34"/>
      <c r="B9" s="34">
        <f>YEAR(K15)</f>
        <v>2019</v>
      </c>
      <c r="S9" s="16"/>
      <c r="T9" s="18"/>
      <c r="U9" s="18"/>
      <c r="V9" s="35">
        <f>+L23</f>
        <v>0</v>
      </c>
      <c r="W9" s="36">
        <f>T19</f>
        <v>0</v>
      </c>
      <c r="X9" s="18"/>
      <c r="Z9" s="37" t="s">
        <v>109</v>
      </c>
      <c r="AA9" s="38"/>
      <c r="AB9" s="17"/>
      <c r="AC9" s="17"/>
      <c r="AD9" s="38">
        <f>+U17+AD8</f>
        <v>0</v>
      </c>
      <c r="AE9" s="33" t="s">
        <v>110</v>
      </c>
      <c r="AF9" s="17"/>
      <c r="AG9" s="17"/>
    </row>
    <row r="10" spans="1:41" s="15" customFormat="1" ht="12.75" hidden="1" customHeight="1" x14ac:dyDescent="0.25">
      <c r="A10" s="34"/>
      <c r="B10" s="34">
        <f>ROUNDUP((MONTH(K15))/3,0)</f>
        <v>2</v>
      </c>
      <c r="S10" s="16"/>
      <c r="T10" s="28" t="s">
        <v>111</v>
      </c>
      <c r="U10" s="29">
        <f>+I33</f>
        <v>0</v>
      </c>
      <c r="V10" s="35">
        <f>1-V9</f>
        <v>1</v>
      </c>
      <c r="W10" s="36">
        <f>T18-W9</f>
        <v>0</v>
      </c>
      <c r="X10" s="29">
        <f>+J33</f>
        <v>0</v>
      </c>
      <c r="Z10" s="17"/>
      <c r="AA10" s="17"/>
      <c r="AB10" s="17"/>
      <c r="AC10" s="17"/>
      <c r="AD10" s="17"/>
      <c r="AE10" s="17"/>
      <c r="AF10" s="17"/>
      <c r="AG10" s="17"/>
    </row>
    <row r="11" spans="1:41" s="15" customFormat="1" ht="12.75" hidden="1" customHeight="1" x14ac:dyDescent="0.25">
      <c r="A11" s="34"/>
      <c r="B11" s="34">
        <f>+(B9-2014)*4+B10</f>
        <v>22</v>
      </c>
      <c r="S11" s="16"/>
      <c r="T11" s="28" t="s">
        <v>112</v>
      </c>
      <c r="U11" s="39"/>
      <c r="X11" s="29">
        <f>+X8-X10</f>
        <v>0</v>
      </c>
      <c r="Z11" s="17"/>
      <c r="AA11" s="17"/>
      <c r="AB11" s="17"/>
      <c r="AC11" s="17"/>
      <c r="AD11" s="17"/>
      <c r="AE11" s="17"/>
      <c r="AF11" s="17"/>
      <c r="AG11" s="17"/>
    </row>
    <row r="12" spans="1:41" x14ac:dyDescent="0.25">
      <c r="B12" s="40"/>
    </row>
    <row r="13" spans="1:41" x14ac:dyDescent="0.25">
      <c r="B13" s="40"/>
    </row>
    <row r="14" spans="1:41" x14ac:dyDescent="0.25">
      <c r="B14" s="40"/>
    </row>
    <row r="15" spans="1:41" x14ac:dyDescent="0.25">
      <c r="A15" s="251" t="s">
        <v>113</v>
      </c>
      <c r="B15" s="251"/>
      <c r="C15" s="41"/>
      <c r="D15" s="41"/>
      <c r="E15" s="18"/>
      <c r="F15" s="18"/>
      <c r="K15" s="42">
        <v>43615</v>
      </c>
      <c r="S15" s="2"/>
      <c r="T15" s="254" t="s">
        <v>2</v>
      </c>
      <c r="U15" s="254" t="s">
        <v>114</v>
      </c>
      <c r="V15" s="153"/>
      <c r="W15" s="153"/>
      <c r="X15" s="257" t="s">
        <v>167</v>
      </c>
    </row>
    <row r="16" spans="1:41" x14ac:dyDescent="0.25">
      <c r="A16" s="251" t="s">
        <v>115</v>
      </c>
      <c r="B16" s="251"/>
      <c r="C16" s="18"/>
      <c r="D16" s="18"/>
      <c r="E16" s="18"/>
      <c r="F16" s="18"/>
      <c r="H16" s="36"/>
      <c r="K16" s="83">
        <v>1.8700000000000001E-2</v>
      </c>
      <c r="S16" s="116"/>
      <c r="T16" s="254"/>
      <c r="U16" s="254"/>
      <c r="V16" s="154"/>
      <c r="W16" s="154"/>
      <c r="X16" s="257"/>
      <c r="AM16" s="2">
        <v>1</v>
      </c>
      <c r="AN16" s="15" t="s">
        <v>117</v>
      </c>
      <c r="AO16" s="48">
        <v>6.0000000000000001E-3</v>
      </c>
    </row>
    <row r="17" spans="1:43" x14ac:dyDescent="0.25">
      <c r="A17" s="251" t="s">
        <v>118</v>
      </c>
      <c r="B17" s="251"/>
      <c r="C17" s="49"/>
      <c r="D17" s="18"/>
      <c r="E17" s="18"/>
      <c r="F17" s="18"/>
      <c r="K17" s="43">
        <f>K16+0.01</f>
        <v>2.8700000000000003E-2</v>
      </c>
      <c r="S17" s="147" t="s">
        <v>119</v>
      </c>
      <c r="T17" s="152">
        <f>T18</f>
        <v>0</v>
      </c>
      <c r="U17" s="152">
        <f>+U18+U19</f>
        <v>0</v>
      </c>
      <c r="V17" s="149"/>
      <c r="W17" s="146"/>
      <c r="X17" s="155" t="str">
        <f>IFERROR(T17/Koszty!H$24,"")</f>
        <v/>
      </c>
      <c r="AM17" s="2">
        <v>2</v>
      </c>
      <c r="AN17" s="15" t="s">
        <v>120</v>
      </c>
      <c r="AO17" s="48">
        <v>7.4999999999999997E-3</v>
      </c>
    </row>
    <row r="18" spans="1:43" ht="15" customHeight="1" x14ac:dyDescent="0.25">
      <c r="A18" s="251" t="s">
        <v>121</v>
      </c>
      <c r="B18" s="251"/>
      <c r="C18" s="18"/>
      <c r="D18" s="18"/>
      <c r="E18" s="18"/>
      <c r="F18" s="18"/>
      <c r="I18" s="50"/>
      <c r="K18" s="143" t="s">
        <v>122</v>
      </c>
      <c r="S18" s="147" t="s">
        <v>123</v>
      </c>
      <c r="T18" s="161">
        <f>K33</f>
        <v>0</v>
      </c>
      <c r="U18" s="148">
        <f>IF(ROUND(R33,2)&lt;0,0,ROUND(R33,2))</f>
        <v>0</v>
      </c>
      <c r="V18" s="149"/>
      <c r="W18" s="146"/>
      <c r="X18" s="155" t="str">
        <f>IFERROR(T18/Koszty!H$24,"")</f>
        <v/>
      </c>
      <c r="AM18" s="2">
        <v>3</v>
      </c>
      <c r="AN18" s="15" t="s">
        <v>122</v>
      </c>
      <c r="AO18" s="48">
        <v>0.01</v>
      </c>
      <c r="AP18" s="2" t="str">
        <f>IF(AND(X18&gt;85%,Koszty!H24&gt;0),"Kwota pomocy zwrotnej przekracza dopuszczalny poziom 85% kosztów kwalifikowalnych","")</f>
        <v/>
      </c>
    </row>
    <row r="19" spans="1:43" ht="14.25" customHeight="1" x14ac:dyDescent="0.25">
      <c r="A19" s="258" t="s">
        <v>124</v>
      </c>
      <c r="B19" s="251"/>
      <c r="C19" s="18"/>
      <c r="D19" s="18"/>
      <c r="E19" s="18"/>
      <c r="F19" s="18"/>
      <c r="I19" s="51"/>
      <c r="K19" s="52">
        <f>VLOOKUP($K$18,AN16:AO20,2,FALSE)</f>
        <v>0.01</v>
      </c>
      <c r="S19" s="147" t="s">
        <v>168</v>
      </c>
      <c r="T19" s="142"/>
      <c r="U19" s="148">
        <f>ROUND(W33,2)</f>
        <v>0</v>
      </c>
      <c r="V19" s="146"/>
      <c r="W19" s="146"/>
      <c r="X19" s="155" t="str">
        <f>IFERROR(T19/Koszty!H$24,"")</f>
        <v/>
      </c>
      <c r="AM19" s="2">
        <v>4</v>
      </c>
      <c r="AN19" s="15" t="s">
        <v>125</v>
      </c>
      <c r="AO19" s="48">
        <v>2.1999999999999999E-2</v>
      </c>
      <c r="AP19" s="2" t="str">
        <f>IF(AND(X19&gt;50%,Koszty!H24&gt;0),"Kwota premii inwestycyjnej przekracza dopuszczalny maksymalny poziom 50% kosztów kwalifikowalnych","")</f>
        <v/>
      </c>
    </row>
    <row r="20" spans="1:43" x14ac:dyDescent="0.25">
      <c r="A20" s="251" t="s">
        <v>126</v>
      </c>
      <c r="B20" s="251"/>
      <c r="C20" s="18"/>
      <c r="D20" s="18"/>
      <c r="E20" s="18"/>
      <c r="F20" s="18"/>
      <c r="K20" s="52">
        <f>+K16+K19</f>
        <v>2.8700000000000003E-2</v>
      </c>
      <c r="S20" s="144" t="s">
        <v>127</v>
      </c>
      <c r="T20" s="142"/>
      <c r="U20" s="142"/>
      <c r="V20" s="150"/>
      <c r="W20" s="150"/>
      <c r="AM20" s="2">
        <v>5</v>
      </c>
      <c r="AN20" s="15" t="s">
        <v>129</v>
      </c>
      <c r="AO20" s="48">
        <v>0.04</v>
      </c>
    </row>
    <row r="21" spans="1:43" ht="31.5" customHeight="1" x14ac:dyDescent="0.25">
      <c r="A21" s="255" t="s">
        <v>130</v>
      </c>
      <c r="B21" s="256"/>
      <c r="C21" s="18"/>
      <c r="D21" s="18"/>
      <c r="E21" s="18"/>
      <c r="F21" s="18"/>
      <c r="I21" s="50"/>
      <c r="K21" s="160">
        <v>0</v>
      </c>
      <c r="S21" s="144" t="s">
        <v>131</v>
      </c>
      <c r="T21" s="145">
        <f>+T17+T20</f>
        <v>0</v>
      </c>
      <c r="U21" s="145">
        <f>U17+U20</f>
        <v>0</v>
      </c>
      <c r="V21" s="146"/>
      <c r="W21" s="146"/>
      <c r="AH21" s="252"/>
      <c r="AK21" s="57"/>
    </row>
    <row r="22" spans="1:43" ht="17.25" customHeight="1" x14ac:dyDescent="0.25">
      <c r="C22" s="26"/>
      <c r="D22" s="26"/>
      <c r="E22" s="26"/>
      <c r="F22" s="26"/>
      <c r="I22" s="50"/>
      <c r="S22" s="158" t="s">
        <v>162</v>
      </c>
      <c r="T22" s="159"/>
      <c r="U22" s="151" t="str">
        <f>IFERROR(U21/Koszty!H40,"")</f>
        <v/>
      </c>
      <c r="V22" s="146"/>
      <c r="W22" s="146"/>
      <c r="AH22" s="252"/>
      <c r="AK22" s="57"/>
      <c r="AP22" s="262" t="str">
        <f>IF(AND(U22&gt;U23,Koszty!H40&gt;0),"Intensywność łącznej pomocy przekracza dopuszczalną maksymalną intensywność pomocy publicznej, należy poprawić","")</f>
        <v/>
      </c>
      <c r="AQ22" s="157"/>
    </row>
    <row r="23" spans="1:43" x14ac:dyDescent="0.25">
      <c r="N23" s="82"/>
      <c r="O23" s="82"/>
      <c r="P23" s="82"/>
      <c r="Q23" s="82"/>
      <c r="R23" s="82"/>
      <c r="S23" s="158" t="s">
        <v>163</v>
      </c>
      <c r="T23" s="159"/>
      <c r="U23" s="151">
        <f>Koszty!D18</f>
        <v>0.35</v>
      </c>
      <c r="V23" s="151"/>
      <c r="W23" s="151"/>
      <c r="AH23" s="252"/>
      <c r="AN23" s="15"/>
      <c r="AP23" s="262"/>
      <c r="AQ23" s="157"/>
    </row>
    <row r="24" spans="1:43" ht="15.75" hidden="1" customHeight="1" thickBot="1" x14ac:dyDescent="0.3">
      <c r="B24" s="40"/>
      <c r="N24" s="29"/>
      <c r="O24" s="29"/>
      <c r="P24" s="29"/>
      <c r="Q24" s="29"/>
      <c r="R24" s="29"/>
      <c r="S24" s="141"/>
      <c r="AE24" s="17">
        <v>5</v>
      </c>
      <c r="AF24" s="17" t="s">
        <v>129</v>
      </c>
      <c r="AG24" s="53">
        <v>0.04</v>
      </c>
      <c r="AH24" s="253"/>
      <c r="AN24" s="15"/>
    </row>
    <row r="25" spans="1:43" ht="15.75" hidden="1" customHeight="1" thickBot="1" x14ac:dyDescent="0.3">
      <c r="B25" s="40"/>
      <c r="U25" s="58" t="e">
        <f>+T21/B8</f>
        <v>#DIV/0!</v>
      </c>
      <c r="X25" s="59" t="e">
        <f>+U21/X8</f>
        <v>#DIV/0!</v>
      </c>
    </row>
    <row r="26" spans="1:43" ht="15" hidden="1" customHeight="1" x14ac:dyDescent="0.25">
      <c r="B26" s="40"/>
    </row>
    <row r="27" spans="1:43" ht="15" hidden="1" customHeight="1" x14ac:dyDescent="0.25">
      <c r="B27" s="40"/>
    </row>
    <row r="28" spans="1:43" x14ac:dyDescent="0.25">
      <c r="B28" s="40"/>
      <c r="T28" s="2"/>
      <c r="U28" s="40"/>
      <c r="V28" s="2"/>
      <c r="W28" s="40"/>
    </row>
    <row r="29" spans="1:43" x14ac:dyDescent="0.25">
      <c r="B29" s="40"/>
      <c r="T29" s="2"/>
      <c r="U29" s="40"/>
      <c r="V29" s="2"/>
      <c r="W29" s="40"/>
    </row>
    <row r="30" spans="1:43" hidden="1" x14ac:dyDescent="0.25">
      <c r="B30" s="40"/>
      <c r="T30" s="2"/>
      <c r="U30" s="40"/>
      <c r="V30" s="2"/>
      <c r="W30" s="40"/>
    </row>
    <row r="31" spans="1:43" hidden="1" x14ac:dyDescent="0.25">
      <c r="B31" s="40"/>
      <c r="T31" s="2"/>
      <c r="U31" s="40"/>
      <c r="V31" s="2"/>
      <c r="W31" s="40"/>
    </row>
    <row r="32" spans="1:43" hidden="1" x14ac:dyDescent="0.25">
      <c r="B32" s="40"/>
      <c r="G32" s="50"/>
      <c r="K32" s="139" t="s">
        <v>136</v>
      </c>
      <c r="L32" s="140"/>
    </row>
    <row r="33" spans="1:34" x14ac:dyDescent="0.25">
      <c r="G33" s="60">
        <f>SUM(G35:G122)</f>
        <v>0</v>
      </c>
      <c r="H33" s="61">
        <f>SUM(H35:H122)</f>
        <v>0</v>
      </c>
      <c r="I33" s="60">
        <f>SUM(I35:I122)</f>
        <v>0</v>
      </c>
      <c r="J33" s="61">
        <f>SUM(J35:J122)</f>
        <v>0</v>
      </c>
      <c r="K33" s="77">
        <f>SUM(K35:K142)</f>
        <v>0</v>
      </c>
      <c r="L33" s="77">
        <f>SUM(L35:L142)</f>
        <v>0</v>
      </c>
      <c r="M33" s="78">
        <f>SUM(M35:M142)</f>
        <v>0</v>
      </c>
      <c r="N33" s="76"/>
      <c r="O33" s="78">
        <f t="shared" ref="O33:W33" si="0">SUM(O35:O142)</f>
        <v>0</v>
      </c>
      <c r="P33" s="78">
        <f t="shared" si="0"/>
        <v>0</v>
      </c>
      <c r="Q33" s="78">
        <f t="shared" si="0"/>
        <v>0</v>
      </c>
      <c r="R33" s="78">
        <f t="shared" si="0"/>
        <v>0</v>
      </c>
      <c r="S33" s="77">
        <f>SUM(S35:S142)</f>
        <v>0</v>
      </c>
      <c r="T33" s="77">
        <f>SUM(T35:T142)</f>
        <v>0</v>
      </c>
      <c r="V33" s="2">
        <f t="shared" si="0"/>
        <v>0</v>
      </c>
      <c r="W33" s="2">
        <f t="shared" si="0"/>
        <v>0</v>
      </c>
      <c r="Y33" s="2"/>
      <c r="Z33" s="2"/>
      <c r="AA33" s="2"/>
      <c r="AB33" s="2"/>
      <c r="AC33" s="2"/>
      <c r="AD33" s="2"/>
      <c r="AE33" s="2"/>
      <c r="AF33" s="2"/>
      <c r="AG33" s="2"/>
    </row>
    <row r="34" spans="1:34" s="64" customFormat="1" ht="30" customHeight="1" x14ac:dyDescent="0.25">
      <c r="A34" s="62" t="s">
        <v>137</v>
      </c>
      <c r="B34" s="62" t="s">
        <v>138</v>
      </c>
      <c r="C34" s="63"/>
      <c r="D34" s="63" t="s">
        <v>139</v>
      </c>
      <c r="E34" s="63" t="s">
        <v>140</v>
      </c>
      <c r="F34" s="63" t="s">
        <v>141</v>
      </c>
      <c r="G34" s="62" t="s">
        <v>107</v>
      </c>
      <c r="H34" s="63" t="s">
        <v>142</v>
      </c>
      <c r="I34" s="62" t="s">
        <v>143</v>
      </c>
      <c r="J34" s="63" t="s">
        <v>144</v>
      </c>
      <c r="K34" s="62" t="s">
        <v>145</v>
      </c>
      <c r="L34" s="62" t="s">
        <v>146</v>
      </c>
      <c r="M34" s="63" t="s">
        <v>147</v>
      </c>
      <c r="N34" s="63" t="s">
        <v>148</v>
      </c>
      <c r="O34" s="63" t="s">
        <v>149</v>
      </c>
      <c r="P34" s="63" t="s">
        <v>150</v>
      </c>
      <c r="Q34" s="63" t="s">
        <v>151</v>
      </c>
      <c r="R34" s="63" t="s">
        <v>152</v>
      </c>
      <c r="S34" s="75" t="s">
        <v>153</v>
      </c>
      <c r="T34" s="74" t="s">
        <v>134</v>
      </c>
      <c r="U34" s="2"/>
      <c r="V34" s="2" t="s">
        <v>154</v>
      </c>
      <c r="W34" s="2" t="s">
        <v>155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idden="1" x14ac:dyDescent="0.25">
      <c r="A35" s="259">
        <v>2014</v>
      </c>
      <c r="B35" s="65" t="s">
        <v>156</v>
      </c>
      <c r="C35" s="66">
        <f>+A35</f>
        <v>2014</v>
      </c>
      <c r="D35" s="66">
        <v>1</v>
      </c>
      <c r="E35" s="66">
        <f t="shared" ref="E35:E66" si="1">IF(D35&lt;$B$11,1,(1/(1+$K$17/4)^(D35-$B$11+1)))</f>
        <v>1</v>
      </c>
      <c r="F35" s="66">
        <f t="shared" ref="F35:F66" si="2">IF(C35&lt;($B$9+1),1,(1/(1+$K$17)^(C35-$B$9)))</f>
        <v>1</v>
      </c>
      <c r="G35" s="260"/>
      <c r="H35" s="81">
        <f>+G35*F35</f>
        <v>0</v>
      </c>
      <c r="I35" s="260"/>
      <c r="J35" s="81">
        <f>+I35*F35</f>
        <v>0</v>
      </c>
      <c r="K35" s="82"/>
      <c r="L35" s="67"/>
      <c r="M35" s="81">
        <f>+L35</f>
        <v>0</v>
      </c>
      <c r="N35" s="81">
        <f>+K35</f>
        <v>0</v>
      </c>
      <c r="O35" s="81">
        <f t="shared" ref="O35:O66" si="3">+N35*($K$21/4)</f>
        <v>0</v>
      </c>
      <c r="P35" s="81">
        <f t="shared" ref="P35:P66" si="4">+N35*($K$20/4)</f>
        <v>0</v>
      </c>
      <c r="Q35" s="81">
        <f>+P35-O35</f>
        <v>0</v>
      </c>
      <c r="R35" s="81">
        <f t="shared" ref="R35:R98" si="5">+Q35*E35</f>
        <v>0</v>
      </c>
      <c r="S35" s="80">
        <f t="shared" ref="S35:S66" si="6">+L35-T35</f>
        <v>0</v>
      </c>
      <c r="T35" s="80">
        <f>IF(SUM(L35:L$35)&lt;W$10,IF(SUM(L$35:L35)&lt;W$10,0,(SUM(L$35:L35)-W$10)),L35)</f>
        <v>0</v>
      </c>
      <c r="V35" s="2">
        <f>SUM(T35:T38)</f>
        <v>0</v>
      </c>
      <c r="W35" s="2">
        <f>+V35*F35</f>
        <v>0</v>
      </c>
      <c r="Y35" s="2">
        <f>+X35*F35</f>
        <v>0</v>
      </c>
      <c r="Z35" s="2"/>
      <c r="AA35" s="2"/>
      <c r="AB35" s="2"/>
      <c r="AC35" s="2"/>
      <c r="AD35" s="2"/>
      <c r="AE35" s="2"/>
      <c r="AF35" s="2"/>
      <c r="AG35" s="2"/>
    </row>
    <row r="36" spans="1:34" hidden="1" x14ac:dyDescent="0.25">
      <c r="A36" s="259"/>
      <c r="B36" s="65" t="s">
        <v>157</v>
      </c>
      <c r="C36" s="66">
        <f>+C35</f>
        <v>2014</v>
      </c>
      <c r="D36" s="66">
        <v>2</v>
      </c>
      <c r="E36" s="66">
        <f t="shared" si="1"/>
        <v>1</v>
      </c>
      <c r="F36" s="66">
        <f t="shared" si="2"/>
        <v>1</v>
      </c>
      <c r="G36" s="260"/>
      <c r="H36" s="66"/>
      <c r="I36" s="260"/>
      <c r="J36" s="66"/>
      <c r="K36" s="82"/>
      <c r="L36" s="67"/>
      <c r="M36" s="81">
        <f>IF(SUM(M$35:M35)=K$33,0,IF(SUM(L$35:L36)&lt;$W$10,L36,K$33-SUM(L$35:L35)))</f>
        <v>0</v>
      </c>
      <c r="N36" s="81">
        <f t="shared" ref="N36:N99" si="7">+N35+K36-M35</f>
        <v>0</v>
      </c>
      <c r="O36" s="81">
        <f t="shared" si="3"/>
        <v>0</v>
      </c>
      <c r="P36" s="81">
        <f t="shared" si="4"/>
        <v>0</v>
      </c>
      <c r="Q36" s="81">
        <f t="shared" ref="Q36:Q99" si="8">+P36-O36</f>
        <v>0</v>
      </c>
      <c r="R36" s="81">
        <f t="shared" si="5"/>
        <v>0</v>
      </c>
      <c r="S36" s="80">
        <f t="shared" si="6"/>
        <v>0</v>
      </c>
      <c r="T36" s="80">
        <f>IF(SUM(L$35:L35)&lt;W$10,IF(SUM(L$35:L36)&lt;W$10,0,(SUM(L$35:L36)-W$10)),L36)</f>
        <v>0</v>
      </c>
      <c r="V36" s="2"/>
      <c r="W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4" hidden="1" x14ac:dyDescent="0.25">
      <c r="A37" s="259"/>
      <c r="B37" s="65" t="s">
        <v>158</v>
      </c>
      <c r="C37" s="66">
        <f>+C35</f>
        <v>2014</v>
      </c>
      <c r="D37" s="66">
        <v>3</v>
      </c>
      <c r="E37" s="66">
        <f t="shared" si="1"/>
        <v>1</v>
      </c>
      <c r="F37" s="66">
        <f t="shared" si="2"/>
        <v>1</v>
      </c>
      <c r="G37" s="260"/>
      <c r="H37" s="66"/>
      <c r="I37" s="260"/>
      <c r="J37" s="66"/>
      <c r="K37" s="82"/>
      <c r="L37" s="67"/>
      <c r="M37" s="81">
        <f>IF(SUM(M$35:M36)=K$33,0,IF(SUM(L$35:L37)&lt;$W$10,L37,K$33-SUM(L$35:L36)))</f>
        <v>0</v>
      </c>
      <c r="N37" s="81">
        <f t="shared" si="7"/>
        <v>0</v>
      </c>
      <c r="O37" s="81">
        <f t="shared" si="3"/>
        <v>0</v>
      </c>
      <c r="P37" s="81">
        <f t="shared" si="4"/>
        <v>0</v>
      </c>
      <c r="Q37" s="81">
        <f t="shared" si="8"/>
        <v>0</v>
      </c>
      <c r="R37" s="81">
        <f t="shared" si="5"/>
        <v>0</v>
      </c>
      <c r="S37" s="80">
        <f t="shared" si="6"/>
        <v>0</v>
      </c>
      <c r="T37" s="80">
        <f>IF(SUM(L$35:L36)&lt;W$10,IF(SUM(L$35:L37)&lt;W$10,0,(SUM(L$35:L37)-W$10)),L37)</f>
        <v>0</v>
      </c>
      <c r="V37" s="2"/>
      <c r="W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4" hidden="1" x14ac:dyDescent="0.25">
      <c r="A38" s="259"/>
      <c r="B38" s="65" t="s">
        <v>159</v>
      </c>
      <c r="C38" s="66">
        <f>+C35</f>
        <v>2014</v>
      </c>
      <c r="D38" s="66">
        <v>4</v>
      </c>
      <c r="E38" s="66">
        <f t="shared" si="1"/>
        <v>1</v>
      </c>
      <c r="F38" s="66">
        <f t="shared" si="2"/>
        <v>1</v>
      </c>
      <c r="G38" s="260"/>
      <c r="H38" s="66"/>
      <c r="I38" s="260"/>
      <c r="J38" s="66"/>
      <c r="K38" s="82"/>
      <c r="L38" s="67"/>
      <c r="M38" s="81">
        <f>IF(SUM(M$35:M37)=K$33,0,IF(SUM(L$35:L38)&lt;$W$10,L38,K$33-SUM(L$35:L37)))</f>
        <v>0</v>
      </c>
      <c r="N38" s="81">
        <f t="shared" si="7"/>
        <v>0</v>
      </c>
      <c r="O38" s="81">
        <f t="shared" si="3"/>
        <v>0</v>
      </c>
      <c r="P38" s="81">
        <f t="shared" si="4"/>
        <v>0</v>
      </c>
      <c r="Q38" s="81">
        <f t="shared" si="8"/>
        <v>0</v>
      </c>
      <c r="R38" s="81">
        <f t="shared" si="5"/>
        <v>0</v>
      </c>
      <c r="S38" s="80">
        <f t="shared" si="6"/>
        <v>0</v>
      </c>
      <c r="T38" s="80">
        <f>IF(SUM(L$35:L37)&lt;W$10,IF(SUM(L$35:L38)&lt;W$10,0,(SUM(L$35:L38)-W$10)),L38)</f>
        <v>0</v>
      </c>
      <c r="V38" s="2"/>
      <c r="W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4" hidden="1" x14ac:dyDescent="0.25">
      <c r="A39" s="259">
        <v>2015</v>
      </c>
      <c r="B39" s="65" t="s">
        <v>156</v>
      </c>
      <c r="C39" s="66">
        <f>+A39</f>
        <v>2015</v>
      </c>
      <c r="D39" s="66">
        <v>5</v>
      </c>
      <c r="E39" s="66">
        <f t="shared" si="1"/>
        <v>1</v>
      </c>
      <c r="F39" s="66">
        <f t="shared" si="2"/>
        <v>1</v>
      </c>
      <c r="G39" s="260"/>
      <c r="H39" s="81">
        <f>+G39*F39</f>
        <v>0</v>
      </c>
      <c r="I39" s="260"/>
      <c r="J39" s="81">
        <f>+I39*F39</f>
        <v>0</v>
      </c>
      <c r="K39" s="82"/>
      <c r="L39" s="67"/>
      <c r="M39" s="81">
        <f>IF(SUM(M$35:M38)=K$33,0,IF(SUM(L$35:L39)&lt;$W$10,L39,K$33-SUM(L$35:L38)))</f>
        <v>0</v>
      </c>
      <c r="N39" s="81">
        <f t="shared" si="7"/>
        <v>0</v>
      </c>
      <c r="O39" s="81">
        <f t="shared" si="3"/>
        <v>0</v>
      </c>
      <c r="P39" s="81">
        <f t="shared" si="4"/>
        <v>0</v>
      </c>
      <c r="Q39" s="81">
        <f t="shared" si="8"/>
        <v>0</v>
      </c>
      <c r="R39" s="81">
        <f t="shared" si="5"/>
        <v>0</v>
      </c>
      <c r="S39" s="80">
        <f t="shared" si="6"/>
        <v>0</v>
      </c>
      <c r="T39" s="80">
        <f>IF(SUM(L$35:L38)&lt;W$10,IF(SUM(L$35:L39)&lt;W$10,0,(SUM(L$35:L39)-W$10)),L39)</f>
        <v>0</v>
      </c>
      <c r="V39" s="2">
        <f>SUM(T39:T42)</f>
        <v>0</v>
      </c>
      <c r="W39" s="2">
        <f>+V39*F39</f>
        <v>0</v>
      </c>
      <c r="Y39" s="2">
        <f>+X39*F39</f>
        <v>0</v>
      </c>
      <c r="Z39" s="2"/>
      <c r="AA39" s="2"/>
      <c r="AB39" s="2"/>
      <c r="AC39" s="2"/>
      <c r="AD39" s="2"/>
      <c r="AE39" s="2"/>
      <c r="AF39" s="2"/>
      <c r="AG39" s="2"/>
    </row>
    <row r="40" spans="1:34" hidden="1" x14ac:dyDescent="0.25">
      <c r="A40" s="259"/>
      <c r="B40" s="65" t="s">
        <v>157</v>
      </c>
      <c r="C40" s="66">
        <f>+C39</f>
        <v>2015</v>
      </c>
      <c r="D40" s="66">
        <v>6</v>
      </c>
      <c r="E40" s="66">
        <f t="shared" si="1"/>
        <v>1</v>
      </c>
      <c r="F40" s="66">
        <f t="shared" si="2"/>
        <v>1</v>
      </c>
      <c r="G40" s="260"/>
      <c r="H40" s="66"/>
      <c r="I40" s="260"/>
      <c r="J40" s="66"/>
      <c r="K40" s="82"/>
      <c r="L40" s="67"/>
      <c r="M40" s="81">
        <f>IF(SUM(M$35:M39)=K$33,0,IF(SUM(L$35:L40)&lt;$W$10,L40,K$33-SUM(L$35:L39)))</f>
        <v>0</v>
      </c>
      <c r="N40" s="81">
        <f t="shared" si="7"/>
        <v>0</v>
      </c>
      <c r="O40" s="81">
        <f t="shared" si="3"/>
        <v>0</v>
      </c>
      <c r="P40" s="81">
        <f t="shared" si="4"/>
        <v>0</v>
      </c>
      <c r="Q40" s="81">
        <f t="shared" si="8"/>
        <v>0</v>
      </c>
      <c r="R40" s="81">
        <f t="shared" si="5"/>
        <v>0</v>
      </c>
      <c r="S40" s="80">
        <f t="shared" si="6"/>
        <v>0</v>
      </c>
      <c r="T40" s="80">
        <f>IF(SUM(L$35:L39)&lt;W$10,IF(SUM(L$35:L40)&lt;W$10,0,(SUM(L$35:L40)-W$10)),L40)</f>
        <v>0</v>
      </c>
      <c r="V40" s="2"/>
      <c r="W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4" hidden="1" x14ac:dyDescent="0.25">
      <c r="A41" s="259"/>
      <c r="B41" s="65" t="s">
        <v>158</v>
      </c>
      <c r="C41" s="66">
        <f>+C39</f>
        <v>2015</v>
      </c>
      <c r="D41" s="66">
        <v>7</v>
      </c>
      <c r="E41" s="66">
        <f t="shared" si="1"/>
        <v>1</v>
      </c>
      <c r="F41" s="66">
        <f t="shared" si="2"/>
        <v>1</v>
      </c>
      <c r="G41" s="260"/>
      <c r="H41" s="66"/>
      <c r="I41" s="260"/>
      <c r="J41" s="66"/>
      <c r="K41" s="82"/>
      <c r="L41" s="67"/>
      <c r="M41" s="81">
        <f>IF(SUM(M$35:M40)=K$33,0,IF(SUM(L$35:L41)&lt;$W$10,L41,K$33-SUM(L$35:L40)))</f>
        <v>0</v>
      </c>
      <c r="N41" s="81">
        <f t="shared" si="7"/>
        <v>0</v>
      </c>
      <c r="O41" s="81">
        <f t="shared" si="3"/>
        <v>0</v>
      </c>
      <c r="P41" s="81">
        <f t="shared" si="4"/>
        <v>0</v>
      </c>
      <c r="Q41" s="81">
        <f t="shared" si="8"/>
        <v>0</v>
      </c>
      <c r="R41" s="81">
        <f t="shared" si="5"/>
        <v>0</v>
      </c>
      <c r="S41" s="80">
        <f t="shared" si="6"/>
        <v>0</v>
      </c>
      <c r="T41" s="80">
        <f>IF(SUM(L$35:L40)&lt;W$10,IF(SUM(L$35:L41)&lt;W$10,0,(SUM(L$35:L41)-W$10)),L41)</f>
        <v>0</v>
      </c>
      <c r="V41" s="2"/>
      <c r="W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4" hidden="1" x14ac:dyDescent="0.25">
      <c r="A42" s="259"/>
      <c r="B42" s="65" t="s">
        <v>159</v>
      </c>
      <c r="C42" s="66">
        <f>+C39</f>
        <v>2015</v>
      </c>
      <c r="D42" s="66">
        <v>8</v>
      </c>
      <c r="E42" s="66">
        <f t="shared" si="1"/>
        <v>1</v>
      </c>
      <c r="F42" s="66">
        <f t="shared" si="2"/>
        <v>1</v>
      </c>
      <c r="G42" s="260"/>
      <c r="H42" s="66"/>
      <c r="I42" s="260"/>
      <c r="J42" s="66"/>
      <c r="K42" s="82"/>
      <c r="L42" s="67"/>
      <c r="M42" s="81">
        <f>IF(SUM(M$35:M41)=K$33,0,IF(SUM(L$35:L42)&lt;$W$10,L42,K$33-SUM(L$35:L41)))</f>
        <v>0</v>
      </c>
      <c r="N42" s="81">
        <f t="shared" si="7"/>
        <v>0</v>
      </c>
      <c r="O42" s="81">
        <f t="shared" si="3"/>
        <v>0</v>
      </c>
      <c r="P42" s="81">
        <f t="shared" si="4"/>
        <v>0</v>
      </c>
      <c r="Q42" s="81">
        <f t="shared" si="8"/>
        <v>0</v>
      </c>
      <c r="R42" s="81">
        <f t="shared" si="5"/>
        <v>0</v>
      </c>
      <c r="S42" s="80">
        <f t="shared" si="6"/>
        <v>0</v>
      </c>
      <c r="T42" s="80">
        <f>IF(SUM(L$35:L41)&lt;W$10,IF(SUM(L$35:L42)&lt;W$10,0,(SUM(L$35:L42)-W$10)),L42)</f>
        <v>0</v>
      </c>
      <c r="V42" s="2"/>
      <c r="W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4" hidden="1" x14ac:dyDescent="0.25">
      <c r="A43" s="259">
        <v>2016</v>
      </c>
      <c r="B43" s="65" t="s">
        <v>156</v>
      </c>
      <c r="C43" s="66">
        <f>+A43</f>
        <v>2016</v>
      </c>
      <c r="D43" s="66">
        <v>9</v>
      </c>
      <c r="E43" s="66">
        <f t="shared" si="1"/>
        <v>1</v>
      </c>
      <c r="F43" s="66">
        <f t="shared" si="2"/>
        <v>1</v>
      </c>
      <c r="G43" s="260"/>
      <c r="H43" s="81">
        <f>+G43*F43</f>
        <v>0</v>
      </c>
      <c r="I43" s="260"/>
      <c r="J43" s="81">
        <f>+I43*F43</f>
        <v>0</v>
      </c>
      <c r="K43" s="82"/>
      <c r="L43" s="67"/>
      <c r="M43" s="81">
        <f>IF(SUM(M$35:M42)=K$33,0,IF(SUM(L$35:L43)&lt;$W$10,L43,K$33-SUM(L$35:L42)))</f>
        <v>0</v>
      </c>
      <c r="N43" s="81">
        <f t="shared" si="7"/>
        <v>0</v>
      </c>
      <c r="O43" s="81">
        <f t="shared" si="3"/>
        <v>0</v>
      </c>
      <c r="P43" s="81">
        <f t="shared" si="4"/>
        <v>0</v>
      </c>
      <c r="Q43" s="81">
        <f t="shared" si="8"/>
        <v>0</v>
      </c>
      <c r="R43" s="81">
        <f t="shared" si="5"/>
        <v>0</v>
      </c>
      <c r="S43" s="80">
        <f t="shared" si="6"/>
        <v>0</v>
      </c>
      <c r="T43" s="80">
        <f>IF(SUM(L$35:L42)&lt;W$10,IF(SUM(L$35:L43)&lt;W$10,0,(SUM(L$35:L43)-W$10)),L43)</f>
        <v>0</v>
      </c>
      <c r="V43" s="2">
        <f>SUM(T43:T46)</f>
        <v>0</v>
      </c>
      <c r="W43" s="2">
        <f>+V43*F43</f>
        <v>0</v>
      </c>
      <c r="Y43" s="2">
        <f>+X43*F43</f>
        <v>0</v>
      </c>
      <c r="Z43" s="2"/>
      <c r="AA43" s="2"/>
      <c r="AB43" s="2"/>
      <c r="AC43" s="2"/>
      <c r="AD43" s="2"/>
      <c r="AE43" s="2"/>
      <c r="AF43" s="2"/>
      <c r="AG43" s="2"/>
    </row>
    <row r="44" spans="1:34" hidden="1" x14ac:dyDescent="0.25">
      <c r="A44" s="259"/>
      <c r="B44" s="65" t="s">
        <v>157</v>
      </c>
      <c r="C44" s="66">
        <f>+C43</f>
        <v>2016</v>
      </c>
      <c r="D44" s="66">
        <v>10</v>
      </c>
      <c r="E44" s="66">
        <f t="shared" si="1"/>
        <v>1</v>
      </c>
      <c r="F44" s="66">
        <f t="shared" si="2"/>
        <v>1</v>
      </c>
      <c r="G44" s="260"/>
      <c r="H44" s="66"/>
      <c r="I44" s="260"/>
      <c r="J44" s="66"/>
      <c r="K44" s="82"/>
      <c r="L44" s="67"/>
      <c r="M44" s="81">
        <f>IF(SUM(M$35:M43)=K$33,0,IF(SUM(L$35:L44)&lt;$W$10,L44,K$33-SUM(L$35:L43)))</f>
        <v>0</v>
      </c>
      <c r="N44" s="81">
        <f t="shared" si="7"/>
        <v>0</v>
      </c>
      <c r="O44" s="81">
        <f t="shared" si="3"/>
        <v>0</v>
      </c>
      <c r="P44" s="81">
        <f t="shared" si="4"/>
        <v>0</v>
      </c>
      <c r="Q44" s="81">
        <f t="shared" si="8"/>
        <v>0</v>
      </c>
      <c r="R44" s="81">
        <f t="shared" si="5"/>
        <v>0</v>
      </c>
      <c r="S44" s="80">
        <f t="shared" si="6"/>
        <v>0</v>
      </c>
      <c r="T44" s="80">
        <f>IF(SUM(L$35:L43)&lt;W$10,IF(SUM(L$35:L44)&lt;W$10,0,(SUM(L$35:L44)-W$10)),L44)</f>
        <v>0</v>
      </c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4" hidden="1" x14ac:dyDescent="0.25">
      <c r="A45" s="259"/>
      <c r="B45" s="65" t="s">
        <v>158</v>
      </c>
      <c r="C45" s="66">
        <f>+C43</f>
        <v>2016</v>
      </c>
      <c r="D45" s="66">
        <v>11</v>
      </c>
      <c r="E45" s="66">
        <f t="shared" si="1"/>
        <v>1</v>
      </c>
      <c r="F45" s="66">
        <f t="shared" si="2"/>
        <v>1</v>
      </c>
      <c r="G45" s="260"/>
      <c r="H45" s="66"/>
      <c r="I45" s="260"/>
      <c r="J45" s="66"/>
      <c r="K45" s="82"/>
      <c r="L45" s="67"/>
      <c r="M45" s="81">
        <f>IF(SUM(M$35:M44)=K$33,0,IF(SUM(L$35:L45)&lt;$W$10,L45,K$33-SUM(L$35:L44)))</f>
        <v>0</v>
      </c>
      <c r="N45" s="81">
        <f t="shared" si="7"/>
        <v>0</v>
      </c>
      <c r="O45" s="81">
        <f t="shared" si="3"/>
        <v>0</v>
      </c>
      <c r="P45" s="81">
        <f t="shared" si="4"/>
        <v>0</v>
      </c>
      <c r="Q45" s="81">
        <f t="shared" si="8"/>
        <v>0</v>
      </c>
      <c r="R45" s="81">
        <f t="shared" si="5"/>
        <v>0</v>
      </c>
      <c r="S45" s="80">
        <f t="shared" si="6"/>
        <v>0</v>
      </c>
      <c r="T45" s="80">
        <f>IF(SUM(L$35:L44)&lt;W$10,IF(SUM(L$35:L45)&lt;W$10,0,(SUM(L$35:L45)-W$10)),L45)</f>
        <v>0</v>
      </c>
      <c r="V45" s="2"/>
      <c r="W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4" hidden="1" x14ac:dyDescent="0.25">
      <c r="A46" s="259"/>
      <c r="B46" s="65" t="s">
        <v>159</v>
      </c>
      <c r="C46" s="66">
        <f>+C43</f>
        <v>2016</v>
      </c>
      <c r="D46" s="66">
        <v>12</v>
      </c>
      <c r="E46" s="66">
        <f t="shared" si="1"/>
        <v>1</v>
      </c>
      <c r="F46" s="66">
        <f t="shared" si="2"/>
        <v>1</v>
      </c>
      <c r="G46" s="260"/>
      <c r="H46" s="66"/>
      <c r="I46" s="260"/>
      <c r="J46" s="66"/>
      <c r="K46" s="82"/>
      <c r="L46" s="67"/>
      <c r="M46" s="81">
        <f>IF(SUM(M$35:M45)=K$33,0,IF(SUM(L$35:L46)&lt;$W$10,L46,K$33-SUM(L$35:L45)))</f>
        <v>0</v>
      </c>
      <c r="N46" s="81">
        <f t="shared" si="7"/>
        <v>0</v>
      </c>
      <c r="O46" s="81">
        <f t="shared" si="3"/>
        <v>0</v>
      </c>
      <c r="P46" s="81">
        <f t="shared" si="4"/>
        <v>0</v>
      </c>
      <c r="Q46" s="81">
        <f t="shared" si="8"/>
        <v>0</v>
      </c>
      <c r="R46" s="81">
        <f t="shared" si="5"/>
        <v>0</v>
      </c>
      <c r="S46" s="80">
        <f t="shared" si="6"/>
        <v>0</v>
      </c>
      <c r="T46" s="80">
        <f>IF(SUM(L$35:L45)&lt;W$10,IF(SUM(L$35:L46)&lt;W$10,0,(SUM(L$35:L46)-W$10)),L46)</f>
        <v>0</v>
      </c>
      <c r="V46" s="2"/>
      <c r="W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4" hidden="1" x14ac:dyDescent="0.25">
      <c r="A47" s="261">
        <v>2017</v>
      </c>
      <c r="B47" s="65" t="s">
        <v>156</v>
      </c>
      <c r="C47" s="66">
        <f>+A47</f>
        <v>2017</v>
      </c>
      <c r="D47" s="66">
        <v>13</v>
      </c>
      <c r="E47" s="66">
        <f t="shared" si="1"/>
        <v>1</v>
      </c>
      <c r="F47" s="66">
        <f t="shared" si="2"/>
        <v>1</v>
      </c>
      <c r="G47" s="260"/>
      <c r="H47" s="81">
        <f>+G47*F47</f>
        <v>0</v>
      </c>
      <c r="I47" s="260"/>
      <c r="J47" s="81">
        <f>+I47*F47</f>
        <v>0</v>
      </c>
      <c r="K47" s="82"/>
      <c r="L47" s="67"/>
      <c r="M47" s="81">
        <f>IF(SUM(M$35:M46)=K$33,0,IF(SUM(L$35:L47)&lt;$W$10,L47,K$33-SUM(L$35:L46)))</f>
        <v>0</v>
      </c>
      <c r="N47" s="81">
        <f t="shared" si="7"/>
        <v>0</v>
      </c>
      <c r="O47" s="81">
        <f t="shared" si="3"/>
        <v>0</v>
      </c>
      <c r="P47" s="81">
        <f t="shared" si="4"/>
        <v>0</v>
      </c>
      <c r="Q47" s="81">
        <f t="shared" si="8"/>
        <v>0</v>
      </c>
      <c r="R47" s="81">
        <f t="shared" si="5"/>
        <v>0</v>
      </c>
      <c r="S47" s="80">
        <f t="shared" si="6"/>
        <v>0</v>
      </c>
      <c r="T47" s="80">
        <f>IF(SUM(L$35:L46)&lt;W$10,IF(SUM(L$35:L47)&lt;W$10,0,(SUM(L$35:L47)-W$10)),L47)</f>
        <v>0</v>
      </c>
      <c r="V47" s="2">
        <f>SUM(T47:T50)</f>
        <v>0</v>
      </c>
      <c r="W47" s="2">
        <f>+V47*F47</f>
        <v>0</v>
      </c>
      <c r="Y47" s="2">
        <f>+X47*F47</f>
        <v>0</v>
      </c>
      <c r="Z47" s="2"/>
      <c r="AA47" s="2"/>
      <c r="AB47" s="2"/>
      <c r="AC47" s="2"/>
      <c r="AD47" s="2"/>
      <c r="AE47" s="2"/>
      <c r="AF47" s="2"/>
      <c r="AG47" s="2"/>
    </row>
    <row r="48" spans="1:34" hidden="1" x14ac:dyDescent="0.25">
      <c r="A48" s="261"/>
      <c r="B48" s="65" t="s">
        <v>157</v>
      </c>
      <c r="C48" s="66">
        <f>+C47</f>
        <v>2017</v>
      </c>
      <c r="D48" s="66">
        <v>14</v>
      </c>
      <c r="E48" s="66">
        <f t="shared" si="1"/>
        <v>1</v>
      </c>
      <c r="F48" s="66">
        <f t="shared" si="2"/>
        <v>1</v>
      </c>
      <c r="G48" s="260"/>
      <c r="H48" s="66"/>
      <c r="I48" s="260"/>
      <c r="J48" s="66"/>
      <c r="K48" s="82"/>
      <c r="L48" s="67"/>
      <c r="M48" s="81">
        <f>IF(SUM(M$35:M47)=K$33,0,IF(SUM(L$35:L48)&lt;$W$10,L48,K$33-SUM(L$35:L47)))</f>
        <v>0</v>
      </c>
      <c r="N48" s="81">
        <f t="shared" si="7"/>
        <v>0</v>
      </c>
      <c r="O48" s="81">
        <f t="shared" si="3"/>
        <v>0</v>
      </c>
      <c r="P48" s="81">
        <f t="shared" si="4"/>
        <v>0</v>
      </c>
      <c r="Q48" s="81">
        <f t="shared" si="8"/>
        <v>0</v>
      </c>
      <c r="R48" s="81">
        <f t="shared" si="5"/>
        <v>0</v>
      </c>
      <c r="S48" s="80">
        <f t="shared" si="6"/>
        <v>0</v>
      </c>
      <c r="T48" s="80">
        <f>IF(SUM(L$35:L47)&lt;W$10,IF(SUM(L$35:L48)&lt;W$10,0,(SUM(L$35:L48)-W$10)),L48)</f>
        <v>0</v>
      </c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5" hidden="1" x14ac:dyDescent="0.25">
      <c r="A49" s="261"/>
      <c r="B49" s="65" t="s">
        <v>158</v>
      </c>
      <c r="C49" s="66">
        <f>+C47</f>
        <v>2017</v>
      </c>
      <c r="D49" s="66">
        <v>15</v>
      </c>
      <c r="E49" s="66">
        <f t="shared" si="1"/>
        <v>1</v>
      </c>
      <c r="F49" s="66">
        <f t="shared" si="2"/>
        <v>1</v>
      </c>
      <c r="G49" s="260"/>
      <c r="H49" s="66"/>
      <c r="I49" s="260"/>
      <c r="J49" s="66"/>
      <c r="K49" s="82"/>
      <c r="L49" s="67"/>
      <c r="M49" s="81">
        <f>IF(SUM(M$35:M48)=K$33,0,IF(SUM(L$35:L49)&lt;$W$10,L49,K$33-SUM(L$35:L48)))</f>
        <v>0</v>
      </c>
      <c r="N49" s="81">
        <f t="shared" si="7"/>
        <v>0</v>
      </c>
      <c r="O49" s="81">
        <f t="shared" si="3"/>
        <v>0</v>
      </c>
      <c r="P49" s="81">
        <f t="shared" si="4"/>
        <v>0</v>
      </c>
      <c r="Q49" s="81">
        <f t="shared" si="8"/>
        <v>0</v>
      </c>
      <c r="R49" s="81">
        <f t="shared" si="5"/>
        <v>0</v>
      </c>
      <c r="S49" s="80">
        <f t="shared" si="6"/>
        <v>0</v>
      </c>
      <c r="T49" s="80">
        <f>IF(SUM(L$35:L48)&lt;W$10,IF(SUM(L$35:L49)&lt;W$10,0,(SUM(L$35:L49)-W$10)),L49)</f>
        <v>0</v>
      </c>
      <c r="V49" s="2"/>
      <c r="W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5" hidden="1" x14ac:dyDescent="0.25">
      <c r="A50" s="261"/>
      <c r="B50" s="65" t="s">
        <v>159</v>
      </c>
      <c r="C50" s="66">
        <f>+C47</f>
        <v>2017</v>
      </c>
      <c r="D50" s="66">
        <v>16</v>
      </c>
      <c r="E50" s="66">
        <f t="shared" si="1"/>
        <v>1</v>
      </c>
      <c r="F50" s="66">
        <f t="shared" si="2"/>
        <v>1</v>
      </c>
      <c r="G50" s="260"/>
      <c r="H50" s="66"/>
      <c r="I50" s="260"/>
      <c r="J50" s="66"/>
      <c r="K50" s="82"/>
      <c r="L50" s="67"/>
      <c r="M50" s="81">
        <f>IF(SUM(M$35:M49)=K$33,0,IF(SUM(L$35:L50)&lt;$W$10,L50,K$33-SUM(L$35:L49)))</f>
        <v>0</v>
      </c>
      <c r="N50" s="81">
        <f t="shared" si="7"/>
        <v>0</v>
      </c>
      <c r="O50" s="81">
        <f t="shared" si="3"/>
        <v>0</v>
      </c>
      <c r="P50" s="81">
        <f t="shared" si="4"/>
        <v>0</v>
      </c>
      <c r="Q50" s="81">
        <f t="shared" si="8"/>
        <v>0</v>
      </c>
      <c r="R50" s="81">
        <f t="shared" si="5"/>
        <v>0</v>
      </c>
      <c r="S50" s="80">
        <f t="shared" si="6"/>
        <v>0</v>
      </c>
      <c r="T50" s="80">
        <f>IF(SUM(L$35:L49)&lt;W$10,IF(SUM(L$35:L50)&lt;W$10,0,(SUM(L$35:L50)-W$10)),L50)</f>
        <v>0</v>
      </c>
      <c r="V50" s="2"/>
      <c r="W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5" x14ac:dyDescent="0.25">
      <c r="A51" s="261">
        <v>2018</v>
      </c>
      <c r="B51" s="65" t="s">
        <v>156</v>
      </c>
      <c r="C51" s="66">
        <f>+A51</f>
        <v>2018</v>
      </c>
      <c r="D51" s="66">
        <v>17</v>
      </c>
      <c r="E51" s="66">
        <f t="shared" si="1"/>
        <v>1</v>
      </c>
      <c r="F51" s="66">
        <f t="shared" si="2"/>
        <v>1</v>
      </c>
      <c r="G51" s="260"/>
      <c r="H51" s="81">
        <f>+G51*F51</f>
        <v>0</v>
      </c>
      <c r="I51" s="260"/>
      <c r="J51" s="81">
        <f>+I51*F51</f>
        <v>0</v>
      </c>
      <c r="K51" s="162"/>
      <c r="L51" s="68"/>
      <c r="M51" s="81">
        <f>IF(SUM(M$35:M50)=K$33,0,IF(SUM(L$35:L51)&lt;$W$10,L51,K$33-SUM(L$35:L50)))</f>
        <v>0</v>
      </c>
      <c r="N51" s="81">
        <f t="shared" si="7"/>
        <v>0</v>
      </c>
      <c r="O51" s="81">
        <f t="shared" si="3"/>
        <v>0</v>
      </c>
      <c r="P51" s="81">
        <f t="shared" si="4"/>
        <v>0</v>
      </c>
      <c r="Q51" s="81">
        <f t="shared" si="8"/>
        <v>0</v>
      </c>
      <c r="R51" s="81">
        <f t="shared" si="5"/>
        <v>0</v>
      </c>
      <c r="S51" s="80">
        <f t="shared" si="6"/>
        <v>0</v>
      </c>
      <c r="T51" s="80">
        <f>IF(SUM(L$35:L50)&lt;W$10,IF(SUM(L$35:L51)&lt;W$10,0,(SUM(L$35:L51)-W$10)),L51)</f>
        <v>0</v>
      </c>
      <c r="V51" s="2">
        <f>SUM(T51:T54)</f>
        <v>0</v>
      </c>
      <c r="W51" s="2">
        <f>+V51*F51</f>
        <v>0</v>
      </c>
      <c r="Y51" s="2">
        <f>+X51*F51</f>
        <v>0</v>
      </c>
      <c r="Z51" s="2"/>
      <c r="AA51" s="2"/>
      <c r="AB51" s="2"/>
      <c r="AC51" s="2"/>
      <c r="AD51" s="2"/>
      <c r="AE51" s="2"/>
      <c r="AF51" s="2"/>
      <c r="AG51" s="2"/>
    </row>
    <row r="52" spans="1:35" x14ac:dyDescent="0.25">
      <c r="A52" s="261"/>
      <c r="B52" s="65" t="s">
        <v>157</v>
      </c>
      <c r="C52" s="66">
        <f>+C51</f>
        <v>2018</v>
      </c>
      <c r="D52" s="66">
        <v>18</v>
      </c>
      <c r="E52" s="66">
        <f t="shared" si="1"/>
        <v>1</v>
      </c>
      <c r="F52" s="66">
        <f t="shared" si="2"/>
        <v>1</v>
      </c>
      <c r="G52" s="260"/>
      <c r="H52" s="66"/>
      <c r="I52" s="260"/>
      <c r="J52" s="66"/>
      <c r="K52" s="162"/>
      <c r="L52" s="68"/>
      <c r="M52" s="81">
        <f>IF(SUM(M$35:M51)=K$33,0,IF(SUM(L$35:L52)&lt;$W$10,L52,K$33-SUM(L$35:L51)))</f>
        <v>0</v>
      </c>
      <c r="N52" s="81">
        <f t="shared" si="7"/>
        <v>0</v>
      </c>
      <c r="O52" s="81">
        <f t="shared" si="3"/>
        <v>0</v>
      </c>
      <c r="P52" s="81">
        <f t="shared" si="4"/>
        <v>0</v>
      </c>
      <c r="Q52" s="81">
        <f t="shared" si="8"/>
        <v>0</v>
      </c>
      <c r="R52" s="81">
        <f t="shared" si="5"/>
        <v>0</v>
      </c>
      <c r="S52" s="80">
        <f t="shared" si="6"/>
        <v>0</v>
      </c>
      <c r="T52" s="80">
        <f>IF(SUM(L$35:L51)&lt;W$10,IF(SUM(L$35:L52)&lt;W$10,0,(SUM(L$35:L52)-W$10)),L52)</f>
        <v>0</v>
      </c>
      <c r="V52" s="2"/>
      <c r="W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5" x14ac:dyDescent="0.25">
      <c r="A53" s="261"/>
      <c r="B53" s="65" t="s">
        <v>158</v>
      </c>
      <c r="C53" s="66">
        <f>+C51</f>
        <v>2018</v>
      </c>
      <c r="D53" s="66">
        <v>19</v>
      </c>
      <c r="E53" s="66">
        <f t="shared" si="1"/>
        <v>1</v>
      </c>
      <c r="F53" s="66">
        <f t="shared" si="2"/>
        <v>1</v>
      </c>
      <c r="G53" s="260"/>
      <c r="H53" s="66"/>
      <c r="I53" s="260"/>
      <c r="J53" s="66"/>
      <c r="K53" s="162"/>
      <c r="L53" s="68"/>
      <c r="M53" s="81">
        <f>IF(SUM(M$35:M52)=K$33,0,IF(SUM(L$35:L53)&lt;$W$10,L53,K$33-SUM(L$35:L52)))</f>
        <v>0</v>
      </c>
      <c r="N53" s="81">
        <f t="shared" si="7"/>
        <v>0</v>
      </c>
      <c r="O53" s="81">
        <f t="shared" si="3"/>
        <v>0</v>
      </c>
      <c r="P53" s="81">
        <f t="shared" si="4"/>
        <v>0</v>
      </c>
      <c r="Q53" s="81">
        <f t="shared" si="8"/>
        <v>0</v>
      </c>
      <c r="R53" s="81">
        <f t="shared" si="5"/>
        <v>0</v>
      </c>
      <c r="S53" s="80">
        <f t="shared" si="6"/>
        <v>0</v>
      </c>
      <c r="T53" s="80">
        <f>IF(SUM(L$35:L52)&lt;W$10,IF(SUM(L$35:L53)&lt;W$10,0,(SUM(L$35:L53)-W$10)),L53)</f>
        <v>0</v>
      </c>
      <c r="V53" s="2"/>
      <c r="W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5" x14ac:dyDescent="0.25">
      <c r="A54" s="261"/>
      <c r="B54" s="65" t="s">
        <v>159</v>
      </c>
      <c r="C54" s="66">
        <f>+C51</f>
        <v>2018</v>
      </c>
      <c r="D54" s="66">
        <v>20</v>
      </c>
      <c r="E54" s="66">
        <f t="shared" si="1"/>
        <v>1</v>
      </c>
      <c r="F54" s="66">
        <f t="shared" si="2"/>
        <v>1</v>
      </c>
      <c r="G54" s="260"/>
      <c r="H54" s="66"/>
      <c r="I54" s="260"/>
      <c r="J54" s="66"/>
      <c r="K54" s="162"/>
      <c r="L54" s="68"/>
      <c r="M54" s="81">
        <f>IF(SUM(M$35:M53)=K$33,0,IF(SUM(L$35:L54)&lt;$W$10,L54,K$33-SUM(L$35:L53)))</f>
        <v>0</v>
      </c>
      <c r="N54" s="81">
        <f t="shared" si="7"/>
        <v>0</v>
      </c>
      <c r="O54" s="81">
        <f t="shared" si="3"/>
        <v>0</v>
      </c>
      <c r="P54" s="81">
        <f t="shared" si="4"/>
        <v>0</v>
      </c>
      <c r="Q54" s="81">
        <f t="shared" si="8"/>
        <v>0</v>
      </c>
      <c r="R54" s="81">
        <f t="shared" si="5"/>
        <v>0</v>
      </c>
      <c r="S54" s="80">
        <f t="shared" si="6"/>
        <v>0</v>
      </c>
      <c r="T54" s="80">
        <f>IF(SUM(L$35:L53)&lt;W$10,IF(SUM(L$35:L54)&lt;W$10,0,(SUM(L$35:L54)-W$10)),L54)</f>
        <v>0</v>
      </c>
      <c r="V54" s="2"/>
      <c r="W54" s="2"/>
      <c r="Y54" s="2"/>
      <c r="Z54" s="2"/>
      <c r="AA54" s="15"/>
      <c r="AG54" s="17">
        <v>1</v>
      </c>
      <c r="AH54" s="17" t="s">
        <v>117</v>
      </c>
      <c r="AI54" s="53">
        <v>6.0000000000000001E-3</v>
      </c>
    </row>
    <row r="55" spans="1:35" x14ac:dyDescent="0.25">
      <c r="A55" s="261">
        <v>2019</v>
      </c>
      <c r="B55" s="65" t="s">
        <v>156</v>
      </c>
      <c r="C55" s="66">
        <f>+A55</f>
        <v>2019</v>
      </c>
      <c r="D55" s="66">
        <v>21</v>
      </c>
      <c r="E55" s="66">
        <f t="shared" si="1"/>
        <v>1</v>
      </c>
      <c r="F55" s="66">
        <f t="shared" si="2"/>
        <v>1</v>
      </c>
      <c r="G55" s="260"/>
      <c r="H55" s="81">
        <f>+G55*F55</f>
        <v>0</v>
      </c>
      <c r="I55" s="260"/>
      <c r="J55" s="81">
        <f>+I55*F55</f>
        <v>0</v>
      </c>
      <c r="K55" s="162"/>
      <c r="L55" s="68"/>
      <c r="M55" s="81">
        <f>IF(SUM(M$35:M54)=K$33,0,IF(SUM(L$35:L55)&lt;$W$10,L55,K$33-SUM(L$35:L54)))</f>
        <v>0</v>
      </c>
      <c r="N55" s="81">
        <f t="shared" si="7"/>
        <v>0</v>
      </c>
      <c r="O55" s="81">
        <f t="shared" si="3"/>
        <v>0</v>
      </c>
      <c r="P55" s="81">
        <f t="shared" si="4"/>
        <v>0</v>
      </c>
      <c r="Q55" s="81">
        <f t="shared" si="8"/>
        <v>0</v>
      </c>
      <c r="R55" s="81">
        <f t="shared" si="5"/>
        <v>0</v>
      </c>
      <c r="S55" s="80">
        <f t="shared" si="6"/>
        <v>0</v>
      </c>
      <c r="T55" s="80">
        <f>IF(SUM(L$35:L54)&lt;W$10,IF(SUM(L$35:L55)&lt;W$10,0,(SUM(L$35:L55)-W$10)),L55)</f>
        <v>0</v>
      </c>
      <c r="V55" s="2">
        <f>SUM(T55:T58)</f>
        <v>0</v>
      </c>
      <c r="W55" s="2">
        <f>+V55*F55</f>
        <v>0</v>
      </c>
      <c r="Y55" s="2">
        <f>+X55*F55</f>
        <v>0</v>
      </c>
      <c r="Z55" s="2"/>
      <c r="AD55" s="46" t="s">
        <v>128</v>
      </c>
      <c r="AG55" s="17">
        <v>2</v>
      </c>
      <c r="AH55" s="17" t="s">
        <v>120</v>
      </c>
      <c r="AI55" s="53">
        <v>7.4999999999999997E-3</v>
      </c>
    </row>
    <row r="56" spans="1:35" x14ac:dyDescent="0.25">
      <c r="A56" s="261"/>
      <c r="B56" s="65" t="s">
        <v>157</v>
      </c>
      <c r="C56" s="66">
        <f>+C55</f>
        <v>2019</v>
      </c>
      <c r="D56" s="66">
        <v>22</v>
      </c>
      <c r="E56" s="66">
        <f t="shared" si="1"/>
        <v>0.99287611388289032</v>
      </c>
      <c r="F56" s="66">
        <f t="shared" si="2"/>
        <v>1</v>
      </c>
      <c r="G56" s="260"/>
      <c r="H56" s="66"/>
      <c r="I56" s="260"/>
      <c r="J56" s="66"/>
      <c r="K56" s="162"/>
      <c r="L56" s="68"/>
      <c r="M56" s="81">
        <f>IF(SUM(M$35:M55)=K$33,0,IF(SUM(L$35:L56)&lt;$W$10,L56,K$33-SUM(L$35:L55)))</f>
        <v>0</v>
      </c>
      <c r="N56" s="81">
        <f t="shared" si="7"/>
        <v>0</v>
      </c>
      <c r="O56" s="81">
        <f t="shared" si="3"/>
        <v>0</v>
      </c>
      <c r="P56" s="81">
        <f t="shared" si="4"/>
        <v>0</v>
      </c>
      <c r="Q56" s="81">
        <f t="shared" si="8"/>
        <v>0</v>
      </c>
      <c r="R56" s="81">
        <f t="shared" si="5"/>
        <v>0</v>
      </c>
      <c r="S56" s="80">
        <f t="shared" si="6"/>
        <v>0</v>
      </c>
      <c r="T56" s="80">
        <f>IF(SUM(L$35:L55)&lt;W$10,IF(SUM(L$35:L56)&lt;W$10,0,(SUM(L$35:L56)-W$10)),L56)</f>
        <v>0</v>
      </c>
      <c r="V56" s="2"/>
      <c r="W56" s="2"/>
      <c r="Y56" s="2"/>
      <c r="Z56" s="2"/>
      <c r="AA56" s="54" t="s">
        <v>132</v>
      </c>
      <c r="AB56" s="55" t="s">
        <v>133</v>
      </c>
      <c r="AC56" s="45"/>
      <c r="AD56" s="56"/>
      <c r="AG56" s="17">
        <v>3</v>
      </c>
      <c r="AH56" s="17" t="s">
        <v>122</v>
      </c>
      <c r="AI56" s="53">
        <v>0.01</v>
      </c>
    </row>
    <row r="57" spans="1:35" x14ac:dyDescent="0.25">
      <c r="A57" s="261"/>
      <c r="B57" s="65" t="s">
        <v>158</v>
      </c>
      <c r="C57" s="66">
        <f>+C55</f>
        <v>2019</v>
      </c>
      <c r="D57" s="66">
        <v>23</v>
      </c>
      <c r="E57" s="66">
        <f t="shared" si="1"/>
        <v>0.98580297751919022</v>
      </c>
      <c r="F57" s="66">
        <f t="shared" si="2"/>
        <v>1</v>
      </c>
      <c r="G57" s="260"/>
      <c r="H57" s="66"/>
      <c r="I57" s="260"/>
      <c r="J57" s="66"/>
      <c r="K57" s="162"/>
      <c r="L57" s="68"/>
      <c r="M57" s="81">
        <f>IF(SUM(M$35:M56)=K$33,0,IF(SUM(L$35:L57)&lt;$W$10,L57,K$33-SUM(L$35:L56)))</f>
        <v>0</v>
      </c>
      <c r="N57" s="81">
        <f t="shared" si="7"/>
        <v>0</v>
      </c>
      <c r="O57" s="81">
        <f t="shared" si="3"/>
        <v>0</v>
      </c>
      <c r="P57" s="81">
        <f t="shared" si="4"/>
        <v>0</v>
      </c>
      <c r="Q57" s="81">
        <f t="shared" si="8"/>
        <v>0</v>
      </c>
      <c r="R57" s="81">
        <f t="shared" si="5"/>
        <v>0</v>
      </c>
      <c r="S57" s="80">
        <f t="shared" si="6"/>
        <v>0</v>
      </c>
      <c r="T57" s="80">
        <f>IF(SUM(L$35:L56)&lt;W$10,IF(SUM(L$35:L57)&lt;W$10,0,(SUM(L$35:L57)-W$10)),L57)</f>
        <v>0</v>
      </c>
      <c r="V57" s="2"/>
      <c r="W57" s="2"/>
      <c r="Y57" s="2"/>
      <c r="Z57" s="2"/>
      <c r="AA57" s="54"/>
      <c r="AB57" s="55"/>
      <c r="AC57" s="45"/>
      <c r="AD57" s="56"/>
      <c r="AH57" s="17"/>
      <c r="AI57" s="53"/>
    </row>
    <row r="58" spans="1:35" x14ac:dyDescent="0.25">
      <c r="A58" s="261"/>
      <c r="B58" s="65" t="s">
        <v>159</v>
      </c>
      <c r="C58" s="66">
        <f>+C55</f>
        <v>2019</v>
      </c>
      <c r="D58" s="66">
        <v>24</v>
      </c>
      <c r="E58" s="66">
        <f t="shared" si="1"/>
        <v>0.97878022937343589</v>
      </c>
      <c r="F58" s="66">
        <f t="shared" si="2"/>
        <v>1</v>
      </c>
      <c r="G58" s="260"/>
      <c r="H58" s="66"/>
      <c r="I58" s="260"/>
      <c r="J58" s="66"/>
      <c r="K58" s="162"/>
      <c r="L58" s="68"/>
      <c r="M58" s="81">
        <f>IF(SUM(M$35:M57)=K$33,0,IF(SUM(L$35:L58)&lt;$W$10,L58,K$33-SUM(L$35:L57)))</f>
        <v>0</v>
      </c>
      <c r="N58" s="81">
        <f t="shared" si="7"/>
        <v>0</v>
      </c>
      <c r="O58" s="81">
        <f t="shared" si="3"/>
        <v>0</v>
      </c>
      <c r="P58" s="81">
        <f t="shared" si="4"/>
        <v>0</v>
      </c>
      <c r="Q58" s="81">
        <f t="shared" si="8"/>
        <v>0</v>
      </c>
      <c r="R58" s="81">
        <f t="shared" si="5"/>
        <v>0</v>
      </c>
      <c r="S58" s="80">
        <f t="shared" si="6"/>
        <v>0</v>
      </c>
      <c r="T58" s="80">
        <f>IF(SUM(L$35:L57)&lt;W$10,IF(SUM(L$35:L58)&lt;W$10,0,(SUM(L$35:L58)-W$10)),L58)</f>
        <v>0</v>
      </c>
      <c r="V58" s="2"/>
      <c r="W58" s="2"/>
      <c r="Y58" s="2"/>
      <c r="Z58" s="2"/>
      <c r="AB58" s="55" t="s">
        <v>135</v>
      </c>
      <c r="AC58" s="45"/>
      <c r="AD58" s="56"/>
      <c r="AG58" s="17">
        <v>4</v>
      </c>
      <c r="AH58" s="17" t="s">
        <v>125</v>
      </c>
      <c r="AI58" s="53">
        <v>2.1999999999999999E-2</v>
      </c>
    </row>
    <row r="59" spans="1:35" x14ac:dyDescent="0.25">
      <c r="A59" s="261">
        <v>2020</v>
      </c>
      <c r="B59" s="65" t="s">
        <v>156</v>
      </c>
      <c r="C59" s="66">
        <f>+A59</f>
        <v>2020</v>
      </c>
      <c r="D59" s="66">
        <v>25</v>
      </c>
      <c r="E59" s="66">
        <f t="shared" si="1"/>
        <v>0.97180751048570091</v>
      </c>
      <c r="F59" s="66">
        <f t="shared" si="2"/>
        <v>0.97210070963351813</v>
      </c>
      <c r="G59" s="260"/>
      <c r="H59" s="81">
        <f>+G59*F59</f>
        <v>0</v>
      </c>
      <c r="I59" s="260"/>
      <c r="J59" s="81">
        <f>+I59*F59</f>
        <v>0</v>
      </c>
      <c r="K59" s="162"/>
      <c r="L59" s="68"/>
      <c r="M59" s="81">
        <f>IF(SUM(M$35:M58)=K$33,0,IF(SUM(L$35:L59)&lt;$W$10,L59,K$33-SUM(L$35:L58)))</f>
        <v>0</v>
      </c>
      <c r="N59" s="81">
        <f t="shared" si="7"/>
        <v>0</v>
      </c>
      <c r="O59" s="81">
        <f t="shared" si="3"/>
        <v>0</v>
      </c>
      <c r="P59" s="81">
        <f t="shared" si="4"/>
        <v>0</v>
      </c>
      <c r="Q59" s="81">
        <f t="shared" si="8"/>
        <v>0</v>
      </c>
      <c r="R59" s="81">
        <f t="shared" si="5"/>
        <v>0</v>
      </c>
      <c r="S59" s="80">
        <f t="shared" si="6"/>
        <v>0</v>
      </c>
      <c r="T59" s="80">
        <f>IF(SUM(L$35:L58)&lt;W$10,IF(SUM(L$35:L59)&lt;W$10,0,(SUM(L$35:L59)-W$10)),L59)</f>
        <v>0</v>
      </c>
      <c r="V59" s="2">
        <f>SUM(T59:T62)</f>
        <v>0</v>
      </c>
      <c r="W59" s="2">
        <f>+V59*F59</f>
        <v>0</v>
      </c>
      <c r="Y59" s="2">
        <f>+X59*F59</f>
        <v>0</v>
      </c>
      <c r="Z59" s="2"/>
      <c r="AA59" s="2"/>
      <c r="AB59" s="2"/>
      <c r="AC59" s="2"/>
      <c r="AD59" s="2"/>
      <c r="AE59" s="2"/>
      <c r="AF59" s="2"/>
      <c r="AG59" s="2"/>
    </row>
    <row r="60" spans="1:35" x14ac:dyDescent="0.25">
      <c r="A60" s="261"/>
      <c r="B60" s="65" t="s">
        <v>157</v>
      </c>
      <c r="C60" s="66">
        <f>+C59</f>
        <v>2020</v>
      </c>
      <c r="D60" s="66">
        <v>26</v>
      </c>
      <c r="E60" s="66">
        <f t="shared" si="1"/>
        <v>0.96488446445324882</v>
      </c>
      <c r="F60" s="66">
        <f t="shared" si="2"/>
        <v>0.97210070963351813</v>
      </c>
      <c r="G60" s="260"/>
      <c r="H60" s="66"/>
      <c r="I60" s="260"/>
      <c r="J60" s="66"/>
      <c r="K60" s="162"/>
      <c r="L60" s="68"/>
      <c r="M60" s="81">
        <f>IF(SUM(M$35:M59)=K$33,0,IF(SUM(L$35:L60)&lt;$W$10,L60,K$33-SUM(L$35:L59)))</f>
        <v>0</v>
      </c>
      <c r="N60" s="81">
        <f t="shared" si="7"/>
        <v>0</v>
      </c>
      <c r="O60" s="81">
        <f t="shared" si="3"/>
        <v>0</v>
      </c>
      <c r="P60" s="81">
        <f t="shared" si="4"/>
        <v>0</v>
      </c>
      <c r="Q60" s="81">
        <f t="shared" si="8"/>
        <v>0</v>
      </c>
      <c r="R60" s="81">
        <f t="shared" si="5"/>
        <v>0</v>
      </c>
      <c r="S60" s="80">
        <f t="shared" si="6"/>
        <v>0</v>
      </c>
      <c r="T60" s="80">
        <f>IF(SUM(L$35:L59)&lt;W$10,IF(SUM(L$35:L60)&lt;W$10,0,(SUM(L$35:L60)-W$10)),L60)</f>
        <v>0</v>
      </c>
      <c r="V60" s="2"/>
      <c r="W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5" x14ac:dyDescent="0.25">
      <c r="A61" s="261"/>
      <c r="B61" s="65" t="s">
        <v>158</v>
      </c>
      <c r="C61" s="66">
        <f>+C59</f>
        <v>2020</v>
      </c>
      <c r="D61" s="66">
        <v>27</v>
      </c>
      <c r="E61" s="66">
        <f t="shared" si="1"/>
        <v>0.95801073741231557</v>
      </c>
      <c r="F61" s="66">
        <f t="shared" si="2"/>
        <v>0.97210070963351813</v>
      </c>
      <c r="G61" s="260"/>
      <c r="H61" s="66"/>
      <c r="I61" s="260"/>
      <c r="J61" s="66"/>
      <c r="K61" s="162"/>
      <c r="L61" s="68"/>
      <c r="M61" s="81">
        <f>IF(SUM(M$35:M60)=K$33,0,IF(SUM(L$35:L61)&lt;$W$10,L61,K$33-SUM(L$35:L60)))</f>
        <v>0</v>
      </c>
      <c r="N61" s="81">
        <f t="shared" si="7"/>
        <v>0</v>
      </c>
      <c r="O61" s="81">
        <f t="shared" si="3"/>
        <v>0</v>
      </c>
      <c r="P61" s="81">
        <f t="shared" si="4"/>
        <v>0</v>
      </c>
      <c r="Q61" s="81">
        <f t="shared" si="8"/>
        <v>0</v>
      </c>
      <c r="R61" s="81">
        <f t="shared" si="5"/>
        <v>0</v>
      </c>
      <c r="S61" s="80">
        <f t="shared" si="6"/>
        <v>0</v>
      </c>
      <c r="T61" s="80">
        <f>IF(SUM(L$35:L60)&lt;W$10,IF(SUM(L$35:L61)&lt;W$10,0,(SUM(L$35:L61)-W$10)),L61)</f>
        <v>0</v>
      </c>
      <c r="V61" s="2"/>
      <c r="W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5" x14ac:dyDescent="0.25">
      <c r="A62" s="261"/>
      <c r="B62" s="65" t="s">
        <v>159</v>
      </c>
      <c r="C62" s="66">
        <f>+C59</f>
        <v>2020</v>
      </c>
      <c r="D62" s="66">
        <v>28</v>
      </c>
      <c r="E62" s="66">
        <f t="shared" si="1"/>
        <v>0.95118597802002203</v>
      </c>
      <c r="F62" s="66">
        <f t="shared" si="2"/>
        <v>0.97210070963351813</v>
      </c>
      <c r="G62" s="260"/>
      <c r="H62" s="66"/>
      <c r="I62" s="260"/>
      <c r="J62" s="66"/>
      <c r="K62" s="162"/>
      <c r="L62" s="68"/>
      <c r="M62" s="81">
        <f>IF(SUM(M$35:M61)=K$33,0,IF(SUM(L$35:L62)&lt;$W$10,L62,K$33-SUM(L$35:L61)))</f>
        <v>0</v>
      </c>
      <c r="N62" s="81">
        <f t="shared" si="7"/>
        <v>0</v>
      </c>
      <c r="O62" s="81">
        <f t="shared" si="3"/>
        <v>0</v>
      </c>
      <c r="P62" s="81">
        <f t="shared" si="4"/>
        <v>0</v>
      </c>
      <c r="Q62" s="81">
        <f t="shared" si="8"/>
        <v>0</v>
      </c>
      <c r="R62" s="81">
        <f t="shared" si="5"/>
        <v>0</v>
      </c>
      <c r="S62" s="80">
        <f t="shared" si="6"/>
        <v>0</v>
      </c>
      <c r="T62" s="80">
        <f>IF(SUM(L$35:L61)&lt;W$10,IF(SUM(L$35:L62)&lt;W$10,0,(SUM(L$35:L62)-W$10)),L62)</f>
        <v>0</v>
      </c>
      <c r="V62" s="2"/>
      <c r="W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5" x14ac:dyDescent="0.25">
      <c r="A63" s="261">
        <v>2021</v>
      </c>
      <c r="B63" s="65" t="s">
        <v>156</v>
      </c>
      <c r="C63" s="66">
        <f>+A63</f>
        <v>2021</v>
      </c>
      <c r="D63" s="66">
        <v>29</v>
      </c>
      <c r="E63" s="66">
        <f t="shared" si="1"/>
        <v>0.94440983743641571</v>
      </c>
      <c r="F63" s="66">
        <f t="shared" si="2"/>
        <v>0.94497978966998941</v>
      </c>
      <c r="G63" s="260"/>
      <c r="H63" s="81">
        <f>+G63*F63</f>
        <v>0</v>
      </c>
      <c r="I63" s="260"/>
      <c r="J63" s="81">
        <f>+I63*F63</f>
        <v>0</v>
      </c>
      <c r="K63" s="162"/>
      <c r="L63" s="68"/>
      <c r="M63" s="81">
        <f>IF(SUM(M$35:M62)=K$33,0,IF(SUM(L$35:L63)&lt;$W$10,L63,K$33-SUM(L$35:L62)))</f>
        <v>0</v>
      </c>
      <c r="N63" s="81">
        <f t="shared" si="7"/>
        <v>0</v>
      </c>
      <c r="O63" s="81">
        <f t="shared" si="3"/>
        <v>0</v>
      </c>
      <c r="P63" s="81">
        <f t="shared" si="4"/>
        <v>0</v>
      </c>
      <c r="Q63" s="81">
        <f t="shared" si="8"/>
        <v>0</v>
      </c>
      <c r="R63" s="81">
        <f t="shared" si="5"/>
        <v>0</v>
      </c>
      <c r="S63" s="80">
        <f t="shared" si="6"/>
        <v>0</v>
      </c>
      <c r="T63" s="80">
        <f>IF(SUM(L$35:L62)&lt;W$10,IF(SUM(L$35:L63)&lt;W$10,0,(SUM(L$35:L63)-W$10)),L63)</f>
        <v>0</v>
      </c>
      <c r="V63" s="2">
        <f>SUM(T63:T66)</f>
        <v>0</v>
      </c>
      <c r="W63" s="2">
        <f>+V63*F63</f>
        <v>0</v>
      </c>
      <c r="Y63" s="2">
        <f>+X63*F63</f>
        <v>0</v>
      </c>
      <c r="Z63" s="2"/>
      <c r="AA63" s="2"/>
      <c r="AB63" s="2"/>
      <c r="AC63" s="2"/>
      <c r="AD63" s="2"/>
      <c r="AE63" s="2"/>
      <c r="AF63" s="2"/>
      <c r="AG63" s="2"/>
    </row>
    <row r="64" spans="1:35" x14ac:dyDescent="0.25">
      <c r="A64" s="261"/>
      <c r="B64" s="65" t="s">
        <v>157</v>
      </c>
      <c r="C64" s="66">
        <f>+C63</f>
        <v>2021</v>
      </c>
      <c r="D64" s="66">
        <v>30</v>
      </c>
      <c r="E64" s="66">
        <f t="shared" si="1"/>
        <v>0.93768196930664061</v>
      </c>
      <c r="F64" s="66">
        <f t="shared" si="2"/>
        <v>0.94497978966998941</v>
      </c>
      <c r="G64" s="260"/>
      <c r="H64" s="66"/>
      <c r="I64" s="260"/>
      <c r="J64" s="66"/>
      <c r="K64" s="162"/>
      <c r="L64" s="68"/>
      <c r="M64" s="81">
        <f>IF(SUM(M$35:M63)=K$33,0,IF(SUM(L$35:L64)&lt;$W$10,L64,K$33-SUM(L$35:L63)))</f>
        <v>0</v>
      </c>
      <c r="N64" s="81">
        <f t="shared" si="7"/>
        <v>0</v>
      </c>
      <c r="O64" s="81">
        <f t="shared" si="3"/>
        <v>0</v>
      </c>
      <c r="P64" s="81">
        <f t="shared" si="4"/>
        <v>0</v>
      </c>
      <c r="Q64" s="81">
        <f t="shared" si="8"/>
        <v>0</v>
      </c>
      <c r="R64" s="81">
        <f t="shared" si="5"/>
        <v>0</v>
      </c>
      <c r="S64" s="80">
        <f t="shared" si="6"/>
        <v>0</v>
      </c>
      <c r="T64" s="80">
        <f>IF(SUM(L$35:L63)&lt;W$10,IF(SUM(L$35:L64)&lt;W$10,0,(SUM(L$35:L64)-W$10)),L64)</f>
        <v>0</v>
      </c>
      <c r="V64" s="2"/>
      <c r="W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61"/>
      <c r="B65" s="65" t="s">
        <v>158</v>
      </c>
      <c r="C65" s="66">
        <f>+C63</f>
        <v>2021</v>
      </c>
      <c r="D65" s="66">
        <v>31</v>
      </c>
      <c r="E65" s="66">
        <f t="shared" si="1"/>
        <v>0.93100202974323298</v>
      </c>
      <c r="F65" s="66">
        <f t="shared" si="2"/>
        <v>0.94497978966998941</v>
      </c>
      <c r="G65" s="260"/>
      <c r="H65" s="66"/>
      <c r="I65" s="260"/>
      <c r="J65" s="66"/>
      <c r="K65" s="162"/>
      <c r="L65" s="68"/>
      <c r="M65" s="81">
        <f>IF(SUM(M$35:M64)=K$33,0,IF(SUM(L$35:L65)&lt;$W$10,L65,K$33-SUM(L$35:L64)))</f>
        <v>0</v>
      </c>
      <c r="N65" s="81">
        <f t="shared" si="7"/>
        <v>0</v>
      </c>
      <c r="O65" s="81">
        <f t="shared" si="3"/>
        <v>0</v>
      </c>
      <c r="P65" s="81">
        <f t="shared" si="4"/>
        <v>0</v>
      </c>
      <c r="Q65" s="81">
        <f t="shared" si="8"/>
        <v>0</v>
      </c>
      <c r="R65" s="81">
        <f t="shared" si="5"/>
        <v>0</v>
      </c>
      <c r="S65" s="80">
        <f t="shared" si="6"/>
        <v>0</v>
      </c>
      <c r="T65" s="80">
        <f>IF(SUM(L$35:L64)&lt;W$10,IF(SUM(L$35:L65)&lt;W$10,0,(SUM(L$35:L65)-W$10)),L65)</f>
        <v>0</v>
      </c>
      <c r="V65" s="2"/>
      <c r="W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61"/>
      <c r="B66" s="65" t="s">
        <v>159</v>
      </c>
      <c r="C66" s="66">
        <f>+C63</f>
        <v>2021</v>
      </c>
      <c r="D66" s="66">
        <v>32</v>
      </c>
      <c r="E66" s="66">
        <f t="shared" si="1"/>
        <v>0.92436967730854414</v>
      </c>
      <c r="F66" s="66">
        <f t="shared" si="2"/>
        <v>0.94497978966998941</v>
      </c>
      <c r="G66" s="260"/>
      <c r="H66" s="66"/>
      <c r="I66" s="260"/>
      <c r="J66" s="66"/>
      <c r="K66" s="162"/>
      <c r="L66" s="68"/>
      <c r="M66" s="81">
        <f>IF(SUM(M$35:M65)=K$33,0,IF(SUM(L$35:L66)&lt;$W$10,L66,K$33-SUM(L$35:L65)))</f>
        <v>0</v>
      </c>
      <c r="N66" s="81">
        <f t="shared" si="7"/>
        <v>0</v>
      </c>
      <c r="O66" s="81">
        <f t="shared" si="3"/>
        <v>0</v>
      </c>
      <c r="P66" s="81">
        <f t="shared" si="4"/>
        <v>0</v>
      </c>
      <c r="Q66" s="81">
        <f t="shared" si="8"/>
        <v>0</v>
      </c>
      <c r="R66" s="81">
        <f t="shared" si="5"/>
        <v>0</v>
      </c>
      <c r="S66" s="80">
        <f t="shared" si="6"/>
        <v>0</v>
      </c>
      <c r="T66" s="80">
        <f>IF(SUM(L$35:L65)&lt;W$10,IF(SUM(L$35:L66)&lt;W$10,0,(SUM(L$35:L66)-W$10)),L66)</f>
        <v>0</v>
      </c>
      <c r="V66" s="2"/>
      <c r="W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61">
        <v>2022</v>
      </c>
      <c r="B67" s="65" t="s">
        <v>156</v>
      </c>
      <c r="C67" s="66">
        <f>+A67</f>
        <v>2022</v>
      </c>
      <c r="D67" s="66">
        <v>33</v>
      </c>
      <c r="E67" s="66">
        <f t="shared" ref="E67:E98" si="9">IF(D67&lt;$B$11,1,(1/(1+$K$17/4)^(D67-$B$11+1)))</f>
        <v>0.91778457299728855</v>
      </c>
      <c r="F67" s="66">
        <f t="shared" ref="F67:F98" si="10">IF(C67&lt;($B$9+1),1,(1/(1+$K$17)^(C67-$B$9)))</f>
        <v>0.91861552412752945</v>
      </c>
      <c r="G67" s="260"/>
      <c r="H67" s="81">
        <f>+G67*F67</f>
        <v>0</v>
      </c>
      <c r="I67" s="260"/>
      <c r="J67" s="81">
        <f>+I67*F67</f>
        <v>0</v>
      </c>
      <c r="K67" s="162"/>
      <c r="L67" s="68"/>
      <c r="M67" s="81">
        <f>IF(SUM(M$35:M66)=K$33,0,IF(SUM(L$35:L67)&lt;$W$10,L67,K$33-SUM(L$35:L66)))</f>
        <v>0</v>
      </c>
      <c r="N67" s="81">
        <f t="shared" si="7"/>
        <v>0</v>
      </c>
      <c r="O67" s="81">
        <f t="shared" ref="O67:O98" si="11">+N67*($K$21/4)</f>
        <v>0</v>
      </c>
      <c r="P67" s="81">
        <f t="shared" ref="P67:P98" si="12">+N67*($K$20/4)</f>
        <v>0</v>
      </c>
      <c r="Q67" s="81">
        <f t="shared" si="8"/>
        <v>0</v>
      </c>
      <c r="R67" s="81">
        <f t="shared" si="5"/>
        <v>0</v>
      </c>
      <c r="S67" s="80">
        <f t="shared" ref="S67:S98" si="13">+L67-T67</f>
        <v>0</v>
      </c>
      <c r="T67" s="80">
        <f>IF(SUM(L$35:L66)&lt;W$10,IF(SUM(L$35:L67)&lt;W$10,0,(SUM(L$35:L67)-W$10)),L67)</f>
        <v>0</v>
      </c>
      <c r="V67" s="2">
        <f>SUM(T67:T70)</f>
        <v>0</v>
      </c>
      <c r="W67" s="2">
        <f>+V67*F67</f>
        <v>0</v>
      </c>
      <c r="Y67" s="2">
        <f>+X67*F67</f>
        <v>0</v>
      </c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61"/>
      <c r="B68" s="65" t="s">
        <v>157</v>
      </c>
      <c r="C68" s="66">
        <f>+C67</f>
        <v>2022</v>
      </c>
      <c r="D68" s="66">
        <v>34</v>
      </c>
      <c r="E68" s="66">
        <f t="shared" si="9"/>
        <v>0.91124638021921578</v>
      </c>
      <c r="F68" s="66">
        <f t="shared" si="10"/>
        <v>0.91861552412752945</v>
      </c>
      <c r="G68" s="260"/>
      <c r="H68" s="66"/>
      <c r="I68" s="260"/>
      <c r="J68" s="66"/>
      <c r="K68" s="162"/>
      <c r="L68" s="68"/>
      <c r="M68" s="81">
        <f>IF(SUM(M$35:M67)=K$33,0,IF(SUM(L$35:L68)&lt;$W$10,L68,K$33-SUM(L$35:L67)))</f>
        <v>0</v>
      </c>
      <c r="N68" s="81">
        <f t="shared" si="7"/>
        <v>0</v>
      </c>
      <c r="O68" s="81">
        <f t="shared" si="11"/>
        <v>0</v>
      </c>
      <c r="P68" s="81">
        <f t="shared" si="12"/>
        <v>0</v>
      </c>
      <c r="Q68" s="81">
        <f t="shared" si="8"/>
        <v>0</v>
      </c>
      <c r="R68" s="81">
        <f t="shared" si="5"/>
        <v>0</v>
      </c>
      <c r="S68" s="80">
        <f t="shared" si="13"/>
        <v>0</v>
      </c>
      <c r="T68" s="80">
        <f>IF(SUM(L$35:L67)&lt;W$10,IF(SUM(L$35:L68)&lt;W$10,0,(SUM(L$35:L68)-W$10)),L68)</f>
        <v>0</v>
      </c>
      <c r="V68" s="2"/>
      <c r="W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61"/>
      <c r="B69" s="65" t="s">
        <v>158</v>
      </c>
      <c r="C69" s="66">
        <f>+C67</f>
        <v>2022</v>
      </c>
      <c r="D69" s="66">
        <v>35</v>
      </c>
      <c r="E69" s="66">
        <f t="shared" si="9"/>
        <v>0.90475476478190553</v>
      </c>
      <c r="F69" s="66">
        <f t="shared" si="10"/>
        <v>0.91861552412752945</v>
      </c>
      <c r="G69" s="260"/>
      <c r="H69" s="66"/>
      <c r="I69" s="260"/>
      <c r="J69" s="66"/>
      <c r="K69" s="162"/>
      <c r="L69" s="68"/>
      <c r="M69" s="81">
        <f>IF(SUM(M$35:M68)=K$33,0,IF(SUM(L$35:L69)&lt;$W$10,L69,K$33-SUM(L$35:L68)))</f>
        <v>0</v>
      </c>
      <c r="N69" s="81">
        <f t="shared" si="7"/>
        <v>0</v>
      </c>
      <c r="O69" s="81">
        <f t="shared" si="11"/>
        <v>0</v>
      </c>
      <c r="P69" s="81">
        <f t="shared" si="12"/>
        <v>0</v>
      </c>
      <c r="Q69" s="81">
        <f t="shared" si="8"/>
        <v>0</v>
      </c>
      <c r="R69" s="81">
        <f t="shared" si="5"/>
        <v>0</v>
      </c>
      <c r="S69" s="80">
        <f t="shared" si="13"/>
        <v>0</v>
      </c>
      <c r="T69" s="80">
        <f>IF(SUM(L$35:L68)&lt;W$10,IF(SUM(L$35:L69)&lt;W$10,0,(SUM(L$35:L69)-W$10)),L69)</f>
        <v>0</v>
      </c>
      <c r="V69" s="2"/>
      <c r="W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61"/>
      <c r="B70" s="65" t="s">
        <v>159</v>
      </c>
      <c r="C70" s="66">
        <f>+C67</f>
        <v>2022</v>
      </c>
      <c r="D70" s="66">
        <v>36</v>
      </c>
      <c r="E70" s="66">
        <f t="shared" si="9"/>
        <v>0.89830939487368711</v>
      </c>
      <c r="F70" s="66">
        <f t="shared" si="10"/>
        <v>0.91861552412752945</v>
      </c>
      <c r="G70" s="260"/>
      <c r="H70" s="66"/>
      <c r="I70" s="260"/>
      <c r="J70" s="66"/>
      <c r="K70" s="162"/>
      <c r="L70" s="68"/>
      <c r="M70" s="81">
        <f>IF(SUM(M$35:M69)=K$33,0,IF(SUM(L$35:L70)&lt;$W$10,L70,K$33-SUM(L$35:L69)))</f>
        <v>0</v>
      </c>
      <c r="N70" s="81">
        <f t="shared" si="7"/>
        <v>0</v>
      </c>
      <c r="O70" s="81">
        <f t="shared" si="11"/>
        <v>0</v>
      </c>
      <c r="P70" s="81">
        <f t="shared" si="12"/>
        <v>0</v>
      </c>
      <c r="Q70" s="81">
        <f t="shared" si="8"/>
        <v>0</v>
      </c>
      <c r="R70" s="81">
        <f t="shared" si="5"/>
        <v>0</v>
      </c>
      <c r="S70" s="80">
        <f t="shared" si="13"/>
        <v>0</v>
      </c>
      <c r="T70" s="80">
        <f>IF(SUM(L$35:L69)&lt;W$10,IF(SUM(L$35:L70)&lt;W$10,0,(SUM(L$35:L70)-W$10)),L70)</f>
        <v>0</v>
      </c>
      <c r="V70" s="2"/>
      <c r="W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61">
        <v>2023</v>
      </c>
      <c r="B71" s="65" t="s">
        <v>156</v>
      </c>
      <c r="C71" s="66">
        <f>+A71</f>
        <v>2023</v>
      </c>
      <c r="D71" s="66">
        <v>37</v>
      </c>
      <c r="E71" s="66">
        <f t="shared" si="9"/>
        <v>0.89190994104667709</v>
      </c>
      <c r="F71" s="66">
        <f t="shared" si="10"/>
        <v>0.89298680288473742</v>
      </c>
      <c r="G71" s="260"/>
      <c r="H71" s="81">
        <f>+G71*F71</f>
        <v>0</v>
      </c>
      <c r="I71" s="260"/>
      <c r="J71" s="81">
        <f>+I71*F71</f>
        <v>0</v>
      </c>
      <c r="K71" s="162"/>
      <c r="L71" s="68"/>
      <c r="M71" s="81">
        <f>IF(SUM(M$35:M70)=K$33,0,IF(SUM(L$35:L71)&lt;$W$10,L71,K$33-SUM(L$35:L70)))</f>
        <v>0</v>
      </c>
      <c r="N71" s="81">
        <f t="shared" si="7"/>
        <v>0</v>
      </c>
      <c r="O71" s="81">
        <f t="shared" si="11"/>
        <v>0</v>
      </c>
      <c r="P71" s="81">
        <f t="shared" si="12"/>
        <v>0</v>
      </c>
      <c r="Q71" s="81">
        <f t="shared" si="8"/>
        <v>0</v>
      </c>
      <c r="R71" s="81">
        <f t="shared" si="5"/>
        <v>0</v>
      </c>
      <c r="S71" s="80">
        <f t="shared" si="13"/>
        <v>0</v>
      </c>
      <c r="T71" s="80">
        <f>IF(SUM(L$35:L70)&lt;W$10,IF(SUM(L$35:L71)&lt;W$10,0,(SUM(L$35:L71)-W$10)),L71)</f>
        <v>0</v>
      </c>
      <c r="V71" s="2">
        <f>SUM(T71:T74)</f>
        <v>0</v>
      </c>
      <c r="W71" s="2">
        <f>+V71*F71</f>
        <v>0</v>
      </c>
      <c r="Y71" s="2">
        <f>+X71*F71</f>
        <v>0</v>
      </c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61"/>
      <c r="B72" s="65" t="s">
        <v>157</v>
      </c>
      <c r="C72" s="66">
        <f>+C71</f>
        <v>2023</v>
      </c>
      <c r="D72" s="66">
        <v>38</v>
      </c>
      <c r="E72" s="66">
        <f t="shared" si="9"/>
        <v>0.88555607619994259</v>
      </c>
      <c r="F72" s="66">
        <f t="shared" si="10"/>
        <v>0.89298680288473742</v>
      </c>
      <c r="G72" s="260"/>
      <c r="H72" s="66"/>
      <c r="I72" s="260"/>
      <c r="J72" s="66"/>
      <c r="K72" s="162"/>
      <c r="L72" s="68"/>
      <c r="M72" s="81">
        <f>IF(SUM(M$35:M71)=K$33,0,IF(SUM(L$35:L72)&lt;$W$10,L72,K$33-SUM(L$35:L71)))</f>
        <v>0</v>
      </c>
      <c r="N72" s="81">
        <f t="shared" si="7"/>
        <v>0</v>
      </c>
      <c r="O72" s="81">
        <f t="shared" si="11"/>
        <v>0</v>
      </c>
      <c r="P72" s="81">
        <f t="shared" si="12"/>
        <v>0</v>
      </c>
      <c r="Q72" s="81">
        <f t="shared" si="8"/>
        <v>0</v>
      </c>
      <c r="R72" s="81">
        <f t="shared" si="5"/>
        <v>0</v>
      </c>
      <c r="S72" s="80">
        <f t="shared" si="13"/>
        <v>0</v>
      </c>
      <c r="T72" s="80">
        <f>IF(SUM(L$35:L71)&lt;W$10,IF(SUM(L$35:L72)&lt;W$10,0,(SUM(L$35:L72)-W$10)),L72)</f>
        <v>0</v>
      </c>
      <c r="V72" s="2"/>
      <c r="W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61"/>
      <c r="B73" s="65" t="s">
        <v>158</v>
      </c>
      <c r="C73" s="66">
        <f>+C71</f>
        <v>2023</v>
      </c>
      <c r="D73" s="66">
        <v>39</v>
      </c>
      <c r="E73" s="66">
        <f t="shared" si="9"/>
        <v>0.87924747556277971</v>
      </c>
      <c r="F73" s="66">
        <f t="shared" si="10"/>
        <v>0.89298680288473742</v>
      </c>
      <c r="G73" s="260"/>
      <c r="H73" s="66"/>
      <c r="I73" s="260"/>
      <c r="J73" s="66"/>
      <c r="K73" s="162"/>
      <c r="L73" s="68"/>
      <c r="M73" s="81">
        <f>IF(SUM(M$35:M72)=K$33,0,IF(SUM(L$35:L73)&lt;$W$10,L73,K$33-SUM(L$35:L72)))</f>
        <v>0</v>
      </c>
      <c r="N73" s="81">
        <f t="shared" si="7"/>
        <v>0</v>
      </c>
      <c r="O73" s="81">
        <f t="shared" si="11"/>
        <v>0</v>
      </c>
      <c r="P73" s="81">
        <f t="shared" si="12"/>
        <v>0</v>
      </c>
      <c r="Q73" s="81">
        <f t="shared" si="8"/>
        <v>0</v>
      </c>
      <c r="R73" s="81">
        <f t="shared" si="5"/>
        <v>0</v>
      </c>
      <c r="S73" s="80">
        <f t="shared" si="13"/>
        <v>0</v>
      </c>
      <c r="T73" s="80">
        <f>IF(SUM(L$35:L72)&lt;W$10,IF(SUM(L$35:L73)&lt;W$10,0,(SUM(L$35:L73)-W$10)),L73)</f>
        <v>0</v>
      </c>
      <c r="V73" s="2"/>
      <c r="W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61"/>
      <c r="B74" s="65" t="s">
        <v>159</v>
      </c>
      <c r="C74" s="66">
        <f>+C71</f>
        <v>2023</v>
      </c>
      <c r="D74" s="66">
        <v>40</v>
      </c>
      <c r="E74" s="66">
        <f t="shared" si="9"/>
        <v>0.87298381667811431</v>
      </c>
      <c r="F74" s="66">
        <f t="shared" si="10"/>
        <v>0.89298680288473742</v>
      </c>
      <c r="G74" s="260"/>
      <c r="H74" s="66"/>
      <c r="I74" s="260"/>
      <c r="J74" s="66"/>
      <c r="K74" s="162"/>
      <c r="L74" s="68"/>
      <c r="M74" s="81">
        <f>IF(SUM(M$35:M73)=K$33,0,IF(SUM(L$35:L74)&lt;$W$10,L74,K$33-SUM(L$35:L73)))</f>
        <v>0</v>
      </c>
      <c r="N74" s="81">
        <f t="shared" si="7"/>
        <v>0</v>
      </c>
      <c r="O74" s="81">
        <f t="shared" si="11"/>
        <v>0</v>
      </c>
      <c r="P74" s="81">
        <f t="shared" si="12"/>
        <v>0</v>
      </c>
      <c r="Q74" s="81">
        <f t="shared" si="8"/>
        <v>0</v>
      </c>
      <c r="R74" s="81">
        <f t="shared" si="5"/>
        <v>0</v>
      </c>
      <c r="S74" s="80">
        <f t="shared" si="13"/>
        <v>0</v>
      </c>
      <c r="T74" s="80">
        <f>IF(SUM(L$35:L73)&lt;W$10,IF(SUM(L$35:L74)&lt;W$10,0,(SUM(L$35:L74)-W$10)),L74)</f>
        <v>0</v>
      </c>
      <c r="V74" s="2"/>
      <c r="W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61">
        <v>2024</v>
      </c>
      <c r="B75" s="65" t="s">
        <v>156</v>
      </c>
      <c r="C75" s="66">
        <f>+A75</f>
        <v>2024</v>
      </c>
      <c r="D75" s="66">
        <v>41</v>
      </c>
      <c r="E75" s="66">
        <f t="shared" si="9"/>
        <v>0.86676477938601948</v>
      </c>
      <c r="F75" s="66">
        <f t="shared" si="10"/>
        <v>0.8680731047776199</v>
      </c>
      <c r="G75" s="260"/>
      <c r="H75" s="81">
        <f>+G75*F75</f>
        <v>0</v>
      </c>
      <c r="I75" s="260"/>
      <c r="J75" s="81">
        <f>+I75*F75</f>
        <v>0</v>
      </c>
      <c r="K75" s="162"/>
      <c r="L75" s="68"/>
      <c r="M75" s="81">
        <f>IF(SUM(M$35:M74)=K$33,0,IF(SUM(L$35:L75)&lt;$W$10,L75,K$33-SUM(L$35:L74)))</f>
        <v>0</v>
      </c>
      <c r="N75" s="81">
        <f t="shared" si="7"/>
        <v>0</v>
      </c>
      <c r="O75" s="81">
        <f t="shared" si="11"/>
        <v>0</v>
      </c>
      <c r="P75" s="81">
        <f t="shared" si="12"/>
        <v>0</v>
      </c>
      <c r="Q75" s="81">
        <f t="shared" si="8"/>
        <v>0</v>
      </c>
      <c r="R75" s="81">
        <f t="shared" si="5"/>
        <v>0</v>
      </c>
      <c r="S75" s="80">
        <f t="shared" si="13"/>
        <v>0</v>
      </c>
      <c r="T75" s="80">
        <f>IF(SUM(L$35:L74)&lt;W$10,IF(SUM(L$35:L75)&lt;W$10,0,(SUM(L$35:L75)-W$10)),L75)</f>
        <v>0</v>
      </c>
      <c r="V75" s="2">
        <f>SUM(T75:T78)</f>
        <v>0</v>
      </c>
      <c r="W75" s="2">
        <f>+V75*F75</f>
        <v>0</v>
      </c>
      <c r="Y75" s="2">
        <f>+X75*F75</f>
        <v>0</v>
      </c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61"/>
      <c r="B76" s="65" t="s">
        <v>157</v>
      </c>
      <c r="C76" s="66">
        <f>+C75</f>
        <v>2024</v>
      </c>
      <c r="D76" s="66">
        <v>42</v>
      </c>
      <c r="E76" s="66">
        <f t="shared" si="9"/>
        <v>0.86059004580735177</v>
      </c>
      <c r="F76" s="66">
        <f t="shared" si="10"/>
        <v>0.8680731047776199</v>
      </c>
      <c r="G76" s="260"/>
      <c r="H76" s="66"/>
      <c r="I76" s="260"/>
      <c r="J76" s="66"/>
      <c r="K76" s="162"/>
      <c r="L76" s="68"/>
      <c r="M76" s="81">
        <f>IF(SUM(M$35:M75)=K$33,0,IF(SUM(L$35:L76)&lt;$W$10,L76,K$33-SUM(L$35:L75)))</f>
        <v>0</v>
      </c>
      <c r="N76" s="81">
        <f t="shared" si="7"/>
        <v>0</v>
      </c>
      <c r="O76" s="81">
        <f t="shared" si="11"/>
        <v>0</v>
      </c>
      <c r="P76" s="81">
        <f t="shared" si="12"/>
        <v>0</v>
      </c>
      <c r="Q76" s="81">
        <f t="shared" si="8"/>
        <v>0</v>
      </c>
      <c r="R76" s="81">
        <f t="shared" si="5"/>
        <v>0</v>
      </c>
      <c r="S76" s="80">
        <f t="shared" si="13"/>
        <v>0</v>
      </c>
      <c r="T76" s="80">
        <f>IF(SUM(L$35:L75)&lt;W$10,IF(SUM(L$35:L76)&lt;W$10,0,(SUM(L$35:L76)-W$10)),L76)</f>
        <v>0</v>
      </c>
      <c r="V76" s="2"/>
      <c r="W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61"/>
      <c r="B77" s="65" t="s">
        <v>158</v>
      </c>
      <c r="C77" s="66">
        <f>+C75</f>
        <v>2024</v>
      </c>
      <c r="D77" s="66">
        <v>43</v>
      </c>
      <c r="E77" s="66">
        <f t="shared" si="9"/>
        <v>0.85445930032750195</v>
      </c>
      <c r="F77" s="66">
        <f t="shared" si="10"/>
        <v>0.8680731047776199</v>
      </c>
      <c r="G77" s="260"/>
      <c r="H77" s="66"/>
      <c r="I77" s="260"/>
      <c r="J77" s="66"/>
      <c r="K77" s="162"/>
      <c r="L77" s="68"/>
      <c r="M77" s="81">
        <f>IF(SUM(M$35:M76)=K$33,0,IF(SUM(L$35:L77)&lt;$W$10,L77,K$33-SUM(L$35:L76)))</f>
        <v>0</v>
      </c>
      <c r="N77" s="81">
        <f t="shared" si="7"/>
        <v>0</v>
      </c>
      <c r="O77" s="81">
        <f t="shared" si="11"/>
        <v>0</v>
      </c>
      <c r="P77" s="81">
        <f t="shared" si="12"/>
        <v>0</v>
      </c>
      <c r="Q77" s="81">
        <f t="shared" si="8"/>
        <v>0</v>
      </c>
      <c r="R77" s="81">
        <f t="shared" si="5"/>
        <v>0</v>
      </c>
      <c r="S77" s="80">
        <f t="shared" si="13"/>
        <v>0</v>
      </c>
      <c r="T77" s="80">
        <f>IF(SUM(L$35:L76)&lt;W$10,IF(SUM(L$35:L77)&lt;W$10,0,(SUM(L$35:L77)-W$10)),L77)</f>
        <v>0</v>
      </c>
      <c r="V77" s="2"/>
      <c r="W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61"/>
      <c r="B78" s="65" t="s">
        <v>159</v>
      </c>
      <c r="C78" s="66">
        <f>+C75</f>
        <v>2024</v>
      </c>
      <c r="D78" s="66">
        <v>44</v>
      </c>
      <c r="E78" s="66">
        <f t="shared" si="9"/>
        <v>0.84837222958026359</v>
      </c>
      <c r="F78" s="66">
        <f t="shared" si="10"/>
        <v>0.8680731047776199</v>
      </c>
      <c r="G78" s="260"/>
      <c r="H78" s="66"/>
      <c r="I78" s="260"/>
      <c r="J78" s="66"/>
      <c r="K78" s="162"/>
      <c r="L78" s="68"/>
      <c r="M78" s="81">
        <f>IF(SUM(M$35:M77)=K$33,0,IF(SUM(L$35:L78)&lt;$W$10,L78,K$33-SUM(L$35:L77)))</f>
        <v>0</v>
      </c>
      <c r="N78" s="81">
        <f t="shared" si="7"/>
        <v>0</v>
      </c>
      <c r="O78" s="81">
        <f t="shared" si="11"/>
        <v>0</v>
      </c>
      <c r="P78" s="81">
        <f t="shared" si="12"/>
        <v>0</v>
      </c>
      <c r="Q78" s="81">
        <f t="shared" si="8"/>
        <v>0</v>
      </c>
      <c r="R78" s="81">
        <f t="shared" si="5"/>
        <v>0</v>
      </c>
      <c r="S78" s="80">
        <f t="shared" si="13"/>
        <v>0</v>
      </c>
      <c r="T78" s="80">
        <f>IF(SUM(L$35:L77)&lt;W$10,IF(SUM(L$35:L78)&lt;W$10,0,(SUM(L$35:L78)-W$10)),L78)</f>
        <v>0</v>
      </c>
      <c r="V78" s="2"/>
      <c r="W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61">
        <v>2025</v>
      </c>
      <c r="B79" s="65" t="s">
        <v>156</v>
      </c>
      <c r="C79" s="66">
        <f>+A79</f>
        <v>2025</v>
      </c>
      <c r="D79" s="66">
        <v>45</v>
      </c>
      <c r="E79" s="66">
        <f t="shared" si="9"/>
        <v>0.84232852243181544</v>
      </c>
      <c r="F79" s="66">
        <f t="shared" si="10"/>
        <v>0.84385448116809547</v>
      </c>
      <c r="G79" s="260"/>
      <c r="H79" s="81">
        <f>+G79*F79</f>
        <v>0</v>
      </c>
      <c r="I79" s="260"/>
      <c r="J79" s="81">
        <f>+I79*F79</f>
        <v>0</v>
      </c>
      <c r="K79" s="162"/>
      <c r="L79" s="68"/>
      <c r="M79" s="81">
        <f>IF(SUM(M$35:M78)=K$33,0,IF(SUM(L$35:L79)&lt;$W$10,L79,K$33-SUM(L$35:L78)))</f>
        <v>0</v>
      </c>
      <c r="N79" s="81">
        <f t="shared" si="7"/>
        <v>0</v>
      </c>
      <c r="O79" s="81">
        <f t="shared" si="11"/>
        <v>0</v>
      </c>
      <c r="P79" s="81">
        <f t="shared" si="12"/>
        <v>0</v>
      </c>
      <c r="Q79" s="81">
        <f t="shared" si="8"/>
        <v>0</v>
      </c>
      <c r="R79" s="81">
        <f t="shared" si="5"/>
        <v>0</v>
      </c>
      <c r="S79" s="80">
        <f t="shared" si="13"/>
        <v>0</v>
      </c>
      <c r="T79" s="80">
        <f>IF(SUM(L$35:L78)&lt;W$10,IF(SUM(L$35:L79)&lt;W$10,0,(SUM(L$35:L79)-W$10)),L79)</f>
        <v>0</v>
      </c>
      <c r="V79" s="2">
        <f>SUM(T79:T82)</f>
        <v>0</v>
      </c>
      <c r="W79" s="2">
        <f>+V79*F79</f>
        <v>0</v>
      </c>
      <c r="Y79" s="2">
        <f>+X79*F79</f>
        <v>0</v>
      </c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61"/>
      <c r="B80" s="65" t="s">
        <v>157</v>
      </c>
      <c r="C80" s="66">
        <f>+C79</f>
        <v>2025</v>
      </c>
      <c r="D80" s="66">
        <v>46</v>
      </c>
      <c r="E80" s="66">
        <f t="shared" si="9"/>
        <v>0.83632786996481789</v>
      </c>
      <c r="F80" s="66">
        <f t="shared" si="10"/>
        <v>0.84385448116809547</v>
      </c>
      <c r="G80" s="260"/>
      <c r="H80" s="66"/>
      <c r="I80" s="260"/>
      <c r="J80" s="66"/>
      <c r="K80" s="162"/>
      <c r="L80" s="68"/>
      <c r="M80" s="81">
        <f>IF(SUM(M$35:M79)=K$33,0,IF(SUM(L$35:L80)&lt;$W$10,L80,K$33-SUM(L$35:L79)))</f>
        <v>0</v>
      </c>
      <c r="N80" s="81">
        <f t="shared" si="7"/>
        <v>0</v>
      </c>
      <c r="O80" s="81">
        <f t="shared" si="11"/>
        <v>0</v>
      </c>
      <c r="P80" s="81">
        <f t="shared" si="12"/>
        <v>0</v>
      </c>
      <c r="Q80" s="81">
        <f t="shared" si="8"/>
        <v>0</v>
      </c>
      <c r="R80" s="81">
        <f t="shared" si="5"/>
        <v>0</v>
      </c>
      <c r="S80" s="80">
        <f t="shared" si="13"/>
        <v>0</v>
      </c>
      <c r="T80" s="80">
        <f>IF(SUM(L$35:L79)&lt;W$10,IF(SUM(L$35:L80)&lt;W$10,0,(SUM(L$35:L80)-W$10)),L80)</f>
        <v>0</v>
      </c>
      <c r="V80" s="2"/>
      <c r="W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61"/>
      <c r="B81" s="65" t="s">
        <v>158</v>
      </c>
      <c r="C81" s="66">
        <f>+C79</f>
        <v>2025</v>
      </c>
      <c r="D81" s="66">
        <v>47</v>
      </c>
      <c r="E81" s="66">
        <f t="shared" si="9"/>
        <v>0.83036996546262376</v>
      </c>
      <c r="F81" s="66">
        <f t="shared" si="10"/>
        <v>0.84385448116809547</v>
      </c>
      <c r="G81" s="260"/>
      <c r="H81" s="66"/>
      <c r="I81" s="260"/>
      <c r="J81" s="66"/>
      <c r="K81" s="162"/>
      <c r="L81" s="68"/>
      <c r="M81" s="81">
        <f>IF(SUM(M$35:M80)=K$33,0,IF(SUM(L$35:L81)&lt;$W$10,L81,K$33-SUM(L$35:L80)))</f>
        <v>0</v>
      </c>
      <c r="N81" s="81">
        <f t="shared" si="7"/>
        <v>0</v>
      </c>
      <c r="O81" s="81">
        <f t="shared" si="11"/>
        <v>0</v>
      </c>
      <c r="P81" s="81">
        <f t="shared" si="12"/>
        <v>0</v>
      </c>
      <c r="Q81" s="81">
        <f t="shared" si="8"/>
        <v>0</v>
      </c>
      <c r="R81" s="81">
        <f t="shared" si="5"/>
        <v>0</v>
      </c>
      <c r="S81" s="80">
        <f t="shared" si="13"/>
        <v>0</v>
      </c>
      <c r="T81" s="80">
        <f>IF(SUM(L$35:L80)&lt;W$10,IF(SUM(L$35:L81)&lt;W$10,0,(SUM(L$35:L81)-W$10)),L81)</f>
        <v>0</v>
      </c>
      <c r="V81" s="2"/>
      <c r="W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61"/>
      <c r="B82" s="65" t="s">
        <v>159</v>
      </c>
      <c r="C82" s="66">
        <f>+C79</f>
        <v>2025</v>
      </c>
      <c r="D82" s="66">
        <v>48</v>
      </c>
      <c r="E82" s="66">
        <f t="shared" si="9"/>
        <v>0.82445450439359957</v>
      </c>
      <c r="F82" s="66">
        <f t="shared" si="10"/>
        <v>0.84385448116809547</v>
      </c>
      <c r="G82" s="260"/>
      <c r="H82" s="66"/>
      <c r="I82" s="260"/>
      <c r="J82" s="66"/>
      <c r="K82" s="162"/>
      <c r="L82" s="68"/>
      <c r="M82" s="81">
        <f>IF(SUM(M$35:M81)=K$33,0,IF(SUM(L$35:L82)&lt;$W$10,L82,K$33-SUM(L$35:L81)))</f>
        <v>0</v>
      </c>
      <c r="N82" s="81">
        <f t="shared" si="7"/>
        <v>0</v>
      </c>
      <c r="O82" s="81">
        <f t="shared" si="11"/>
        <v>0</v>
      </c>
      <c r="P82" s="81">
        <f t="shared" si="12"/>
        <v>0</v>
      </c>
      <c r="Q82" s="81">
        <f t="shared" si="8"/>
        <v>0</v>
      </c>
      <c r="R82" s="81">
        <f t="shared" si="5"/>
        <v>0</v>
      </c>
      <c r="S82" s="80">
        <f t="shared" si="13"/>
        <v>0</v>
      </c>
      <c r="T82" s="80">
        <f>IF(SUM(L$35:L81)&lt;W$10,IF(SUM(L$35:L82)&lt;W$10,0,(SUM(L$35:L82)-W$10)),L82)</f>
        <v>0</v>
      </c>
      <c r="V82" s="2"/>
      <c r="W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61">
        <v>2026</v>
      </c>
      <c r="B83" s="65" t="s">
        <v>156</v>
      </c>
      <c r="C83" s="66">
        <f>+A83</f>
        <v>2026</v>
      </c>
      <c r="D83" s="66">
        <v>49</v>
      </c>
      <c r="E83" s="66">
        <f t="shared" si="9"/>
        <v>0.81858118439556138</v>
      </c>
      <c r="F83" s="66">
        <f t="shared" si="10"/>
        <v>0.82031153997092987</v>
      </c>
      <c r="G83" s="260"/>
      <c r="H83" s="81">
        <f>+G83*F83</f>
        <v>0</v>
      </c>
      <c r="I83" s="260"/>
      <c r="J83" s="81">
        <f>+I83*F83</f>
        <v>0</v>
      </c>
      <c r="K83" s="162"/>
      <c r="L83" s="68"/>
      <c r="M83" s="81">
        <f>IF(SUM(M$35:M82)=K$33,0,IF(SUM(L$35:L83)&lt;$W$10,L83,K$33-SUM(L$35:L82)))</f>
        <v>0</v>
      </c>
      <c r="N83" s="81">
        <f t="shared" si="7"/>
        <v>0</v>
      </c>
      <c r="O83" s="81">
        <f t="shared" si="11"/>
        <v>0</v>
      </c>
      <c r="P83" s="81">
        <f t="shared" si="12"/>
        <v>0</v>
      </c>
      <c r="Q83" s="81">
        <f t="shared" si="8"/>
        <v>0</v>
      </c>
      <c r="R83" s="81">
        <f t="shared" si="5"/>
        <v>0</v>
      </c>
      <c r="S83" s="80">
        <f t="shared" si="13"/>
        <v>0</v>
      </c>
      <c r="T83" s="80">
        <f>IF(SUM(L$35:L82)&lt;W$10,IF(SUM(L$35:L83)&lt;W$10,0,(SUM(L$35:L83)-W$10)),L83)</f>
        <v>0</v>
      </c>
      <c r="V83" s="2">
        <f>SUM(T83:T86)</f>
        <v>0</v>
      </c>
      <c r="W83" s="2">
        <f>+V83*F83</f>
        <v>0</v>
      </c>
      <c r="Y83" s="2">
        <f>+X83*F83</f>
        <v>0</v>
      </c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61"/>
      <c r="B84" s="65" t="s">
        <v>157</v>
      </c>
      <c r="C84" s="66">
        <f>+C83</f>
        <v>2026</v>
      </c>
      <c r="D84" s="66">
        <v>50</v>
      </c>
      <c r="E84" s="66">
        <f t="shared" si="9"/>
        <v>0.81274970526031864</v>
      </c>
      <c r="F84" s="66">
        <f t="shared" si="10"/>
        <v>0.82031153997092987</v>
      </c>
      <c r="G84" s="260"/>
      <c r="H84" s="66"/>
      <c r="I84" s="260"/>
      <c r="J84" s="66"/>
      <c r="K84" s="162"/>
      <c r="L84" s="68"/>
      <c r="M84" s="81">
        <f>IF(SUM(M$35:M83)=K$33,0,IF(SUM(L$35:L84)&lt;$W$10,L84,K$33-SUM(L$35:L83)))</f>
        <v>0</v>
      </c>
      <c r="N84" s="81">
        <f t="shared" si="7"/>
        <v>0</v>
      </c>
      <c r="O84" s="81">
        <f t="shared" si="11"/>
        <v>0</v>
      </c>
      <c r="P84" s="81">
        <f t="shared" si="12"/>
        <v>0</v>
      </c>
      <c r="Q84" s="81">
        <f t="shared" si="8"/>
        <v>0</v>
      </c>
      <c r="R84" s="81">
        <f t="shared" si="5"/>
        <v>0</v>
      </c>
      <c r="S84" s="80">
        <f t="shared" si="13"/>
        <v>0</v>
      </c>
      <c r="T84" s="80">
        <f>IF(SUM(L$35:L83)&lt;W$10,IF(SUM(L$35:L84)&lt;W$10,0,(SUM(L$35:L84)-W$10)),L84)</f>
        <v>0</v>
      </c>
      <c r="V84" s="2"/>
      <c r="W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61"/>
      <c r="B85" s="65" t="s">
        <v>158</v>
      </c>
      <c r="C85" s="66">
        <f>+C83</f>
        <v>2026</v>
      </c>
      <c r="D85" s="66">
        <v>51</v>
      </c>
      <c r="E85" s="66">
        <f t="shared" si="9"/>
        <v>0.80695976891832966</v>
      </c>
      <c r="F85" s="66">
        <f t="shared" si="10"/>
        <v>0.82031153997092987</v>
      </c>
      <c r="G85" s="260"/>
      <c r="H85" s="66"/>
      <c r="I85" s="260"/>
      <c r="J85" s="66"/>
      <c r="K85" s="162"/>
      <c r="L85" s="68"/>
      <c r="M85" s="81">
        <f>IF(SUM(M$35:M84)=K$33,0,IF(SUM(L$35:L85)&lt;$W$10,L85,K$33-SUM(L$35:L84)))</f>
        <v>0</v>
      </c>
      <c r="N85" s="81">
        <f t="shared" si="7"/>
        <v>0</v>
      </c>
      <c r="O85" s="81">
        <f t="shared" si="11"/>
        <v>0</v>
      </c>
      <c r="P85" s="81">
        <f t="shared" si="12"/>
        <v>0</v>
      </c>
      <c r="Q85" s="81">
        <f t="shared" si="8"/>
        <v>0</v>
      </c>
      <c r="R85" s="81">
        <f t="shared" si="5"/>
        <v>0</v>
      </c>
      <c r="S85" s="80">
        <f t="shared" si="13"/>
        <v>0</v>
      </c>
      <c r="T85" s="80">
        <f>IF(SUM(L$35:L84)&lt;W$10,IF(SUM(L$35:L85)&lt;W$10,0,(SUM(L$35:L85)-W$10)),L85)</f>
        <v>0</v>
      </c>
      <c r="V85" s="2"/>
      <c r="W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61"/>
      <c r="B86" s="65" t="s">
        <v>159</v>
      </c>
      <c r="C86" s="66">
        <f>+C83</f>
        <v>2026</v>
      </c>
      <c r="D86" s="66">
        <v>52</v>
      </c>
      <c r="E86" s="66">
        <f t="shared" si="9"/>
        <v>0.80121107942346648</v>
      </c>
      <c r="F86" s="66">
        <f t="shared" si="10"/>
        <v>0.82031153997092987</v>
      </c>
      <c r="G86" s="260"/>
      <c r="H86" s="66"/>
      <c r="I86" s="260"/>
      <c r="J86" s="66"/>
      <c r="K86" s="162"/>
      <c r="L86" s="68"/>
      <c r="M86" s="81">
        <f>IF(SUM(M$35:M85)=K$33,0,IF(SUM(L$35:L86)&lt;$W$10,L86,K$33-SUM(L$35:L85)))</f>
        <v>0</v>
      </c>
      <c r="N86" s="81">
        <f t="shared" si="7"/>
        <v>0</v>
      </c>
      <c r="O86" s="81">
        <f t="shared" si="11"/>
        <v>0</v>
      </c>
      <c r="P86" s="81">
        <f t="shared" si="12"/>
        <v>0</v>
      </c>
      <c r="Q86" s="81">
        <f t="shared" si="8"/>
        <v>0</v>
      </c>
      <c r="R86" s="81">
        <f t="shared" si="5"/>
        <v>0</v>
      </c>
      <c r="S86" s="80">
        <f t="shared" si="13"/>
        <v>0</v>
      </c>
      <c r="T86" s="80">
        <f>IF(SUM(L$35:L85)&lt;W$10,IF(SUM(L$35:L86)&lt;W$10,0,(SUM(L$35:L86)-W$10)),L86)</f>
        <v>0</v>
      </c>
      <c r="V86" s="2"/>
      <c r="W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61">
        <v>2027</v>
      </c>
      <c r="B87" s="65" t="s">
        <v>156</v>
      </c>
      <c r="C87" s="66">
        <f>+A87</f>
        <v>2027</v>
      </c>
      <c r="D87" s="66">
        <v>53</v>
      </c>
      <c r="E87" s="66">
        <f t="shared" si="9"/>
        <v>0.79550334293788705</v>
      </c>
      <c r="F87" s="66">
        <f t="shared" si="10"/>
        <v>0.79742543012630485</v>
      </c>
      <c r="G87" s="260"/>
      <c r="H87" s="81">
        <f>+G87*F87</f>
        <v>0</v>
      </c>
      <c r="I87" s="260"/>
      <c r="J87" s="81">
        <f>+I87*F87</f>
        <v>0</v>
      </c>
      <c r="K87" s="162"/>
      <c r="L87" s="68"/>
      <c r="M87" s="81">
        <f>IF(SUM(M$35:M86)=K$33,0,IF(SUM(L$35:L87)&lt;$W$10,L87,K$33-SUM(L$35:L86)))</f>
        <v>0</v>
      </c>
      <c r="N87" s="81">
        <f t="shared" si="7"/>
        <v>0</v>
      </c>
      <c r="O87" s="81">
        <f t="shared" si="11"/>
        <v>0</v>
      </c>
      <c r="P87" s="81">
        <f t="shared" si="12"/>
        <v>0</v>
      </c>
      <c r="Q87" s="81">
        <f t="shared" si="8"/>
        <v>0</v>
      </c>
      <c r="R87" s="81">
        <f t="shared" si="5"/>
        <v>0</v>
      </c>
      <c r="S87" s="80">
        <f t="shared" si="13"/>
        <v>0</v>
      </c>
      <c r="T87" s="80">
        <f>IF(SUM(L$35:L86)&lt;W$10,IF(SUM(L$35:L87)&lt;W$10,0,(SUM(L$35:L87)-W$10)),L87)</f>
        <v>0</v>
      </c>
      <c r="V87" s="2">
        <f>SUM(T87:T90)</f>
        <v>0</v>
      </c>
      <c r="W87" s="2">
        <f>+V87*F87</f>
        <v>0</v>
      </c>
      <c r="Y87" s="2">
        <f>+X87*F87</f>
        <v>0</v>
      </c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61"/>
      <c r="B88" s="65" t="s">
        <v>157</v>
      </c>
      <c r="C88" s="66">
        <f>+C87</f>
        <v>2027</v>
      </c>
      <c r="D88" s="66">
        <v>54</v>
      </c>
      <c r="E88" s="66">
        <f t="shared" si="9"/>
        <v>0.78983626771701754</v>
      </c>
      <c r="F88" s="66">
        <f t="shared" si="10"/>
        <v>0.79742543012630485</v>
      </c>
      <c r="G88" s="260"/>
      <c r="H88" s="66"/>
      <c r="I88" s="260"/>
      <c r="J88" s="66"/>
      <c r="K88" s="162"/>
      <c r="L88" s="68"/>
      <c r="M88" s="81">
        <f>IF(SUM(M$35:M87)=K$33,0,IF(SUM(L$35:L88)&lt;$W$10,L88,K$33-SUM(L$35:L87)))</f>
        <v>0</v>
      </c>
      <c r="N88" s="81">
        <f t="shared" si="7"/>
        <v>0</v>
      </c>
      <c r="O88" s="81">
        <f t="shared" si="11"/>
        <v>0</v>
      </c>
      <c r="P88" s="81">
        <f t="shared" si="12"/>
        <v>0</v>
      </c>
      <c r="Q88" s="81">
        <f t="shared" si="8"/>
        <v>0</v>
      </c>
      <c r="R88" s="81">
        <f t="shared" si="5"/>
        <v>0</v>
      </c>
      <c r="S88" s="80">
        <f t="shared" si="13"/>
        <v>0</v>
      </c>
      <c r="T88" s="80">
        <f>IF(SUM(L$35:L87)&lt;W$10,IF(SUM(L$35:L88)&lt;W$10,0,(SUM(L$35:L88)-W$10)),L88)</f>
        <v>0</v>
      </c>
      <c r="V88" s="2"/>
      <c r="W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61"/>
      <c r="B89" s="65" t="s">
        <v>158</v>
      </c>
      <c r="C89" s="66">
        <f>+C87</f>
        <v>2027</v>
      </c>
      <c r="D89" s="66">
        <v>55</v>
      </c>
      <c r="E89" s="66">
        <f t="shared" si="9"/>
        <v>0.78420956409463849</v>
      </c>
      <c r="F89" s="66">
        <f t="shared" si="10"/>
        <v>0.79742543012630485</v>
      </c>
      <c r="G89" s="260"/>
      <c r="H89" s="66"/>
      <c r="I89" s="260"/>
      <c r="J89" s="66"/>
      <c r="K89" s="162"/>
      <c r="L89" s="68"/>
      <c r="M89" s="81">
        <f>IF(SUM(M$35:M88)=K$33,0,IF(SUM(L$35:L89)&lt;$W$10,L89,K$33-SUM(L$35:L88)))</f>
        <v>0</v>
      </c>
      <c r="N89" s="81">
        <f t="shared" si="7"/>
        <v>0</v>
      </c>
      <c r="O89" s="81">
        <f t="shared" si="11"/>
        <v>0</v>
      </c>
      <c r="P89" s="81">
        <f t="shared" si="12"/>
        <v>0</v>
      </c>
      <c r="Q89" s="81">
        <f t="shared" si="8"/>
        <v>0</v>
      </c>
      <c r="R89" s="81">
        <f t="shared" si="5"/>
        <v>0</v>
      </c>
      <c r="S89" s="80">
        <f t="shared" si="13"/>
        <v>0</v>
      </c>
      <c r="T89" s="80">
        <f>IF(SUM(L$35:L88)&lt;W$10,IF(SUM(L$35:L89)&lt;W$10,0,(SUM(L$35:L89)-W$10)),L89)</f>
        <v>0</v>
      </c>
      <c r="V89" s="2"/>
      <c r="W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61"/>
      <c r="B90" s="65" t="s">
        <v>159</v>
      </c>
      <c r="C90" s="66">
        <f>+C87</f>
        <v>2027</v>
      </c>
      <c r="D90" s="66">
        <v>56</v>
      </c>
      <c r="E90" s="66">
        <f t="shared" si="9"/>
        <v>0.77862294446808011</v>
      </c>
      <c r="F90" s="66">
        <f t="shared" si="10"/>
        <v>0.79742543012630485</v>
      </c>
      <c r="G90" s="260"/>
      <c r="H90" s="66"/>
      <c r="I90" s="260"/>
      <c r="J90" s="66"/>
      <c r="K90" s="162"/>
      <c r="L90" s="68"/>
      <c r="M90" s="81">
        <f>IF(SUM(M$35:M89)=K$33,0,IF(SUM(L$35:L90)&lt;$W$10,L90,K$33-SUM(L$35:L89)))</f>
        <v>0</v>
      </c>
      <c r="N90" s="81">
        <f t="shared" si="7"/>
        <v>0</v>
      </c>
      <c r="O90" s="81">
        <f t="shared" si="11"/>
        <v>0</v>
      </c>
      <c r="P90" s="81">
        <f t="shared" si="12"/>
        <v>0</v>
      </c>
      <c r="Q90" s="81">
        <f t="shared" si="8"/>
        <v>0</v>
      </c>
      <c r="R90" s="81">
        <f t="shared" si="5"/>
        <v>0</v>
      </c>
      <c r="S90" s="80">
        <f t="shared" si="13"/>
        <v>0</v>
      </c>
      <c r="T90" s="80">
        <f>IF(SUM(L$35:L89)&lt;W$10,IF(SUM(L$35:L90)&lt;W$10,0,(SUM(L$35:L90)-W$10)),L90)</f>
        <v>0</v>
      </c>
      <c r="V90" s="2"/>
      <c r="W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61">
        <v>2028</v>
      </c>
      <c r="B91" s="65" t="s">
        <v>156</v>
      </c>
      <c r="C91" s="66">
        <f>+A91</f>
        <v>2028</v>
      </c>
      <c r="D91" s="66">
        <v>57</v>
      </c>
      <c r="E91" s="66">
        <f t="shared" si="9"/>
        <v>0.77307612328352082</v>
      </c>
      <c r="F91" s="66">
        <f t="shared" si="10"/>
        <v>0.7751778265055943</v>
      </c>
      <c r="G91" s="260"/>
      <c r="H91" s="81">
        <f>+G91*F91</f>
        <v>0</v>
      </c>
      <c r="I91" s="260"/>
      <c r="J91" s="81">
        <f>+I91*F91</f>
        <v>0</v>
      </c>
      <c r="K91" s="162"/>
      <c r="L91" s="68"/>
      <c r="M91" s="81">
        <f>IF(SUM(M$35:M90)=K$33,0,IF(SUM(L$35:L91)&lt;$W$10,L91,K$33-SUM(L$35:L90)))</f>
        <v>0</v>
      </c>
      <c r="N91" s="81">
        <f t="shared" si="7"/>
        <v>0</v>
      </c>
      <c r="O91" s="81">
        <f t="shared" si="11"/>
        <v>0</v>
      </c>
      <c r="P91" s="81">
        <f t="shared" si="12"/>
        <v>0</v>
      </c>
      <c r="Q91" s="81">
        <f t="shared" si="8"/>
        <v>0</v>
      </c>
      <c r="R91" s="81">
        <f t="shared" si="5"/>
        <v>0</v>
      </c>
      <c r="S91" s="80">
        <f t="shared" si="13"/>
        <v>0</v>
      </c>
      <c r="T91" s="80">
        <f>IF(SUM(L$35:L90)&lt;W$10,IF(SUM(L$35:L91)&lt;W$10,0,(SUM(L$35:L91)-W$10)),L91)</f>
        <v>0</v>
      </c>
      <c r="V91" s="2">
        <f>SUM(T91:T94)</f>
        <v>0</v>
      </c>
      <c r="W91" s="2">
        <f>+V91*F91</f>
        <v>0</v>
      </c>
      <c r="Y91" s="2">
        <f>+X91*F91</f>
        <v>0</v>
      </c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61"/>
      <c r="B92" s="65" t="s">
        <v>157</v>
      </c>
      <c r="C92" s="66">
        <f>+C91</f>
        <v>2028</v>
      </c>
      <c r="D92" s="66">
        <v>58</v>
      </c>
      <c r="E92" s="66">
        <f t="shared" si="9"/>
        <v>0.76756881702139235</v>
      </c>
      <c r="F92" s="66">
        <f t="shared" si="10"/>
        <v>0.7751778265055943</v>
      </c>
      <c r="G92" s="260"/>
      <c r="H92" s="66"/>
      <c r="I92" s="260"/>
      <c r="J92" s="66"/>
      <c r="K92" s="162"/>
      <c r="L92" s="68"/>
      <c r="M92" s="81">
        <f>IF(SUM(M$35:M91)=K$33,0,IF(SUM(L$35:L92)&lt;$W$10,L92,K$33-SUM(L$35:L91)))</f>
        <v>0</v>
      </c>
      <c r="N92" s="81">
        <f t="shared" si="7"/>
        <v>0</v>
      </c>
      <c r="O92" s="81">
        <f t="shared" si="11"/>
        <v>0</v>
      </c>
      <c r="P92" s="81">
        <f t="shared" si="12"/>
        <v>0</v>
      </c>
      <c r="Q92" s="81">
        <f t="shared" si="8"/>
        <v>0</v>
      </c>
      <c r="R92" s="81">
        <f t="shared" si="5"/>
        <v>0</v>
      </c>
      <c r="S92" s="80">
        <f t="shared" si="13"/>
        <v>0</v>
      </c>
      <c r="T92" s="80">
        <f>IF(SUM(L$35:L91)&lt;W$10,IF(SUM(L$35:L92)&lt;W$10,0,(SUM(L$35:L92)-W$10)),L92)</f>
        <v>0</v>
      </c>
      <c r="V92" s="2"/>
      <c r="W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61"/>
      <c r="B93" s="65" t="s">
        <v>158</v>
      </c>
      <c r="C93" s="66">
        <f>+C91</f>
        <v>2028</v>
      </c>
      <c r="D93" s="66">
        <v>59</v>
      </c>
      <c r="E93" s="66">
        <f t="shared" si="9"/>
        <v>0.76210074418188734</v>
      </c>
      <c r="F93" s="66">
        <f t="shared" si="10"/>
        <v>0.7751778265055943</v>
      </c>
      <c r="G93" s="260"/>
      <c r="H93" s="66"/>
      <c r="I93" s="260"/>
      <c r="J93" s="66"/>
      <c r="K93" s="162"/>
      <c r="L93" s="68"/>
      <c r="M93" s="81">
        <f>IF(SUM(M$35:M92)=K$33,0,IF(SUM(L$35:L93)&lt;$W$10,L93,K$33-SUM(L$35:L92)))</f>
        <v>0</v>
      </c>
      <c r="N93" s="81">
        <f t="shared" si="7"/>
        <v>0</v>
      </c>
      <c r="O93" s="81">
        <f t="shared" si="11"/>
        <v>0</v>
      </c>
      <c r="P93" s="81">
        <f t="shared" si="12"/>
        <v>0</v>
      </c>
      <c r="Q93" s="81">
        <f t="shared" si="8"/>
        <v>0</v>
      </c>
      <c r="R93" s="81">
        <f t="shared" si="5"/>
        <v>0</v>
      </c>
      <c r="S93" s="80">
        <f t="shared" si="13"/>
        <v>0</v>
      </c>
      <c r="T93" s="80">
        <f>IF(SUM(L$35:L92)&lt;W$10,IF(SUM(L$35:L93)&lt;W$10,0,(SUM(L$35:L93)-W$10)),L93)</f>
        <v>0</v>
      </c>
      <c r="V93" s="2"/>
      <c r="W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61"/>
      <c r="B94" s="65" t="s">
        <v>159</v>
      </c>
      <c r="C94" s="66">
        <f>+C91</f>
        <v>2028</v>
      </c>
      <c r="D94" s="66">
        <v>60</v>
      </c>
      <c r="E94" s="66">
        <f t="shared" si="9"/>
        <v>0.75667162527057108</v>
      </c>
      <c r="F94" s="66">
        <f t="shared" si="10"/>
        <v>0.7751778265055943</v>
      </c>
      <c r="G94" s="260"/>
      <c r="H94" s="66"/>
      <c r="I94" s="260"/>
      <c r="J94" s="66"/>
      <c r="K94" s="162"/>
      <c r="L94" s="68"/>
      <c r="M94" s="81">
        <f>IF(SUM(M$35:M93)=K$33,0,IF(SUM(L$35:L94)&lt;$W$10,L94,K$33-SUM(L$35:L93)))</f>
        <v>0</v>
      </c>
      <c r="N94" s="81">
        <f t="shared" si="7"/>
        <v>0</v>
      </c>
      <c r="O94" s="81">
        <f t="shared" si="11"/>
        <v>0</v>
      </c>
      <c r="P94" s="81">
        <f t="shared" si="12"/>
        <v>0</v>
      </c>
      <c r="Q94" s="81">
        <f t="shared" si="8"/>
        <v>0</v>
      </c>
      <c r="R94" s="81">
        <f t="shared" si="5"/>
        <v>0</v>
      </c>
      <c r="S94" s="80">
        <f t="shared" si="13"/>
        <v>0</v>
      </c>
      <c r="T94" s="80">
        <f>IF(SUM(L$35:L93)&lt;W$10,IF(SUM(L$35:L94)&lt;W$10,0,(SUM(L$35:L94)-W$10)),L94)</f>
        <v>0</v>
      </c>
      <c r="V94" s="2"/>
      <c r="W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61">
        <v>2029</v>
      </c>
      <c r="B95" s="65" t="s">
        <v>156</v>
      </c>
      <c r="C95" s="66">
        <f>+A95</f>
        <v>2029</v>
      </c>
      <c r="D95" s="66">
        <v>61</v>
      </c>
      <c r="E95" s="66">
        <f t="shared" si="9"/>
        <v>0.75128118278409506</v>
      </c>
      <c r="F95" s="66">
        <f t="shared" si="10"/>
        <v>0.75355091523825635</v>
      </c>
      <c r="G95" s="260"/>
      <c r="H95" s="81">
        <f>+G95*F95</f>
        <v>0</v>
      </c>
      <c r="I95" s="260"/>
      <c r="J95" s="81">
        <f>+I95*F95</f>
        <v>0</v>
      </c>
      <c r="K95" s="162"/>
      <c r="L95" s="68"/>
      <c r="M95" s="81">
        <f>IF(SUM(M$35:M94)=K$33,0,IF(SUM(L$35:L95)&lt;$W$10,L95,K$33-SUM(L$35:L94)))</f>
        <v>0</v>
      </c>
      <c r="N95" s="81">
        <f t="shared" si="7"/>
        <v>0</v>
      </c>
      <c r="O95" s="81">
        <f t="shared" si="11"/>
        <v>0</v>
      </c>
      <c r="P95" s="81">
        <f t="shared" si="12"/>
        <v>0</v>
      </c>
      <c r="Q95" s="81">
        <f t="shared" si="8"/>
        <v>0</v>
      </c>
      <c r="R95" s="81">
        <f t="shared" si="5"/>
        <v>0</v>
      </c>
      <c r="S95" s="80">
        <f t="shared" si="13"/>
        <v>0</v>
      </c>
      <c r="T95" s="80">
        <f>IF(SUM(L$35:L94)&lt;W$10,IF(SUM(L$35:L95)&lt;W$10,0,(SUM(L$35:L95)-W$10)),L95)</f>
        <v>0</v>
      </c>
      <c r="V95" s="2">
        <f>SUM(T95:T98)</f>
        <v>0</v>
      </c>
      <c r="W95" s="2">
        <f>+V95*F95</f>
        <v>0</v>
      </c>
      <c r="Y95" s="2">
        <f>+X95*F95</f>
        <v>0</v>
      </c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61"/>
      <c r="B96" s="65" t="s">
        <v>157</v>
      </c>
      <c r="C96" s="66">
        <f>+C95</f>
        <v>2029</v>
      </c>
      <c r="D96" s="66">
        <v>62</v>
      </c>
      <c r="E96" s="66">
        <f t="shared" si="9"/>
        <v>0.74592914119601372</v>
      </c>
      <c r="F96" s="66">
        <f t="shared" si="10"/>
        <v>0.75355091523825635</v>
      </c>
      <c r="G96" s="260"/>
      <c r="H96" s="66"/>
      <c r="I96" s="260"/>
      <c r="J96" s="66"/>
      <c r="K96" s="162"/>
      <c r="L96" s="68"/>
      <c r="M96" s="81">
        <f>IF(SUM(M$35:M95)=K$33,0,IF(SUM(L$35:L96)&lt;$W$10,L96,K$33-SUM(L$35:L95)))</f>
        <v>0</v>
      </c>
      <c r="N96" s="81">
        <f t="shared" si="7"/>
        <v>0</v>
      </c>
      <c r="O96" s="81">
        <f t="shared" si="11"/>
        <v>0</v>
      </c>
      <c r="P96" s="81">
        <f t="shared" si="12"/>
        <v>0</v>
      </c>
      <c r="Q96" s="81">
        <f t="shared" si="8"/>
        <v>0</v>
      </c>
      <c r="R96" s="81">
        <f t="shared" si="5"/>
        <v>0</v>
      </c>
      <c r="S96" s="80">
        <f t="shared" si="13"/>
        <v>0</v>
      </c>
      <c r="T96" s="80">
        <f>IF(SUM(L$35:L95)&lt;W$10,IF(SUM(L$35:L96)&lt;W$10,0,(SUM(L$35:L96)-W$10)),L96)</f>
        <v>0</v>
      </c>
      <c r="V96" s="2"/>
      <c r="W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25">
      <c r="A97" s="261"/>
      <c r="B97" s="65" t="s">
        <v>158</v>
      </c>
      <c r="C97" s="66">
        <f>+C95</f>
        <v>2029</v>
      </c>
      <c r="D97" s="66">
        <v>63</v>
      </c>
      <c r="E97" s="66">
        <f t="shared" si="9"/>
        <v>0.74061522694269999</v>
      </c>
      <c r="F97" s="66">
        <f t="shared" si="10"/>
        <v>0.75355091523825635</v>
      </c>
      <c r="G97" s="260"/>
      <c r="H97" s="66"/>
      <c r="I97" s="260"/>
      <c r="J97" s="66"/>
      <c r="K97" s="162"/>
      <c r="L97" s="68"/>
      <c r="M97" s="81">
        <f>IF(SUM(M$35:M96)=K$33,0,IF(SUM(L$35:L97)&lt;$W$10,L97,K$33-SUM(L$35:L96)))</f>
        <v>0</v>
      </c>
      <c r="N97" s="81">
        <f t="shared" si="7"/>
        <v>0</v>
      </c>
      <c r="O97" s="81">
        <f t="shared" si="11"/>
        <v>0</v>
      </c>
      <c r="P97" s="81">
        <f t="shared" si="12"/>
        <v>0</v>
      </c>
      <c r="Q97" s="81">
        <f t="shared" si="8"/>
        <v>0</v>
      </c>
      <c r="R97" s="81">
        <f t="shared" si="5"/>
        <v>0</v>
      </c>
      <c r="S97" s="80">
        <f t="shared" si="13"/>
        <v>0</v>
      </c>
      <c r="T97" s="80">
        <f>IF(SUM(L$35:L96)&lt;W$10,IF(SUM(L$35:L97)&lt;W$10,0,(SUM(L$35:L97)-W$10)),L97)</f>
        <v>0</v>
      </c>
      <c r="V97" s="2"/>
      <c r="W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25">
      <c r="A98" s="261"/>
      <c r="B98" s="65" t="s">
        <v>159</v>
      </c>
      <c r="C98" s="66">
        <f>+C95</f>
        <v>2029</v>
      </c>
      <c r="D98" s="66">
        <v>64</v>
      </c>
      <c r="E98" s="66">
        <f t="shared" si="9"/>
        <v>0.73533916840936275</v>
      </c>
      <c r="F98" s="66">
        <f t="shared" si="10"/>
        <v>0.75355091523825635</v>
      </c>
      <c r="G98" s="260"/>
      <c r="H98" s="66"/>
      <c r="I98" s="260"/>
      <c r="J98" s="66"/>
      <c r="K98" s="162"/>
      <c r="L98" s="68"/>
      <c r="M98" s="81">
        <f>IF(SUM(M$35:M97)=K$33,0,IF(SUM(L$35:L98)&lt;$W$10,L98,K$33-SUM(L$35:L97)))</f>
        <v>0</v>
      </c>
      <c r="N98" s="81">
        <f t="shared" si="7"/>
        <v>0</v>
      </c>
      <c r="O98" s="81">
        <f t="shared" si="11"/>
        <v>0</v>
      </c>
      <c r="P98" s="81">
        <f t="shared" si="12"/>
        <v>0</v>
      </c>
      <c r="Q98" s="81">
        <f t="shared" si="8"/>
        <v>0</v>
      </c>
      <c r="R98" s="81">
        <f t="shared" si="5"/>
        <v>0</v>
      </c>
      <c r="S98" s="80">
        <f t="shared" si="13"/>
        <v>0</v>
      </c>
      <c r="T98" s="80">
        <f>IF(SUM(L$35:L97)&lt;W$10,IF(SUM(L$35:L98)&lt;W$10,0,(SUM(L$35:L98)-W$10)),L98)</f>
        <v>0</v>
      </c>
      <c r="V98" s="2"/>
      <c r="W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25">
      <c r="A99" s="261">
        <v>2030</v>
      </c>
      <c r="B99" s="65" t="s">
        <v>156</v>
      </c>
      <c r="C99" s="66">
        <f>+A99</f>
        <v>2030</v>
      </c>
      <c r="D99" s="66">
        <v>65</v>
      </c>
      <c r="E99" s="66">
        <f t="shared" ref="E99:E130" si="14">IF(D99&lt;$B$11,1,(1/(1+$K$17/4)^(D99-$B$11+1)))</f>
        <v>0.73010069591616422</v>
      </c>
      <c r="F99" s="66">
        <f t="shared" ref="F99:F130" si="15">IF(C99&lt;($B$9+1),1,(1/(1+$K$17)^(C99-$B$9)))</f>
        <v>0.73252737944809609</v>
      </c>
      <c r="G99" s="260"/>
      <c r="H99" s="81">
        <f>+G99*F99</f>
        <v>0</v>
      </c>
      <c r="I99" s="260"/>
      <c r="J99" s="81">
        <f>+I99*F99</f>
        <v>0</v>
      </c>
      <c r="K99" s="162"/>
      <c r="L99" s="68"/>
      <c r="M99" s="81">
        <f>IF(SUM(M$35:M98)=K$33,0,IF(SUM(L$35:L99)&lt;$W$10,L99,K$33-SUM(L$35:L98)))</f>
        <v>0</v>
      </c>
      <c r="N99" s="81">
        <f t="shared" si="7"/>
        <v>0</v>
      </c>
      <c r="O99" s="81">
        <f t="shared" ref="O99:O130" si="16">+N99*($K$21/4)</f>
        <v>0</v>
      </c>
      <c r="P99" s="81">
        <f t="shared" ref="P99:P130" si="17">+N99*($K$20/4)</f>
        <v>0</v>
      </c>
      <c r="Q99" s="81">
        <f t="shared" si="8"/>
        <v>0</v>
      </c>
      <c r="R99" s="81">
        <f t="shared" ref="R99:R122" si="18">+Q99*E99</f>
        <v>0</v>
      </c>
      <c r="S99" s="80">
        <f t="shared" ref="S99:S130" si="19">+L99-T99</f>
        <v>0</v>
      </c>
      <c r="T99" s="80">
        <f>IF(SUM(L$35:L98)&lt;W$10,IF(SUM(L$35:L99)&lt;W$10,0,(SUM(L$35:L99)-W$10)),L99)</f>
        <v>0</v>
      </c>
      <c r="V99" s="2">
        <f>SUM(T99:T102)</f>
        <v>0</v>
      </c>
      <c r="W99" s="2">
        <f>+V99*F99</f>
        <v>0</v>
      </c>
      <c r="Y99" s="2">
        <f>+X99*F99</f>
        <v>0</v>
      </c>
      <c r="Z99" s="2"/>
      <c r="AA99" s="2"/>
      <c r="AB99" s="2"/>
      <c r="AC99" s="2"/>
      <c r="AD99" s="2"/>
      <c r="AE99" s="2"/>
      <c r="AF99" s="2"/>
      <c r="AG99" s="2"/>
    </row>
    <row r="100" spans="1:33" x14ac:dyDescent="0.25">
      <c r="A100" s="261"/>
      <c r="B100" s="65" t="s">
        <v>157</v>
      </c>
      <c r="C100" s="66">
        <f>+C99</f>
        <v>2030</v>
      </c>
      <c r="D100" s="66">
        <v>66</v>
      </c>
      <c r="E100" s="66">
        <f t="shared" si="14"/>
        <v>0.72489954170443505</v>
      </c>
      <c r="F100" s="66">
        <f t="shared" si="15"/>
        <v>0.73252737944809609</v>
      </c>
      <c r="G100" s="260"/>
      <c r="H100" s="66"/>
      <c r="I100" s="260"/>
      <c r="J100" s="66"/>
      <c r="K100" s="162"/>
      <c r="L100" s="68"/>
      <c r="M100" s="81">
        <f>IF(SUM(M$35:M99)=K$33,0,IF(SUM(L$35:L100)&lt;$W$10,L100,K$33-SUM(L$35:L99)))</f>
        <v>0</v>
      </c>
      <c r="N100" s="81">
        <f t="shared" ref="N100:N122" si="20">+N99+K100-M99</f>
        <v>0</v>
      </c>
      <c r="O100" s="81">
        <f t="shared" si="16"/>
        <v>0</v>
      </c>
      <c r="P100" s="81">
        <f t="shared" si="17"/>
        <v>0</v>
      </c>
      <c r="Q100" s="81">
        <f t="shared" ref="Q100:Q122" si="21">+P100-O100</f>
        <v>0</v>
      </c>
      <c r="R100" s="81">
        <f t="shared" si="18"/>
        <v>0</v>
      </c>
      <c r="S100" s="80">
        <f t="shared" si="19"/>
        <v>0</v>
      </c>
      <c r="T100" s="80">
        <f>IF(SUM(L$35:L99)&lt;W$10,IF(SUM(L$35:L100)&lt;W$10,0,(SUM(L$35:L100)-W$10)),L100)</f>
        <v>0</v>
      </c>
      <c r="V100" s="2"/>
      <c r="W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61"/>
      <c r="B101" s="65" t="s">
        <v>158</v>
      </c>
      <c r="C101" s="66">
        <f>+C99</f>
        <v>2030</v>
      </c>
      <c r="D101" s="66">
        <v>67</v>
      </c>
      <c r="E101" s="66">
        <f t="shared" si="14"/>
        <v>0.7197354399229875</v>
      </c>
      <c r="F101" s="66">
        <f t="shared" si="15"/>
        <v>0.73252737944809609</v>
      </c>
      <c r="G101" s="260"/>
      <c r="H101" s="66"/>
      <c r="I101" s="260"/>
      <c r="J101" s="66"/>
      <c r="K101" s="162"/>
      <c r="L101" s="68"/>
      <c r="M101" s="81">
        <f>IF(SUM(M$35:M100)=K$33,0,IF(SUM(L$35:L101)&lt;$W$10,L101,K$33-SUM(L$35:L100)))</f>
        <v>0</v>
      </c>
      <c r="N101" s="81">
        <f t="shared" si="20"/>
        <v>0</v>
      </c>
      <c r="O101" s="81">
        <f t="shared" si="16"/>
        <v>0</v>
      </c>
      <c r="P101" s="81">
        <f t="shared" si="17"/>
        <v>0</v>
      </c>
      <c r="Q101" s="81">
        <f t="shared" si="21"/>
        <v>0</v>
      </c>
      <c r="R101" s="81">
        <f t="shared" si="18"/>
        <v>0</v>
      </c>
      <c r="S101" s="80">
        <f t="shared" si="19"/>
        <v>0</v>
      </c>
      <c r="T101" s="80">
        <f>IF(SUM(L$35:L100)&lt;W$10,IF(SUM(L$35:L101)&lt;W$10,0,(SUM(L$35:L101)-W$10)),L101)</f>
        <v>0</v>
      </c>
      <c r="V101" s="2"/>
      <c r="W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61"/>
      <c r="B102" s="65" t="s">
        <v>159</v>
      </c>
      <c r="C102" s="66">
        <f>+C99</f>
        <v>2030</v>
      </c>
      <c r="D102" s="66">
        <v>68</v>
      </c>
      <c r="E102" s="66">
        <f t="shared" si="14"/>
        <v>0.71460812661452855</v>
      </c>
      <c r="F102" s="66">
        <f t="shared" si="15"/>
        <v>0.73252737944809609</v>
      </c>
      <c r="G102" s="260"/>
      <c r="H102" s="66"/>
      <c r="I102" s="260"/>
      <c r="J102" s="66"/>
      <c r="K102" s="162"/>
      <c r="L102" s="68"/>
      <c r="M102" s="81">
        <f>IF(SUM(M$35:M101)=K$33,0,IF(SUM(L$35:L102)&lt;$W$10,L102,K$33-SUM(L$35:L101)))</f>
        <v>0</v>
      </c>
      <c r="N102" s="81">
        <f t="shared" si="20"/>
        <v>0</v>
      </c>
      <c r="O102" s="81">
        <f t="shared" si="16"/>
        <v>0</v>
      </c>
      <c r="P102" s="81">
        <f t="shared" si="17"/>
        <v>0</v>
      </c>
      <c r="Q102" s="81">
        <f t="shared" si="21"/>
        <v>0</v>
      </c>
      <c r="R102" s="81">
        <f t="shared" si="18"/>
        <v>0</v>
      </c>
      <c r="S102" s="80">
        <f t="shared" si="19"/>
        <v>0</v>
      </c>
      <c r="T102" s="80">
        <f>IF(SUM(L$35:L101)&lt;W$10,IF(SUM(L$35:L102)&lt;W$10,0,(SUM(L$35:L102)-W$10)),L102)</f>
        <v>0</v>
      </c>
      <c r="V102" s="2"/>
      <c r="W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25">
      <c r="A103" s="261">
        <v>2031</v>
      </c>
      <c r="B103" s="65" t="s">
        <v>156</v>
      </c>
      <c r="C103" s="66">
        <f>+A103</f>
        <v>2031</v>
      </c>
      <c r="D103" s="66">
        <v>69</v>
      </c>
      <c r="E103" s="66">
        <f t="shared" si="14"/>
        <v>0.70951733970216535</v>
      </c>
      <c r="F103" s="66">
        <f t="shared" si="15"/>
        <v>0.7120903853874756</v>
      </c>
      <c r="G103" s="260"/>
      <c r="H103" s="81">
        <f>+G103*F103</f>
        <v>0</v>
      </c>
      <c r="I103" s="260"/>
      <c r="J103" s="81">
        <f>+I103*F103</f>
        <v>0</v>
      </c>
      <c r="K103" s="162"/>
      <c r="L103" s="68"/>
      <c r="M103" s="81">
        <f>IF(SUM(M$35:M102)=K$33,0,IF(SUM(L$35:L103)&lt;$W$10,L103,K$33-SUM(L$35:L102)))</f>
        <v>0</v>
      </c>
      <c r="N103" s="81">
        <f t="shared" si="20"/>
        <v>0</v>
      </c>
      <c r="O103" s="81">
        <f t="shared" si="16"/>
        <v>0</v>
      </c>
      <c r="P103" s="81">
        <f t="shared" si="17"/>
        <v>0</v>
      </c>
      <c r="Q103" s="81">
        <f t="shared" si="21"/>
        <v>0</v>
      </c>
      <c r="R103" s="81">
        <f t="shared" si="18"/>
        <v>0</v>
      </c>
      <c r="S103" s="80">
        <f t="shared" si="19"/>
        <v>0</v>
      </c>
      <c r="T103" s="80">
        <f>IF(SUM(L$35:L102)&lt;W$10,IF(SUM(L$35:L103)&lt;W$10,0,(SUM(L$35:L103)-W$10)),L103)</f>
        <v>0</v>
      </c>
      <c r="V103" s="2">
        <f>SUM(T103:T106)</f>
        <v>0</v>
      </c>
      <c r="W103" s="2">
        <f>+V103*F103</f>
        <v>0</v>
      </c>
      <c r="Y103" s="2">
        <f>+X103*F103</f>
        <v>0</v>
      </c>
      <c r="Z103" s="2"/>
      <c r="AA103" s="2"/>
      <c r="AB103" s="2"/>
      <c r="AC103" s="2"/>
      <c r="AD103" s="2"/>
      <c r="AE103" s="2"/>
      <c r="AF103" s="2"/>
      <c r="AG103" s="2"/>
    </row>
    <row r="104" spans="1:33" x14ac:dyDescent="0.25">
      <c r="A104" s="261"/>
      <c r="B104" s="65" t="s">
        <v>157</v>
      </c>
      <c r="C104" s="66">
        <f>+C103</f>
        <v>2031</v>
      </c>
      <c r="D104" s="66">
        <v>70</v>
      </c>
      <c r="E104" s="66">
        <f t="shared" si="14"/>
        <v>0.70446281897601259</v>
      </c>
      <c r="F104" s="66">
        <f t="shared" si="15"/>
        <v>0.7120903853874756</v>
      </c>
      <c r="G104" s="260"/>
      <c r="H104" s="66"/>
      <c r="I104" s="260"/>
      <c r="J104" s="66"/>
      <c r="K104" s="162"/>
      <c r="L104" s="68"/>
      <c r="M104" s="81">
        <f>IF(SUM(M$35:M103)=K$33,0,IF(SUM(L$35:L104)&lt;$W$10,L104,K$33-SUM(L$35:L103)))</f>
        <v>0</v>
      </c>
      <c r="N104" s="81">
        <f t="shared" si="20"/>
        <v>0</v>
      </c>
      <c r="O104" s="81">
        <f t="shared" si="16"/>
        <v>0</v>
      </c>
      <c r="P104" s="81">
        <f t="shared" si="17"/>
        <v>0</v>
      </c>
      <c r="Q104" s="81">
        <f t="shared" si="21"/>
        <v>0</v>
      </c>
      <c r="R104" s="81">
        <f t="shared" si="18"/>
        <v>0</v>
      </c>
      <c r="S104" s="80">
        <f t="shared" si="19"/>
        <v>0</v>
      </c>
      <c r="T104" s="80">
        <f>IF(SUM(L$35:L103)&lt;W$10,IF(SUM(L$35:L104)&lt;W$10,0,(SUM(L$35:L104)-W$10)),L104)</f>
        <v>0</v>
      </c>
      <c r="V104" s="2"/>
      <c r="W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25">
      <c r="A105" s="261"/>
      <c r="B105" s="65" t="s">
        <v>158</v>
      </c>
      <c r="C105" s="66">
        <f>+C103</f>
        <v>2031</v>
      </c>
      <c r="D105" s="66">
        <v>71</v>
      </c>
      <c r="E105" s="66">
        <f t="shared" si="14"/>
        <v>0.69944430607988939</v>
      </c>
      <c r="F105" s="66">
        <f t="shared" si="15"/>
        <v>0.7120903853874756</v>
      </c>
      <c r="G105" s="260"/>
      <c r="H105" s="66"/>
      <c r="I105" s="260"/>
      <c r="J105" s="66"/>
      <c r="K105" s="162"/>
      <c r="L105" s="68"/>
      <c r="M105" s="81">
        <f>IF(SUM(M$35:M104)=K$33,0,IF(SUM(L$35:L105)&lt;$W$10,L105,K$33-SUM(L$35:L104)))</f>
        <v>0</v>
      </c>
      <c r="N105" s="81">
        <f t="shared" si="20"/>
        <v>0</v>
      </c>
      <c r="O105" s="81">
        <f t="shared" si="16"/>
        <v>0</v>
      </c>
      <c r="P105" s="81">
        <f t="shared" si="17"/>
        <v>0</v>
      </c>
      <c r="Q105" s="81">
        <f t="shared" si="21"/>
        <v>0</v>
      </c>
      <c r="R105" s="81">
        <f t="shared" si="18"/>
        <v>0</v>
      </c>
      <c r="S105" s="80">
        <f t="shared" si="19"/>
        <v>0</v>
      </c>
      <c r="T105" s="80">
        <f>IF(SUM(L$35:L104)&lt;W$10,IF(SUM(L$35:L105)&lt;W$10,0,(SUM(L$35:L105)-W$10)),L105)</f>
        <v>0</v>
      </c>
      <c r="V105" s="2"/>
      <c r="W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25">
      <c r="A106" s="261"/>
      <c r="B106" s="65" t="s">
        <v>159</v>
      </c>
      <c r="C106" s="66">
        <f>+C103</f>
        <v>2031</v>
      </c>
      <c r="D106" s="66">
        <v>72</v>
      </c>
      <c r="E106" s="66">
        <f t="shared" si="14"/>
        <v>0.69446154449811548</v>
      </c>
      <c r="F106" s="66">
        <f t="shared" si="15"/>
        <v>0.7120903853874756</v>
      </c>
      <c r="G106" s="260"/>
      <c r="H106" s="66"/>
      <c r="I106" s="260"/>
      <c r="J106" s="66"/>
      <c r="K106" s="162"/>
      <c r="L106" s="68"/>
      <c r="M106" s="81">
        <f>IF(SUM(M$35:M105)=K$33,0,IF(SUM(L$35:L106)&lt;$W$10,L106,K$33-SUM(L$35:L105)))</f>
        <v>0</v>
      </c>
      <c r="N106" s="81">
        <f t="shared" si="20"/>
        <v>0</v>
      </c>
      <c r="O106" s="81">
        <f t="shared" si="16"/>
        <v>0</v>
      </c>
      <c r="P106" s="81">
        <f t="shared" si="17"/>
        <v>0</v>
      </c>
      <c r="Q106" s="81">
        <f t="shared" si="21"/>
        <v>0</v>
      </c>
      <c r="R106" s="81">
        <f t="shared" si="18"/>
        <v>0</v>
      </c>
      <c r="S106" s="80">
        <f t="shared" si="19"/>
        <v>0</v>
      </c>
      <c r="T106" s="80">
        <f>IF(SUM(L$35:L105)&lt;W$10,IF(SUM(L$35:L106)&lt;W$10,0,(SUM(L$35:L106)-W$10)),L106)</f>
        <v>0</v>
      </c>
      <c r="V106" s="2"/>
      <c r="W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25">
      <c r="A107" s="261">
        <v>2032</v>
      </c>
      <c r="B107" s="65" t="s">
        <v>156</v>
      </c>
      <c r="C107" s="66">
        <f>+A107</f>
        <v>2032</v>
      </c>
      <c r="D107" s="66">
        <v>73</v>
      </c>
      <c r="E107" s="66">
        <f t="shared" si="14"/>
        <v>0.68951427954239874</v>
      </c>
      <c r="F107" s="66">
        <f t="shared" si="15"/>
        <v>0.69222356895837045</v>
      </c>
      <c r="G107" s="260"/>
      <c r="H107" s="81">
        <f>+G107*F107</f>
        <v>0</v>
      </c>
      <c r="I107" s="260"/>
      <c r="J107" s="81">
        <f>+I107*F107</f>
        <v>0</v>
      </c>
      <c r="K107" s="162"/>
      <c r="L107" s="68"/>
      <c r="M107" s="81">
        <f>IF(SUM(M$35:M106)=K$33,0,IF(SUM(L$35:L107)&lt;$W$10,L107,K$33-SUM(L$35:L106)))</f>
        <v>0</v>
      </c>
      <c r="N107" s="81">
        <f t="shared" si="20"/>
        <v>0</v>
      </c>
      <c r="O107" s="81">
        <f t="shared" si="16"/>
        <v>0</v>
      </c>
      <c r="P107" s="81">
        <f t="shared" si="17"/>
        <v>0</v>
      </c>
      <c r="Q107" s="81">
        <f t="shared" si="21"/>
        <v>0</v>
      </c>
      <c r="R107" s="81">
        <f t="shared" si="18"/>
        <v>0</v>
      </c>
      <c r="S107" s="80">
        <f t="shared" si="19"/>
        <v>0</v>
      </c>
      <c r="T107" s="80">
        <f>IF(SUM(L$35:L106)&lt;W$10,IF(SUM(L$35:L107)&lt;W$10,0,(SUM(L$35:L107)-W$10)),L107)</f>
        <v>0</v>
      </c>
      <c r="V107" s="2">
        <f>SUM(T107:T110)</f>
        <v>0</v>
      </c>
      <c r="W107" s="2">
        <f>+V107*F107</f>
        <v>0</v>
      </c>
      <c r="Y107" s="2">
        <f>+X107*F107</f>
        <v>0</v>
      </c>
      <c r="Z107" s="2"/>
      <c r="AA107" s="2"/>
      <c r="AB107" s="2"/>
      <c r="AC107" s="2"/>
      <c r="AD107" s="2"/>
      <c r="AE107" s="2"/>
      <c r="AF107" s="2"/>
      <c r="AG107" s="2"/>
    </row>
    <row r="108" spans="1:33" x14ac:dyDescent="0.25">
      <c r="A108" s="261"/>
      <c r="B108" s="65" t="s">
        <v>157</v>
      </c>
      <c r="C108" s="66">
        <f>+C107</f>
        <v>2032</v>
      </c>
      <c r="D108" s="66">
        <v>74</v>
      </c>
      <c r="E108" s="66">
        <f t="shared" si="14"/>
        <v>0.6846022583388176</v>
      </c>
      <c r="F108" s="66">
        <f t="shared" si="15"/>
        <v>0.69222356895837045</v>
      </c>
      <c r="G108" s="260"/>
      <c r="H108" s="66"/>
      <c r="I108" s="260"/>
      <c r="J108" s="66"/>
      <c r="K108" s="162"/>
      <c r="L108" s="68"/>
      <c r="M108" s="81">
        <f>IF(SUM(M$35:M107)=K$33,0,IF(SUM(L$35:L108)&lt;$W$10,L108,K$33-SUM(L$35:L107)))</f>
        <v>0</v>
      </c>
      <c r="N108" s="81">
        <f t="shared" si="20"/>
        <v>0</v>
      </c>
      <c r="O108" s="81">
        <f t="shared" si="16"/>
        <v>0</v>
      </c>
      <c r="P108" s="81">
        <f t="shared" si="17"/>
        <v>0</v>
      </c>
      <c r="Q108" s="81">
        <f t="shared" si="21"/>
        <v>0</v>
      </c>
      <c r="R108" s="81">
        <f t="shared" si="18"/>
        <v>0</v>
      </c>
      <c r="S108" s="80">
        <f t="shared" si="19"/>
        <v>0</v>
      </c>
      <c r="T108" s="80">
        <f>IF(SUM(L$35:L107)&lt;W$10,IF(SUM(L$35:L108)&lt;W$10,0,(SUM(L$35:L108)-W$10)),L108)</f>
        <v>0</v>
      </c>
      <c r="V108" s="2"/>
      <c r="W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61"/>
      <c r="B109" s="65" t="s">
        <v>158</v>
      </c>
      <c r="C109" s="66">
        <f>+C107</f>
        <v>2032</v>
      </c>
      <c r="D109" s="66">
        <v>75</v>
      </c>
      <c r="E109" s="66">
        <f t="shared" si="14"/>
        <v>0.6797252298148958</v>
      </c>
      <c r="F109" s="66">
        <f t="shared" si="15"/>
        <v>0.69222356895837045</v>
      </c>
      <c r="G109" s="260"/>
      <c r="H109" s="66"/>
      <c r="I109" s="260"/>
      <c r="J109" s="66"/>
      <c r="K109" s="162"/>
      <c r="L109" s="68"/>
      <c r="M109" s="81">
        <f>IF(SUM(M$35:M108)=K$33,0,IF(SUM(L$35:L109)&lt;$W$10,L109,K$33-SUM(L$35:L108)))</f>
        <v>0</v>
      </c>
      <c r="N109" s="81">
        <f t="shared" si="20"/>
        <v>0</v>
      </c>
      <c r="O109" s="81">
        <f t="shared" si="16"/>
        <v>0</v>
      </c>
      <c r="P109" s="81">
        <f t="shared" si="17"/>
        <v>0</v>
      </c>
      <c r="Q109" s="81">
        <f t="shared" si="21"/>
        <v>0</v>
      </c>
      <c r="R109" s="81">
        <f t="shared" si="18"/>
        <v>0</v>
      </c>
      <c r="S109" s="80">
        <f t="shared" si="19"/>
        <v>0</v>
      </c>
      <c r="T109" s="80">
        <f>IF(SUM(L$35:L108)&lt;W$10,IF(SUM(L$35:L109)&lt;W$10,0,(SUM(L$35:L109)-W$10)),L109)</f>
        <v>0</v>
      </c>
      <c r="V109" s="2"/>
      <c r="W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61"/>
      <c r="B110" s="65" t="s">
        <v>159</v>
      </c>
      <c r="C110" s="66">
        <f>+C107</f>
        <v>2032</v>
      </c>
      <c r="D110" s="66">
        <v>76</v>
      </c>
      <c r="E110" s="66">
        <f t="shared" si="14"/>
        <v>0.67488294468676824</v>
      </c>
      <c r="F110" s="66">
        <f t="shared" si="15"/>
        <v>0.69222356895837045</v>
      </c>
      <c r="G110" s="260"/>
      <c r="H110" s="66"/>
      <c r="I110" s="260"/>
      <c r="J110" s="66"/>
      <c r="K110" s="162"/>
      <c r="L110" s="68"/>
      <c r="M110" s="81">
        <f>IF(SUM(M$35:M109)=K$33,0,IF(SUM(L$35:L110)&lt;$W$10,L110,K$33-SUM(L$35:L109)))</f>
        <v>0</v>
      </c>
      <c r="N110" s="81">
        <f t="shared" si="20"/>
        <v>0</v>
      </c>
      <c r="O110" s="81">
        <f t="shared" si="16"/>
        <v>0</v>
      </c>
      <c r="P110" s="81">
        <f t="shared" si="17"/>
        <v>0</v>
      </c>
      <c r="Q110" s="81">
        <f t="shared" si="21"/>
        <v>0</v>
      </c>
      <c r="R110" s="81">
        <f t="shared" si="18"/>
        <v>0</v>
      </c>
      <c r="S110" s="80">
        <f t="shared" si="19"/>
        <v>0</v>
      </c>
      <c r="T110" s="80">
        <f>IF(SUM(L$35:L109)&lt;W$10,IF(SUM(L$35:L110)&lt;W$10,0,(SUM(L$35:L110)-W$10)),L110)</f>
        <v>0</v>
      </c>
      <c r="V110" s="2"/>
      <c r="W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25">
      <c r="A111" s="261">
        <v>2033</v>
      </c>
      <c r="B111" s="65" t="s">
        <v>156</v>
      </c>
      <c r="C111" s="66">
        <f>+A111</f>
        <v>2033</v>
      </c>
      <c r="D111" s="66">
        <v>77</v>
      </c>
      <c r="E111" s="66">
        <f t="shared" si="14"/>
        <v>0.67007515544644014</v>
      </c>
      <c r="F111" s="66">
        <f t="shared" si="15"/>
        <v>0.67291102260947833</v>
      </c>
      <c r="G111" s="260"/>
      <c r="H111" s="81">
        <f>+G111*F111</f>
        <v>0</v>
      </c>
      <c r="I111" s="260"/>
      <c r="J111" s="81">
        <f>+I111*F111</f>
        <v>0</v>
      </c>
      <c r="K111" s="162"/>
      <c r="L111" s="68"/>
      <c r="M111" s="81">
        <f>IF(SUM(M$35:M110)=K$33,0,IF(SUM(L$35:L111)&lt;$W$10,L111,K$33-SUM(L$35:L110)))</f>
        <v>0</v>
      </c>
      <c r="N111" s="81">
        <f t="shared" si="20"/>
        <v>0</v>
      </c>
      <c r="O111" s="81">
        <f t="shared" si="16"/>
        <v>0</v>
      </c>
      <c r="P111" s="81">
        <f t="shared" si="17"/>
        <v>0</v>
      </c>
      <c r="Q111" s="81">
        <f t="shared" si="21"/>
        <v>0</v>
      </c>
      <c r="R111" s="81">
        <f t="shared" si="18"/>
        <v>0</v>
      </c>
      <c r="S111" s="80">
        <f t="shared" si="19"/>
        <v>0</v>
      </c>
      <c r="T111" s="80">
        <f>IF(SUM(L$35:L110)&lt;W$10,IF(SUM(L$35:L111)&lt;W$10,0,(SUM(L$35:L111)-W$10)),L111)</f>
        <v>0</v>
      </c>
      <c r="V111" s="2">
        <f>SUM(T111:T114)</f>
        <v>0</v>
      </c>
      <c r="W111" s="2">
        <f>+V111*F111</f>
        <v>0</v>
      </c>
      <c r="Y111" s="2">
        <f>+X111*F111</f>
        <v>0</v>
      </c>
      <c r="Z111" s="2"/>
      <c r="AA111" s="2"/>
      <c r="AB111" s="2"/>
      <c r="AC111" s="2"/>
      <c r="AD111" s="2"/>
      <c r="AE111" s="2"/>
      <c r="AF111" s="2"/>
      <c r="AG111" s="2"/>
    </row>
    <row r="112" spans="1:33" x14ac:dyDescent="0.25">
      <c r="A112" s="261"/>
      <c r="B112" s="65" t="s">
        <v>157</v>
      </c>
      <c r="C112" s="66">
        <f>+C111</f>
        <v>2033</v>
      </c>
      <c r="D112" s="66">
        <v>78</v>
      </c>
      <c r="E112" s="66">
        <f t="shared" si="14"/>
        <v>0.66530161634913521</v>
      </c>
      <c r="F112" s="66">
        <f t="shared" si="15"/>
        <v>0.67291102260947833</v>
      </c>
      <c r="G112" s="260"/>
      <c r="H112" s="66"/>
      <c r="I112" s="260"/>
      <c r="J112" s="66"/>
      <c r="K112" s="162"/>
      <c r="L112" s="68"/>
      <c r="M112" s="81">
        <f>IF(SUM(M$35:M111)=K$33,0,IF(SUM(L$35:L112)&lt;$W$10,L112,K$33-SUM(L$35:L111)))</f>
        <v>0</v>
      </c>
      <c r="N112" s="81">
        <f t="shared" si="20"/>
        <v>0</v>
      </c>
      <c r="O112" s="81">
        <f t="shared" si="16"/>
        <v>0</v>
      </c>
      <c r="P112" s="81">
        <f t="shared" si="17"/>
        <v>0</v>
      </c>
      <c r="Q112" s="81">
        <f t="shared" si="21"/>
        <v>0</v>
      </c>
      <c r="R112" s="81">
        <f t="shared" si="18"/>
        <v>0</v>
      </c>
      <c r="S112" s="80">
        <f t="shared" si="19"/>
        <v>0</v>
      </c>
      <c r="T112" s="80">
        <f>IF(SUM(L$35:L111)&lt;W$10,IF(SUM(L$35:L112)&lt;W$10,0,(SUM(L$35:L112)-W$10)),L112)</f>
        <v>0</v>
      </c>
      <c r="V112" s="2"/>
      <c r="W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25">
      <c r="A113" s="261"/>
      <c r="B113" s="65" t="s">
        <v>158</v>
      </c>
      <c r="C113" s="66">
        <f>+C111</f>
        <v>2033</v>
      </c>
      <c r="D113" s="66">
        <v>79</v>
      </c>
      <c r="E113" s="66">
        <f t="shared" si="14"/>
        <v>0.66056208340073497</v>
      </c>
      <c r="F113" s="66">
        <f t="shared" si="15"/>
        <v>0.67291102260947833</v>
      </c>
      <c r="G113" s="260"/>
      <c r="H113" s="66"/>
      <c r="I113" s="260"/>
      <c r="J113" s="66"/>
      <c r="K113" s="162"/>
      <c r="L113" s="68"/>
      <c r="M113" s="81">
        <f>IF(SUM(M$35:M112)=K$33,0,IF(SUM(L$35:L113)&lt;$W$10,L113,K$33-SUM(L$35:L112)))</f>
        <v>0</v>
      </c>
      <c r="N113" s="81">
        <f t="shared" si="20"/>
        <v>0</v>
      </c>
      <c r="O113" s="81">
        <f t="shared" si="16"/>
        <v>0</v>
      </c>
      <c r="P113" s="81">
        <f t="shared" si="17"/>
        <v>0</v>
      </c>
      <c r="Q113" s="81">
        <f t="shared" si="21"/>
        <v>0</v>
      </c>
      <c r="R113" s="81">
        <f t="shared" si="18"/>
        <v>0</v>
      </c>
      <c r="S113" s="80">
        <f t="shared" si="19"/>
        <v>0</v>
      </c>
      <c r="T113" s="80">
        <f>IF(SUM(L$35:L112)&lt;W$10,IF(SUM(L$35:L113)&lt;W$10,0,(SUM(L$35:L113)-W$10)),L113)</f>
        <v>0</v>
      </c>
      <c r="V113" s="2"/>
      <c r="W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25">
      <c r="A114" s="261"/>
      <c r="B114" s="65" t="s">
        <v>159</v>
      </c>
      <c r="C114" s="66">
        <f>+C111</f>
        <v>2033</v>
      </c>
      <c r="D114" s="66">
        <v>80</v>
      </c>
      <c r="E114" s="66">
        <f t="shared" si="14"/>
        <v>0.65585631434530733</v>
      </c>
      <c r="F114" s="66">
        <f t="shared" si="15"/>
        <v>0.67291102260947833</v>
      </c>
      <c r="G114" s="260"/>
      <c r="H114" s="66"/>
      <c r="I114" s="260"/>
      <c r="J114" s="66"/>
      <c r="K114" s="162"/>
      <c r="L114" s="68"/>
      <c r="M114" s="81">
        <f>IF(SUM(M$35:M113)=K$33,0,IF(SUM(L$35:L114)&lt;$W$10,L114,K$33-SUM(L$35:L113)))</f>
        <v>0</v>
      </c>
      <c r="N114" s="81">
        <f t="shared" si="20"/>
        <v>0</v>
      </c>
      <c r="O114" s="81">
        <f t="shared" si="16"/>
        <v>0</v>
      </c>
      <c r="P114" s="81">
        <f t="shared" si="17"/>
        <v>0</v>
      </c>
      <c r="Q114" s="81">
        <f t="shared" si="21"/>
        <v>0</v>
      </c>
      <c r="R114" s="81">
        <f t="shared" si="18"/>
        <v>0</v>
      </c>
      <c r="S114" s="80">
        <f t="shared" si="19"/>
        <v>0</v>
      </c>
      <c r="T114" s="80">
        <f>IF(SUM(L$35:L113)&lt;W$10,IF(SUM(L$35:L114)&lt;W$10,0,(SUM(L$35:L114)-W$10)),L114)</f>
        <v>0</v>
      </c>
      <c r="V114" s="2"/>
      <c r="W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61">
        <v>2034</v>
      </c>
      <c r="B115" s="65" t="s">
        <v>156</v>
      </c>
      <c r="C115" s="66">
        <f>+A115</f>
        <v>2034</v>
      </c>
      <c r="D115" s="66">
        <v>81</v>
      </c>
      <c r="E115" s="66">
        <f t="shared" si="14"/>
        <v>0.65118406865272394</v>
      </c>
      <c r="F115" s="66">
        <f t="shared" si="15"/>
        <v>0.65413728259889026</v>
      </c>
      <c r="G115" s="260"/>
      <c r="H115" s="81">
        <f>+G115*F115</f>
        <v>0</v>
      </c>
      <c r="I115" s="260"/>
      <c r="J115" s="81">
        <f>+I115*F115</f>
        <v>0</v>
      </c>
      <c r="K115" s="162"/>
      <c r="L115" s="68"/>
      <c r="M115" s="81">
        <f>IF(SUM(M$35:M114)=K$33,0,IF(SUM(L$35:L115)&lt;$W$10,L115,K$33-SUM(L$35:L114)))</f>
        <v>0</v>
      </c>
      <c r="N115" s="81">
        <f t="shared" si="20"/>
        <v>0</v>
      </c>
      <c r="O115" s="81">
        <f t="shared" si="16"/>
        <v>0</v>
      </c>
      <c r="P115" s="81">
        <f t="shared" si="17"/>
        <v>0</v>
      </c>
      <c r="Q115" s="81">
        <f t="shared" si="21"/>
        <v>0</v>
      </c>
      <c r="R115" s="81">
        <f t="shared" si="18"/>
        <v>0</v>
      </c>
      <c r="S115" s="80">
        <f t="shared" si="19"/>
        <v>0</v>
      </c>
      <c r="T115" s="80">
        <f>IF(SUM(L$35:L114)&lt;W$10,IF(SUM(L$35:L115)&lt;W$10,0,(SUM(L$35:L115)-W$10)),L115)</f>
        <v>0</v>
      </c>
      <c r="V115" s="2">
        <f>SUM(T115:T118)</f>
        <v>0</v>
      </c>
      <c r="W115" s="2">
        <f>+V115*F115</f>
        <v>0</v>
      </c>
      <c r="Y115" s="2">
        <f>+X115*F115</f>
        <v>0</v>
      </c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61"/>
      <c r="B116" s="65" t="s">
        <v>157</v>
      </c>
      <c r="C116" s="66">
        <f>+C115</f>
        <v>2034</v>
      </c>
      <c r="D116" s="66">
        <v>82</v>
      </c>
      <c r="E116" s="66">
        <f t="shared" si="14"/>
        <v>0.64654510750636585</v>
      </c>
      <c r="F116" s="66">
        <f t="shared" si="15"/>
        <v>0.65413728259889026</v>
      </c>
      <c r="G116" s="260"/>
      <c r="H116" s="66"/>
      <c r="I116" s="260"/>
      <c r="J116" s="66"/>
      <c r="K116" s="162"/>
      <c r="L116" s="68"/>
      <c r="M116" s="81">
        <f>IF(SUM(M$35:M115)=K$33,0,IF(SUM(L$35:L116)&lt;$W$10,L116,K$33-SUM(L$35:L115)))</f>
        <v>0</v>
      </c>
      <c r="N116" s="81">
        <f t="shared" si="20"/>
        <v>0</v>
      </c>
      <c r="O116" s="81">
        <f t="shared" si="16"/>
        <v>0</v>
      </c>
      <c r="P116" s="81">
        <f t="shared" si="17"/>
        <v>0</v>
      </c>
      <c r="Q116" s="81">
        <f t="shared" si="21"/>
        <v>0</v>
      </c>
      <c r="R116" s="81">
        <f t="shared" si="18"/>
        <v>0</v>
      </c>
      <c r="S116" s="80">
        <f t="shared" si="19"/>
        <v>0</v>
      </c>
      <c r="T116" s="80">
        <f>IF(SUM(L$35:L115)&lt;W$10,IF(SUM(L$35:L116)&lt;W$10,0,(SUM(L$35:L116)-W$10)),L116)</f>
        <v>0</v>
      </c>
      <c r="V116" s="2"/>
      <c r="W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25">
      <c r="A117" s="261"/>
      <c r="B117" s="65" t="s">
        <v>158</v>
      </c>
      <c r="C117" s="66">
        <f>+C115</f>
        <v>2034</v>
      </c>
      <c r="D117" s="66">
        <v>83</v>
      </c>
      <c r="E117" s="66">
        <f t="shared" si="14"/>
        <v>0.64193919379091602</v>
      </c>
      <c r="F117" s="66">
        <f t="shared" si="15"/>
        <v>0.65413728259889026</v>
      </c>
      <c r="G117" s="260"/>
      <c r="H117" s="66"/>
      <c r="I117" s="260"/>
      <c r="J117" s="66"/>
      <c r="K117" s="162"/>
      <c r="L117" s="68"/>
      <c r="M117" s="81">
        <f>IF(SUM(M$35:M116)=K$33,0,IF(SUM(L$35:L117)&lt;$W$10,L117,K$33-SUM(L$35:L116)))</f>
        <v>0</v>
      </c>
      <c r="N117" s="81">
        <f t="shared" si="20"/>
        <v>0</v>
      </c>
      <c r="O117" s="81">
        <f t="shared" si="16"/>
        <v>0</v>
      </c>
      <c r="P117" s="81">
        <f t="shared" si="17"/>
        <v>0</v>
      </c>
      <c r="Q117" s="81">
        <f t="shared" si="21"/>
        <v>0</v>
      </c>
      <c r="R117" s="81">
        <f t="shared" si="18"/>
        <v>0</v>
      </c>
      <c r="S117" s="80">
        <f t="shared" si="19"/>
        <v>0</v>
      </c>
      <c r="T117" s="80">
        <f>IF(SUM(L$35:L116)&lt;W$10,IF(SUM(L$35:L117)&lt;W$10,0,(SUM(L$35:L117)-W$10)),L117)</f>
        <v>0</v>
      </c>
      <c r="V117" s="2"/>
      <c r="W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25">
      <c r="A118" s="261"/>
      <c r="B118" s="65" t="s">
        <v>159</v>
      </c>
      <c r="C118" s="66">
        <f>+C115</f>
        <v>2034</v>
      </c>
      <c r="D118" s="66">
        <v>84</v>
      </c>
      <c r="E118" s="66">
        <f t="shared" si="14"/>
        <v>0.63736609208024042</v>
      </c>
      <c r="F118" s="66">
        <f t="shared" si="15"/>
        <v>0.65413728259889026</v>
      </c>
      <c r="G118" s="260"/>
      <c r="H118" s="66"/>
      <c r="I118" s="260"/>
      <c r="J118" s="66"/>
      <c r="K118" s="162"/>
      <c r="L118" s="68"/>
      <c r="M118" s="81">
        <f>IF(SUM(M$35:M117)=K$33,0,IF(SUM(L$35:L118)&lt;$W$10,L118,K$33-SUM(L$35:L117)))</f>
        <v>0</v>
      </c>
      <c r="N118" s="81">
        <f t="shared" si="20"/>
        <v>0</v>
      </c>
      <c r="O118" s="81">
        <f t="shared" si="16"/>
        <v>0</v>
      </c>
      <c r="P118" s="81">
        <f t="shared" si="17"/>
        <v>0</v>
      </c>
      <c r="Q118" s="81">
        <f t="shared" si="21"/>
        <v>0</v>
      </c>
      <c r="R118" s="81">
        <f t="shared" si="18"/>
        <v>0</v>
      </c>
      <c r="S118" s="80">
        <f t="shared" si="19"/>
        <v>0</v>
      </c>
      <c r="T118" s="80">
        <f>IF(SUM(L$35:L117)&lt;W$10,IF(SUM(L$35:L118)&lt;W$10,0,(SUM(L$35:L118)-W$10)),L118)</f>
        <v>0</v>
      </c>
      <c r="V118" s="2"/>
      <c r="W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25">
      <c r="A119" s="261">
        <v>2035</v>
      </c>
      <c r="B119" s="65" t="s">
        <v>156</v>
      </c>
      <c r="C119" s="66">
        <f>+A119</f>
        <v>2035</v>
      </c>
      <c r="D119" s="66">
        <v>85</v>
      </c>
      <c r="E119" s="66">
        <f t="shared" si="14"/>
        <v>0.63282556862535355</v>
      </c>
      <c r="F119" s="66">
        <f t="shared" si="15"/>
        <v>0.63588731661212228</v>
      </c>
      <c r="G119" s="260"/>
      <c r="H119" s="81">
        <f>+G119*F119</f>
        <v>0</v>
      </c>
      <c r="I119" s="260"/>
      <c r="J119" s="81">
        <f>+I119*F119</f>
        <v>0</v>
      </c>
      <c r="K119" s="162"/>
      <c r="L119" s="68"/>
      <c r="M119" s="81">
        <f>IF(SUM(M$35:M118)=K$33,0,IF(SUM(L$35:L119)&lt;$W$10,L119,K$33-SUM(L$35:L118)))</f>
        <v>0</v>
      </c>
      <c r="N119" s="81">
        <f t="shared" si="20"/>
        <v>0</v>
      </c>
      <c r="O119" s="81">
        <f t="shared" si="16"/>
        <v>0</v>
      </c>
      <c r="P119" s="81">
        <f t="shared" si="17"/>
        <v>0</v>
      </c>
      <c r="Q119" s="81">
        <f t="shared" si="21"/>
        <v>0</v>
      </c>
      <c r="R119" s="81">
        <f t="shared" si="18"/>
        <v>0</v>
      </c>
      <c r="S119" s="80">
        <f t="shared" si="19"/>
        <v>0</v>
      </c>
      <c r="T119" s="80">
        <f>IF(SUM(L$35:L118)&lt;W$10,IF(SUM(L$35:L119)&lt;W$10,0,(SUM(L$35:L119)-W$10)),L119)</f>
        <v>0</v>
      </c>
      <c r="V119" s="2">
        <f>SUM(T119:T122)</f>
        <v>0</v>
      </c>
      <c r="W119" s="2">
        <f>+V119*F119</f>
        <v>0</v>
      </c>
      <c r="Y119" s="2">
        <f>+X119*F119</f>
        <v>0</v>
      </c>
      <c r="Z119" s="2"/>
      <c r="AA119" s="2"/>
      <c r="AB119" s="2"/>
      <c r="AC119" s="2"/>
      <c r="AD119" s="2"/>
      <c r="AE119" s="2"/>
      <c r="AF119" s="2"/>
      <c r="AG119" s="2"/>
    </row>
    <row r="120" spans="1:33" x14ac:dyDescent="0.25">
      <c r="A120" s="261"/>
      <c r="B120" s="65" t="s">
        <v>157</v>
      </c>
      <c r="C120" s="66">
        <f>+C119</f>
        <v>2035</v>
      </c>
      <c r="D120" s="66">
        <v>86</v>
      </c>
      <c r="E120" s="66">
        <f t="shared" si="14"/>
        <v>0.62831739134247122</v>
      </c>
      <c r="F120" s="66">
        <f t="shared" si="15"/>
        <v>0.63588731661212228</v>
      </c>
      <c r="G120" s="260"/>
      <c r="H120" s="66"/>
      <c r="I120" s="260"/>
      <c r="J120" s="66"/>
      <c r="K120" s="162"/>
      <c r="L120" s="68"/>
      <c r="M120" s="81">
        <f>IF(SUM(M$35:M119)=K$33,0,IF(SUM(L$35:L120)&lt;$W$10,L120,K$33-SUM(L$35:L119)))</f>
        <v>0</v>
      </c>
      <c r="N120" s="81">
        <f t="shared" si="20"/>
        <v>0</v>
      </c>
      <c r="O120" s="81">
        <f t="shared" si="16"/>
        <v>0</v>
      </c>
      <c r="P120" s="81">
        <f t="shared" si="17"/>
        <v>0</v>
      </c>
      <c r="Q120" s="81">
        <f t="shared" si="21"/>
        <v>0</v>
      </c>
      <c r="R120" s="81">
        <f t="shared" si="18"/>
        <v>0</v>
      </c>
      <c r="S120" s="80">
        <f t="shared" si="19"/>
        <v>0</v>
      </c>
      <c r="T120" s="80">
        <f>IF(SUM(L$35:L119)&lt;W$10,IF(SUM(L$35:L120)&lt;W$10,0,(SUM(L$35:L120)-W$10)),L120)</f>
        <v>0</v>
      </c>
      <c r="V120" s="2"/>
      <c r="W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25">
      <c r="A121" s="261"/>
      <c r="B121" s="65" t="s">
        <v>158</v>
      </c>
      <c r="C121" s="66">
        <f>+C119</f>
        <v>2035</v>
      </c>
      <c r="D121" s="66">
        <v>87</v>
      </c>
      <c r="E121" s="66">
        <f t="shared" si="14"/>
        <v>0.62384132980114815</v>
      </c>
      <c r="F121" s="66">
        <f t="shared" si="15"/>
        <v>0.63588731661212228</v>
      </c>
      <c r="G121" s="260"/>
      <c r="H121" s="66"/>
      <c r="I121" s="260"/>
      <c r="J121" s="66"/>
      <c r="K121" s="162"/>
      <c r="L121" s="68"/>
      <c r="M121" s="81">
        <f>IF(SUM(M$35:M120)=K$33,0,IF(SUM(L$35:L121)&lt;$W$10,L121,K$33-SUM(L$35:L120)))</f>
        <v>0</v>
      </c>
      <c r="N121" s="81">
        <f t="shared" si="20"/>
        <v>0</v>
      </c>
      <c r="O121" s="81">
        <f t="shared" si="16"/>
        <v>0</v>
      </c>
      <c r="P121" s="81">
        <f t="shared" si="17"/>
        <v>0</v>
      </c>
      <c r="Q121" s="81">
        <f t="shared" si="21"/>
        <v>0</v>
      </c>
      <c r="R121" s="81">
        <f t="shared" si="18"/>
        <v>0</v>
      </c>
      <c r="S121" s="80">
        <f t="shared" si="19"/>
        <v>0</v>
      </c>
      <c r="T121" s="80">
        <f>IF(SUM(L$35:L120)&lt;W$10,IF(SUM(L$35:L121)&lt;W$10,0,(SUM(L$35:L121)-W$10)),L121)</f>
        <v>0</v>
      </c>
      <c r="V121" s="2"/>
      <c r="W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25">
      <c r="A122" s="261"/>
      <c r="B122" s="65" t="s">
        <v>159</v>
      </c>
      <c r="C122" s="66">
        <f>+C119</f>
        <v>2035</v>
      </c>
      <c r="D122" s="66">
        <v>88</v>
      </c>
      <c r="E122" s="66">
        <f t="shared" si="14"/>
        <v>0.6193971552124985</v>
      </c>
      <c r="F122" s="66">
        <f t="shared" si="15"/>
        <v>0.63588731661212228</v>
      </c>
      <c r="G122" s="260"/>
      <c r="H122" s="66"/>
      <c r="I122" s="260"/>
      <c r="J122" s="66"/>
      <c r="K122" s="162"/>
      <c r="L122" s="68"/>
      <c r="M122" s="81">
        <f>IF(SUM(M$35:M121)=K$33,0,IF(SUM(L$35:L122)&lt;$W$10,L122,K$33-SUM(L$35:L121)))</f>
        <v>0</v>
      </c>
      <c r="N122" s="81">
        <f t="shared" si="20"/>
        <v>0</v>
      </c>
      <c r="O122" s="81">
        <f t="shared" si="16"/>
        <v>0</v>
      </c>
      <c r="P122" s="81">
        <f t="shared" si="17"/>
        <v>0</v>
      </c>
      <c r="Q122" s="81">
        <f t="shared" si="21"/>
        <v>0</v>
      </c>
      <c r="R122" s="81">
        <f t="shared" si="18"/>
        <v>0</v>
      </c>
      <c r="S122" s="80">
        <f t="shared" si="19"/>
        <v>0</v>
      </c>
      <c r="T122" s="80">
        <f>IF(SUM(L$35:L121)&lt;W$10,IF(SUM(L$35:L122)&lt;W$10,0,(SUM(L$35:L122)-W$10)),L122)</f>
        <v>0</v>
      </c>
      <c r="V122" s="2"/>
      <c r="W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25">
      <c r="A123" s="261">
        <v>2036</v>
      </c>
      <c r="B123" s="65" t="s">
        <v>156</v>
      </c>
      <c r="C123" s="66">
        <f>+A123</f>
        <v>2036</v>
      </c>
      <c r="D123" s="66">
        <v>89</v>
      </c>
      <c r="E123" s="66">
        <f t="shared" si="14"/>
        <v>0.61498464041750289</v>
      </c>
      <c r="F123" s="66">
        <f t="shared" si="15"/>
        <v>0.61814651172559765</v>
      </c>
      <c r="G123" s="260"/>
      <c r="H123" s="81">
        <f>+G123*F123</f>
        <v>0</v>
      </c>
      <c r="I123" s="260"/>
      <c r="J123" s="81">
        <f>+I123*F123</f>
        <v>0</v>
      </c>
      <c r="K123" s="162"/>
      <c r="L123" s="68"/>
      <c r="M123" s="81">
        <f>IF(SUM(M$35:M122)=K$33,0,IF(SUM(L$35:L123)&lt;$W$10,L123,K$33-SUM(L$35:L122)))</f>
        <v>0</v>
      </c>
      <c r="N123" s="81">
        <f t="shared" ref="N123:N134" si="22">+N122+K123-M122</f>
        <v>0</v>
      </c>
      <c r="O123" s="81">
        <f t="shared" si="16"/>
        <v>0</v>
      </c>
      <c r="P123" s="81">
        <f t="shared" si="17"/>
        <v>0</v>
      </c>
      <c r="Q123" s="81">
        <f t="shared" ref="Q123:Q134" si="23">+P123-O123</f>
        <v>0</v>
      </c>
      <c r="R123" s="81">
        <f t="shared" ref="R123:R134" si="24">+Q123*E123</f>
        <v>0</v>
      </c>
      <c r="S123" s="80">
        <f t="shared" si="19"/>
        <v>0</v>
      </c>
      <c r="T123" s="80">
        <f>IF(SUM(L$35:L122)&lt;W$10,IF(SUM(L$35:L123)&lt;W$10,0,(SUM(L$35:L123)-W$10)),L123)</f>
        <v>0</v>
      </c>
      <c r="V123" s="2">
        <f>SUM(T123:T126)</f>
        <v>0</v>
      </c>
      <c r="W123" s="2">
        <f>+V123*F123</f>
        <v>0</v>
      </c>
      <c r="Y123" s="2">
        <f>+X123*F123</f>
        <v>0</v>
      </c>
      <c r="Z123" s="2"/>
      <c r="AA123" s="2"/>
      <c r="AB123" s="2"/>
      <c r="AC123" s="2"/>
      <c r="AD123" s="2"/>
      <c r="AE123" s="2"/>
      <c r="AF123" s="2"/>
      <c r="AG123" s="2"/>
    </row>
    <row r="124" spans="1:33" x14ac:dyDescent="0.25">
      <c r="A124" s="261"/>
      <c r="B124" s="65" t="s">
        <v>157</v>
      </c>
      <c r="C124" s="66">
        <f>+C123</f>
        <v>2036</v>
      </c>
      <c r="D124" s="66">
        <v>90</v>
      </c>
      <c r="E124" s="66">
        <f t="shared" si="14"/>
        <v>0.61060355987539694</v>
      </c>
      <c r="F124" s="66">
        <f t="shared" si="15"/>
        <v>0.61814651172559765</v>
      </c>
      <c r="G124" s="260"/>
      <c r="H124" s="66"/>
      <c r="I124" s="260"/>
      <c r="J124" s="66"/>
      <c r="K124" s="162"/>
      <c r="L124" s="68"/>
      <c r="M124" s="81">
        <f>IF(SUM(M$35:M123)=K$33,0,IF(SUM(L$35:L124)&lt;$W$10,L124,K$33-SUM(L$35:L123)))</f>
        <v>0</v>
      </c>
      <c r="N124" s="81">
        <f t="shared" si="22"/>
        <v>0</v>
      </c>
      <c r="O124" s="81">
        <f t="shared" si="16"/>
        <v>0</v>
      </c>
      <c r="P124" s="81">
        <f t="shared" si="17"/>
        <v>0</v>
      </c>
      <c r="Q124" s="81">
        <f t="shared" si="23"/>
        <v>0</v>
      </c>
      <c r="R124" s="81">
        <f t="shared" si="24"/>
        <v>0</v>
      </c>
      <c r="S124" s="80">
        <f t="shared" si="19"/>
        <v>0</v>
      </c>
      <c r="T124" s="80">
        <f>IF(SUM(L$35:L123)&lt;W$10,IF(SUM(L$35:L124)&lt;W$10,0,(SUM(L$35:L124)-W$10)),L124)</f>
        <v>0</v>
      </c>
      <c r="V124" s="2"/>
      <c r="W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25">
      <c r="A125" s="261"/>
      <c r="B125" s="65" t="s">
        <v>158</v>
      </c>
      <c r="C125" s="66">
        <f>+C123</f>
        <v>2036</v>
      </c>
      <c r="D125" s="66">
        <v>91</v>
      </c>
      <c r="E125" s="66">
        <f t="shared" si="14"/>
        <v>0.60625368965214277</v>
      </c>
      <c r="F125" s="66">
        <f t="shared" si="15"/>
        <v>0.61814651172559765</v>
      </c>
      <c r="G125" s="260"/>
      <c r="H125" s="66"/>
      <c r="I125" s="260"/>
      <c r="J125" s="66"/>
      <c r="K125" s="162"/>
      <c r="L125" s="68"/>
      <c r="M125" s="81">
        <f>IF(SUM(M$35:M124)=K$33,0,IF(SUM(L$35:L125)&lt;$W$10,L125,K$33-SUM(L$35:L124)))</f>
        <v>0</v>
      </c>
      <c r="N125" s="81">
        <f t="shared" si="22"/>
        <v>0</v>
      </c>
      <c r="O125" s="81">
        <f t="shared" si="16"/>
        <v>0</v>
      </c>
      <c r="P125" s="81">
        <f t="shared" si="17"/>
        <v>0</v>
      </c>
      <c r="Q125" s="81">
        <f t="shared" si="23"/>
        <v>0</v>
      </c>
      <c r="R125" s="81">
        <f t="shared" si="24"/>
        <v>0</v>
      </c>
      <c r="S125" s="80">
        <f t="shared" si="19"/>
        <v>0</v>
      </c>
      <c r="T125" s="80">
        <f>IF(SUM(L$35:L124)&lt;W$10,IF(SUM(L$35:L125)&lt;W$10,0,(SUM(L$35:L125)-W$10)),L125)</f>
        <v>0</v>
      </c>
      <c r="V125" s="2"/>
      <c r="W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25">
      <c r="A126" s="261"/>
      <c r="B126" s="65" t="s">
        <v>159</v>
      </c>
      <c r="C126" s="66">
        <f>+C123</f>
        <v>2036</v>
      </c>
      <c r="D126" s="66">
        <v>92</v>
      </c>
      <c r="E126" s="66">
        <f t="shared" si="14"/>
        <v>0.60193480740898342</v>
      </c>
      <c r="F126" s="66">
        <f t="shared" si="15"/>
        <v>0.61814651172559765</v>
      </c>
      <c r="G126" s="260"/>
      <c r="H126" s="66"/>
      <c r="I126" s="260"/>
      <c r="J126" s="66"/>
      <c r="K126" s="162"/>
      <c r="L126" s="68"/>
      <c r="M126" s="81">
        <f>IF(SUM(M$35:M125)=K$33,0,IF(SUM(L$35:L126)&lt;$W$10,L126,K$33-SUM(L$35:L125)))</f>
        <v>0</v>
      </c>
      <c r="N126" s="81">
        <f t="shared" si="22"/>
        <v>0</v>
      </c>
      <c r="O126" s="81">
        <f t="shared" si="16"/>
        <v>0</v>
      </c>
      <c r="P126" s="81">
        <f t="shared" si="17"/>
        <v>0</v>
      </c>
      <c r="Q126" s="81">
        <f t="shared" si="23"/>
        <v>0</v>
      </c>
      <c r="R126" s="81">
        <f t="shared" si="24"/>
        <v>0</v>
      </c>
      <c r="S126" s="80">
        <f t="shared" si="19"/>
        <v>0</v>
      </c>
      <c r="T126" s="80">
        <f>IF(SUM(L$35:L125)&lt;W$10,IF(SUM(L$35:L126)&lt;W$10,0,(SUM(L$35:L126)-W$10)),L126)</f>
        <v>0</v>
      </c>
      <c r="V126" s="2"/>
      <c r="W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25">
      <c r="A127" s="261">
        <v>2037</v>
      </c>
      <c r="B127" s="65" t="s">
        <v>156</v>
      </c>
      <c r="C127" s="66">
        <f>+A127</f>
        <v>2037</v>
      </c>
      <c r="D127" s="66">
        <v>93</v>
      </c>
      <c r="E127" s="66">
        <f t="shared" si="14"/>
        <v>0.59764669239107737</v>
      </c>
      <c r="F127" s="66">
        <f t="shared" si="15"/>
        <v>0.60090066270593723</v>
      </c>
      <c r="G127" s="260"/>
      <c r="H127" s="81">
        <f>+G127*F127</f>
        <v>0</v>
      </c>
      <c r="I127" s="260"/>
      <c r="J127" s="81">
        <f>+I127*F127</f>
        <v>0</v>
      </c>
      <c r="K127" s="162"/>
      <c r="L127" s="68"/>
      <c r="M127" s="81">
        <f>IF(SUM(M$35:M126)=K$33,0,IF(SUM(L$35:L127)&lt;$W$10,L127,K$33-SUM(L$35:L126)))</f>
        <v>0</v>
      </c>
      <c r="N127" s="81">
        <f t="shared" si="22"/>
        <v>0</v>
      </c>
      <c r="O127" s="81">
        <f t="shared" si="16"/>
        <v>0</v>
      </c>
      <c r="P127" s="81">
        <f t="shared" si="17"/>
        <v>0</v>
      </c>
      <c r="Q127" s="81">
        <f t="shared" si="23"/>
        <v>0</v>
      </c>
      <c r="R127" s="81">
        <f t="shared" si="24"/>
        <v>0</v>
      </c>
      <c r="S127" s="80">
        <f t="shared" si="19"/>
        <v>0</v>
      </c>
      <c r="T127" s="80">
        <f>IF(SUM(L$35:L126)&lt;W$10,IF(SUM(L$35:L127)&lt;W$10,0,(SUM(L$35:L127)-W$10)),L127)</f>
        <v>0</v>
      </c>
      <c r="V127" s="2">
        <f>SUM(T127:T130)</f>
        <v>0</v>
      </c>
      <c r="W127" s="2">
        <f>+V127*F127</f>
        <v>0</v>
      </c>
      <c r="Y127" s="2">
        <f>+X127*F127</f>
        <v>0</v>
      </c>
      <c r="Z127" s="2"/>
      <c r="AA127" s="2"/>
      <c r="AB127" s="2"/>
      <c r="AC127" s="2"/>
      <c r="AD127" s="2"/>
      <c r="AE127" s="2"/>
      <c r="AF127" s="2"/>
      <c r="AG127" s="2"/>
    </row>
    <row r="128" spans="1:33" x14ac:dyDescent="0.25">
      <c r="A128" s="261"/>
      <c r="B128" s="65" t="s">
        <v>157</v>
      </c>
      <c r="C128" s="66">
        <f>+C127</f>
        <v>2037</v>
      </c>
      <c r="D128" s="66">
        <v>94</v>
      </c>
      <c r="E128" s="66">
        <f t="shared" si="14"/>
        <v>0.59338912541621613</v>
      </c>
      <c r="F128" s="66">
        <f t="shared" si="15"/>
        <v>0.60090066270593723</v>
      </c>
      <c r="G128" s="260"/>
      <c r="H128" s="66"/>
      <c r="I128" s="260"/>
      <c r="J128" s="66"/>
      <c r="K128" s="162"/>
      <c r="L128" s="68"/>
      <c r="M128" s="81">
        <f>IF(SUM(M$35:M127)=K$33,0,IF(SUM(L$35:L128)&lt;$W$10,L128,K$33-SUM(L$35:L127)))</f>
        <v>0</v>
      </c>
      <c r="N128" s="81">
        <f t="shared" si="22"/>
        <v>0</v>
      </c>
      <c r="O128" s="81">
        <f t="shared" si="16"/>
        <v>0</v>
      </c>
      <c r="P128" s="81">
        <f t="shared" si="17"/>
        <v>0</v>
      </c>
      <c r="Q128" s="81">
        <f t="shared" si="23"/>
        <v>0</v>
      </c>
      <c r="R128" s="81">
        <f t="shared" si="24"/>
        <v>0</v>
      </c>
      <c r="S128" s="80">
        <f t="shared" si="19"/>
        <v>0</v>
      </c>
      <c r="T128" s="80">
        <f>IF(SUM(L$35:L127)&lt;W$10,IF(SUM(L$35:L128)&lt;W$10,0,(SUM(L$35:L128)-W$10)),L128)</f>
        <v>0</v>
      </c>
      <c r="V128" s="2"/>
      <c r="W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25">
      <c r="A129" s="261"/>
      <c r="B129" s="65" t="s">
        <v>158</v>
      </c>
      <c r="C129" s="66">
        <f>+C127</f>
        <v>2037</v>
      </c>
      <c r="D129" s="66">
        <v>95</v>
      </c>
      <c r="E129" s="66">
        <f t="shared" si="14"/>
        <v>0.58916188886361975</v>
      </c>
      <c r="F129" s="66">
        <f t="shared" si="15"/>
        <v>0.60090066270593723</v>
      </c>
      <c r="G129" s="260"/>
      <c r="H129" s="66"/>
      <c r="I129" s="260"/>
      <c r="J129" s="66"/>
      <c r="K129" s="162"/>
      <c r="L129" s="68"/>
      <c r="M129" s="81">
        <f>IF(SUM(M$35:M128)=K$33,0,IF(SUM(L$35:L129)&lt;$W$10,L129,K$33-SUM(L$35:L128)))</f>
        <v>0</v>
      </c>
      <c r="N129" s="81">
        <f t="shared" si="22"/>
        <v>0</v>
      </c>
      <c r="O129" s="81">
        <f t="shared" si="16"/>
        <v>0</v>
      </c>
      <c r="P129" s="81">
        <f t="shared" si="17"/>
        <v>0</v>
      </c>
      <c r="Q129" s="81">
        <f t="shared" si="23"/>
        <v>0</v>
      </c>
      <c r="R129" s="81">
        <f t="shared" si="24"/>
        <v>0</v>
      </c>
      <c r="S129" s="80">
        <f t="shared" si="19"/>
        <v>0</v>
      </c>
      <c r="T129" s="80">
        <f>IF(SUM(L$35:L128)&lt;W$10,IF(SUM(L$35:L129)&lt;W$10,0,(SUM(L$35:L129)-W$10)),L129)</f>
        <v>0</v>
      </c>
      <c r="V129" s="2"/>
      <c r="W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5">
      <c r="A130" s="261"/>
      <c r="B130" s="65" t="s">
        <v>159</v>
      </c>
      <c r="C130" s="66">
        <f>+C127</f>
        <v>2037</v>
      </c>
      <c r="D130" s="66">
        <v>96</v>
      </c>
      <c r="E130" s="66">
        <f t="shared" si="14"/>
        <v>0.58496476666281394</v>
      </c>
      <c r="F130" s="66">
        <f t="shared" si="15"/>
        <v>0.60090066270593723</v>
      </c>
      <c r="G130" s="260"/>
      <c r="H130" s="66"/>
      <c r="I130" s="260"/>
      <c r="J130" s="66"/>
      <c r="K130" s="162"/>
      <c r="L130" s="68"/>
      <c r="M130" s="81">
        <f>IF(SUM(M$35:M129)=K$33,0,IF(SUM(L$35:L130)&lt;$W$10,L130,K$33-SUM(L$35:L129)))</f>
        <v>0</v>
      </c>
      <c r="N130" s="81">
        <f t="shared" si="22"/>
        <v>0</v>
      </c>
      <c r="O130" s="81">
        <f t="shared" si="16"/>
        <v>0</v>
      </c>
      <c r="P130" s="81">
        <f t="shared" si="17"/>
        <v>0</v>
      </c>
      <c r="Q130" s="81">
        <f t="shared" si="23"/>
        <v>0</v>
      </c>
      <c r="R130" s="81">
        <f t="shared" si="24"/>
        <v>0</v>
      </c>
      <c r="S130" s="80">
        <f t="shared" si="19"/>
        <v>0</v>
      </c>
      <c r="T130" s="80">
        <f>IF(SUM(L$35:L129)&lt;W$10,IF(SUM(L$35:L130)&lt;W$10,0,(SUM(L$35:L130)-W$10)),L130)</f>
        <v>0</v>
      </c>
      <c r="V130" s="2"/>
      <c r="W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5">
      <c r="A131" s="261">
        <v>2038</v>
      </c>
      <c r="B131" s="65" t="s">
        <v>156</v>
      </c>
      <c r="C131" s="66">
        <f>+A131</f>
        <v>2038</v>
      </c>
      <c r="D131" s="66">
        <v>97</v>
      </c>
      <c r="E131" s="66">
        <f t="shared" ref="E131:E142" si="25">IF(D131&lt;$B$11,1,(1/(1+$K$17/4)^(D131-$B$11+1)))</f>
        <v>0.58079754428258634</v>
      </c>
      <c r="F131" s="66">
        <f t="shared" ref="F131:F142" si="26">IF(C131&lt;($B$9+1),1,(1/(1+$K$17)^(C131-$B$9)))</f>
        <v>0.58413596063569295</v>
      </c>
      <c r="G131" s="260"/>
      <c r="H131" s="81">
        <f>+G131*F131</f>
        <v>0</v>
      </c>
      <c r="I131" s="260"/>
      <c r="J131" s="81">
        <f>+I131*F131</f>
        <v>0</v>
      </c>
      <c r="K131" s="162"/>
      <c r="L131" s="68"/>
      <c r="M131" s="81">
        <f>IF(SUM(M$35:M130)=K$33,0,IF(SUM(L$35:L131)&lt;$W$10,L131,K$33-SUM(L$35:L130)))</f>
        <v>0</v>
      </c>
      <c r="N131" s="81">
        <f t="shared" si="22"/>
        <v>0</v>
      </c>
      <c r="O131" s="81">
        <f t="shared" ref="O131:O142" si="27">+N131*($K$21/4)</f>
        <v>0</v>
      </c>
      <c r="P131" s="81">
        <f t="shared" ref="P131:P142" si="28">+N131*($K$20/4)</f>
        <v>0</v>
      </c>
      <c r="Q131" s="81">
        <f t="shared" si="23"/>
        <v>0</v>
      </c>
      <c r="R131" s="81">
        <f t="shared" si="24"/>
        <v>0</v>
      </c>
      <c r="S131" s="80">
        <f t="shared" ref="S131:S142" si="29">+L131-T131</f>
        <v>0</v>
      </c>
      <c r="T131" s="80">
        <f>IF(SUM(L$35:L130)&lt;W$10,IF(SUM(L$35:L131)&lt;W$10,0,(SUM(L$35:L131)-W$10)),L131)</f>
        <v>0</v>
      </c>
      <c r="V131" s="2">
        <f>SUM(T131:T134)</f>
        <v>0</v>
      </c>
      <c r="W131" s="2">
        <f>+V131*F131</f>
        <v>0</v>
      </c>
      <c r="Y131" s="2">
        <f>+X131*F131</f>
        <v>0</v>
      </c>
      <c r="Z131" s="2"/>
      <c r="AA131" s="2"/>
      <c r="AB131" s="2"/>
      <c r="AC131" s="2"/>
      <c r="AD131" s="2"/>
      <c r="AE131" s="2"/>
      <c r="AF131" s="2"/>
      <c r="AG131" s="2"/>
    </row>
    <row r="132" spans="1:33" x14ac:dyDescent="0.25">
      <c r="A132" s="261"/>
      <c r="B132" s="65" t="s">
        <v>157</v>
      </c>
      <c r="C132" s="66">
        <f>+C131</f>
        <v>2038</v>
      </c>
      <c r="D132" s="66">
        <v>98</v>
      </c>
      <c r="E132" s="66">
        <f t="shared" si="25"/>
        <v>0.57666000872002032</v>
      </c>
      <c r="F132" s="66">
        <f t="shared" si="26"/>
        <v>0.58413596063569295</v>
      </c>
      <c r="G132" s="260"/>
      <c r="H132" s="66"/>
      <c r="I132" s="260"/>
      <c r="J132" s="66"/>
      <c r="K132" s="162"/>
      <c r="L132" s="68"/>
      <c r="M132" s="81">
        <f>IF(SUM(M$35:M131)=K$33,0,IF(SUM(L$35:L132)&lt;$W$10,L132,K$33-SUM(L$35:L131)))</f>
        <v>0</v>
      </c>
      <c r="N132" s="81">
        <f t="shared" si="22"/>
        <v>0</v>
      </c>
      <c r="O132" s="81">
        <f t="shared" si="27"/>
        <v>0</v>
      </c>
      <c r="P132" s="81">
        <f t="shared" si="28"/>
        <v>0</v>
      </c>
      <c r="Q132" s="81">
        <f t="shared" si="23"/>
        <v>0</v>
      </c>
      <c r="R132" s="81">
        <f t="shared" si="24"/>
        <v>0</v>
      </c>
      <c r="S132" s="80">
        <f t="shared" si="29"/>
        <v>0</v>
      </c>
      <c r="T132" s="80">
        <f>IF(SUM(L$35:L131)&lt;W$10,IF(SUM(L$35:L132)&lt;W$10,0,(SUM(L$35:L132)-W$10)),L132)</f>
        <v>0</v>
      </c>
      <c r="V132" s="2"/>
      <c r="W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5">
      <c r="A133" s="261"/>
      <c r="B133" s="65" t="s">
        <v>158</v>
      </c>
      <c r="C133" s="66">
        <f>+C131</f>
        <v>2038</v>
      </c>
      <c r="D133" s="66">
        <v>99</v>
      </c>
      <c r="E133" s="66">
        <f t="shared" si="25"/>
        <v>0.57255194848960733</v>
      </c>
      <c r="F133" s="66">
        <f t="shared" si="26"/>
        <v>0.58413596063569295</v>
      </c>
      <c r="G133" s="260"/>
      <c r="H133" s="66"/>
      <c r="I133" s="260"/>
      <c r="J133" s="66"/>
      <c r="K133" s="162"/>
      <c r="L133" s="68"/>
      <c r="M133" s="81">
        <f>IF(SUM(M$35:M132)=K$33,0,IF(SUM(L$35:L133)&lt;$W$10,L133,K$33-SUM(L$35:L132)))</f>
        <v>0</v>
      </c>
      <c r="N133" s="81">
        <f t="shared" si="22"/>
        <v>0</v>
      </c>
      <c r="O133" s="81">
        <f t="shared" si="27"/>
        <v>0</v>
      </c>
      <c r="P133" s="81">
        <f t="shared" si="28"/>
        <v>0</v>
      </c>
      <c r="Q133" s="81">
        <f t="shared" si="23"/>
        <v>0</v>
      </c>
      <c r="R133" s="81">
        <f t="shared" si="24"/>
        <v>0</v>
      </c>
      <c r="S133" s="80">
        <f t="shared" si="29"/>
        <v>0</v>
      </c>
      <c r="T133" s="80">
        <f>IF(SUM(L$35:L132)&lt;W$10,IF(SUM(L$35:L133)&lt;W$10,0,(SUM(L$35:L133)-W$10)),L133)</f>
        <v>0</v>
      </c>
      <c r="V133" s="2"/>
      <c r="W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5">
      <c r="A134" s="261"/>
      <c r="B134" s="65" t="s">
        <v>159</v>
      </c>
      <c r="C134" s="66">
        <f>+C131</f>
        <v>2038</v>
      </c>
      <c r="D134" s="66">
        <v>100</v>
      </c>
      <c r="E134" s="66">
        <f t="shared" si="25"/>
        <v>0.56847315361243833</v>
      </c>
      <c r="F134" s="66">
        <f t="shared" si="26"/>
        <v>0.58413596063569295</v>
      </c>
      <c r="G134" s="260"/>
      <c r="H134" s="66"/>
      <c r="I134" s="260"/>
      <c r="J134" s="66"/>
      <c r="K134" s="162"/>
      <c r="L134" s="68"/>
      <c r="M134" s="81">
        <f>IF(SUM(M$35:M133)=K$33,0,IF(SUM(L$35:L134)&lt;$W$10,L134,K$33-SUM(L$35:L133)))</f>
        <v>0</v>
      </c>
      <c r="N134" s="81">
        <f t="shared" si="22"/>
        <v>0</v>
      </c>
      <c r="O134" s="81">
        <f t="shared" si="27"/>
        <v>0</v>
      </c>
      <c r="P134" s="81">
        <f t="shared" si="28"/>
        <v>0</v>
      </c>
      <c r="Q134" s="81">
        <f t="shared" si="23"/>
        <v>0</v>
      </c>
      <c r="R134" s="81">
        <f t="shared" si="24"/>
        <v>0</v>
      </c>
      <c r="S134" s="80">
        <f t="shared" si="29"/>
        <v>0</v>
      </c>
      <c r="T134" s="80">
        <f>IF(SUM(L$35:L133)&lt;W$10,IF(SUM(L$35:L134)&lt;W$10,0,(SUM(L$35:L134)-W$10)),L134)</f>
        <v>0</v>
      </c>
      <c r="V134" s="2"/>
      <c r="W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5">
      <c r="A135" s="261">
        <v>2039</v>
      </c>
      <c r="B135" s="65" t="s">
        <v>156</v>
      </c>
      <c r="C135" s="66">
        <f>+A135</f>
        <v>2039</v>
      </c>
      <c r="D135" s="66">
        <v>101</v>
      </c>
      <c r="E135" s="66">
        <f t="shared" si="25"/>
        <v>0.56442341560546894</v>
      </c>
      <c r="F135" s="66">
        <f t="shared" si="26"/>
        <v>0.5678389818564139</v>
      </c>
      <c r="G135" s="260"/>
      <c r="H135" s="81">
        <f>+G135*F135</f>
        <v>0</v>
      </c>
      <c r="I135" s="260"/>
      <c r="J135" s="81">
        <f>+I135*F135</f>
        <v>0</v>
      </c>
      <c r="K135" s="162"/>
      <c r="L135" s="68"/>
      <c r="M135" s="81">
        <f>IF(SUM(M$35:M134)=K$33,0,IF(SUM(L$35:L135)&lt;$W$10,L135,K$33-SUM(L$35:L134)))</f>
        <v>0</v>
      </c>
      <c r="N135" s="81">
        <f t="shared" ref="N135:N142" si="30">+N134+K135-M134</f>
        <v>0</v>
      </c>
      <c r="O135" s="81">
        <f t="shared" si="27"/>
        <v>0</v>
      </c>
      <c r="P135" s="81">
        <f t="shared" si="28"/>
        <v>0</v>
      </c>
      <c r="Q135" s="81">
        <f t="shared" ref="Q135:Q142" si="31">+P135-O135</f>
        <v>0</v>
      </c>
      <c r="R135" s="81">
        <f t="shared" ref="R135:R142" si="32">+Q135*E135</f>
        <v>0</v>
      </c>
      <c r="S135" s="80">
        <f t="shared" si="29"/>
        <v>0</v>
      </c>
      <c r="T135" s="80">
        <f>IF(SUM(L$35:L134)&lt;W$10,IF(SUM(L$35:L135)&lt;W$10,0,(SUM(L$35:L135)-W$10)),L135)</f>
        <v>0</v>
      </c>
      <c r="V135" s="2">
        <f>SUM(T135:T138)</f>
        <v>0</v>
      </c>
      <c r="W135" s="2">
        <f>+V135*F135</f>
        <v>0</v>
      </c>
      <c r="Y135" s="2">
        <f>+X135*F135</f>
        <v>0</v>
      </c>
      <c r="Z135" s="2"/>
      <c r="AA135" s="2"/>
      <c r="AB135" s="2"/>
      <c r="AC135" s="2"/>
      <c r="AD135" s="2"/>
      <c r="AE135" s="2"/>
      <c r="AF135" s="2"/>
      <c r="AG135" s="2"/>
    </row>
    <row r="136" spans="1:33" x14ac:dyDescent="0.25">
      <c r="A136" s="261"/>
      <c r="B136" s="65" t="s">
        <v>157</v>
      </c>
      <c r="C136" s="66">
        <f>+C135</f>
        <v>2039</v>
      </c>
      <c r="D136" s="66">
        <v>102</v>
      </c>
      <c r="E136" s="66">
        <f t="shared" si="25"/>
        <v>0.56040252747086561</v>
      </c>
      <c r="F136" s="66">
        <f t="shared" si="26"/>
        <v>0.5678389818564139</v>
      </c>
      <c r="G136" s="260"/>
      <c r="H136" s="66"/>
      <c r="I136" s="260"/>
      <c r="J136" s="66"/>
      <c r="K136" s="162"/>
      <c r="L136" s="68"/>
      <c r="M136" s="81">
        <f>IF(SUM(M$35:M135)=K$33,0,IF(SUM(L$35:L136)&lt;$W$10,L136,K$33-SUM(L$35:L135)))</f>
        <v>0</v>
      </c>
      <c r="N136" s="81">
        <f t="shared" si="30"/>
        <v>0</v>
      </c>
      <c r="O136" s="81">
        <f t="shared" si="27"/>
        <v>0</v>
      </c>
      <c r="P136" s="81">
        <f t="shared" si="28"/>
        <v>0</v>
      </c>
      <c r="Q136" s="81">
        <f t="shared" si="31"/>
        <v>0</v>
      </c>
      <c r="R136" s="81">
        <f t="shared" si="32"/>
        <v>0</v>
      </c>
      <c r="S136" s="80">
        <f t="shared" si="29"/>
        <v>0</v>
      </c>
      <c r="T136" s="80">
        <f>IF(SUM(L$35:L135)&lt;W$10,IF(SUM(L$35:L136)&lt;W$10,0,(SUM(L$35:L136)-W$10)),L136)</f>
        <v>0</v>
      </c>
      <c r="V136" s="2"/>
      <c r="W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25">
      <c r="A137" s="261"/>
      <c r="B137" s="65" t="s">
        <v>158</v>
      </c>
      <c r="C137" s="66">
        <f>+C135</f>
        <v>2039</v>
      </c>
      <c r="D137" s="66">
        <v>103</v>
      </c>
      <c r="E137" s="66">
        <f t="shared" si="25"/>
        <v>0.55641028368542267</v>
      </c>
      <c r="F137" s="66">
        <f t="shared" si="26"/>
        <v>0.5678389818564139</v>
      </c>
      <c r="G137" s="260"/>
      <c r="H137" s="66"/>
      <c r="I137" s="260"/>
      <c r="J137" s="66"/>
      <c r="K137" s="162"/>
      <c r="L137" s="68"/>
      <c r="M137" s="81">
        <f>IF(SUM(M$35:M136)=K$33,0,IF(SUM(L$35:L137)&lt;$W$10,L137,K$33-SUM(L$35:L136)))</f>
        <v>0</v>
      </c>
      <c r="N137" s="81">
        <f t="shared" si="30"/>
        <v>0</v>
      </c>
      <c r="O137" s="81">
        <f t="shared" si="27"/>
        <v>0</v>
      </c>
      <c r="P137" s="81">
        <f t="shared" si="28"/>
        <v>0</v>
      </c>
      <c r="Q137" s="81">
        <f t="shared" si="31"/>
        <v>0</v>
      </c>
      <c r="R137" s="81">
        <f t="shared" si="32"/>
        <v>0</v>
      </c>
      <c r="S137" s="80">
        <f t="shared" si="29"/>
        <v>0</v>
      </c>
      <c r="T137" s="80">
        <f>IF(SUM(L$35:L136)&lt;W$10,IF(SUM(L$35:L137)&lt;W$10,0,(SUM(L$35:L137)-W$10)),L137)</f>
        <v>0</v>
      </c>
      <c r="V137" s="2"/>
      <c r="W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25">
      <c r="A138" s="261"/>
      <c r="B138" s="65" t="s">
        <v>159</v>
      </c>
      <c r="C138" s="66">
        <f>+C135</f>
        <v>2039</v>
      </c>
      <c r="D138" s="66">
        <v>104</v>
      </c>
      <c r="E138" s="66">
        <f t="shared" si="25"/>
        <v>0.55244648019005904</v>
      </c>
      <c r="F138" s="66">
        <f t="shared" si="26"/>
        <v>0.5678389818564139</v>
      </c>
      <c r="G138" s="260"/>
      <c r="H138" s="66"/>
      <c r="I138" s="260"/>
      <c r="J138" s="66"/>
      <c r="K138" s="162"/>
      <c r="L138" s="68"/>
      <c r="M138" s="81">
        <f>IF(SUM(M$35:M137)=K$33,0,IF(SUM(L$35:L138)&lt;$W$10,L138,K$33-SUM(L$35:L137)))</f>
        <v>0</v>
      </c>
      <c r="N138" s="81">
        <f t="shared" si="30"/>
        <v>0</v>
      </c>
      <c r="O138" s="81">
        <f t="shared" si="27"/>
        <v>0</v>
      </c>
      <c r="P138" s="81">
        <f t="shared" si="28"/>
        <v>0</v>
      </c>
      <c r="Q138" s="81">
        <f t="shared" si="31"/>
        <v>0</v>
      </c>
      <c r="R138" s="81">
        <f t="shared" si="32"/>
        <v>0</v>
      </c>
      <c r="S138" s="80">
        <f t="shared" si="29"/>
        <v>0</v>
      </c>
      <c r="T138" s="80">
        <f>IF(SUM(L$35:L137)&lt;W$10,IF(SUM(L$35:L138)&lt;W$10,0,(SUM(L$35:L138)-W$10)),L138)</f>
        <v>0</v>
      </c>
      <c r="V138" s="2"/>
      <c r="W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25">
      <c r="A139" s="261">
        <v>2040</v>
      </c>
      <c r="B139" s="65" t="s">
        <v>156</v>
      </c>
      <c r="C139" s="66">
        <f>+A139</f>
        <v>2040</v>
      </c>
      <c r="D139" s="66">
        <v>105</v>
      </c>
      <c r="E139" s="66">
        <f t="shared" si="25"/>
        <v>0.54851091437938682</v>
      </c>
      <c r="F139" s="66">
        <f t="shared" si="26"/>
        <v>0.55199667722019441</v>
      </c>
      <c r="G139" s="260"/>
      <c r="H139" s="81">
        <f>+G139*F139</f>
        <v>0</v>
      </c>
      <c r="I139" s="260"/>
      <c r="J139" s="81">
        <f>+I139*F139</f>
        <v>0</v>
      </c>
      <c r="K139" s="162"/>
      <c r="L139" s="68"/>
      <c r="M139" s="81">
        <f>IF(SUM(M$35:M138)=K$33,0,IF(SUM(L$35:L139)&lt;$W$10,L139,K$33-SUM(L$35:L138)))</f>
        <v>0</v>
      </c>
      <c r="N139" s="81">
        <f t="shared" si="30"/>
        <v>0</v>
      </c>
      <c r="O139" s="81">
        <f t="shared" si="27"/>
        <v>0</v>
      </c>
      <c r="P139" s="81">
        <f t="shared" si="28"/>
        <v>0</v>
      </c>
      <c r="Q139" s="81">
        <f t="shared" si="31"/>
        <v>0</v>
      </c>
      <c r="R139" s="81">
        <f t="shared" si="32"/>
        <v>0</v>
      </c>
      <c r="S139" s="80">
        <f t="shared" si="29"/>
        <v>0</v>
      </c>
      <c r="T139" s="80">
        <f>IF(SUM(L$35:L138)&lt;W$10,IF(SUM(L$35:L139)&lt;W$10,0,(SUM(L$35:L139)-W$10)),L139)</f>
        <v>0</v>
      </c>
      <c r="V139" s="2">
        <f>SUM(T139:T142)</f>
        <v>0</v>
      </c>
      <c r="W139" s="2">
        <f>+V139*F139</f>
        <v>0</v>
      </c>
      <c r="Y139" s="2">
        <f>+X139*F139</f>
        <v>0</v>
      </c>
      <c r="Z139" s="2"/>
      <c r="AA139" s="2"/>
      <c r="AB139" s="2"/>
      <c r="AC139" s="2"/>
      <c r="AD139" s="2"/>
      <c r="AE139" s="2"/>
      <c r="AF139" s="2"/>
      <c r="AG139" s="2"/>
    </row>
    <row r="140" spans="1:33" x14ac:dyDescent="0.25">
      <c r="A140" s="261"/>
      <c r="B140" s="65" t="s">
        <v>157</v>
      </c>
      <c r="C140" s="66">
        <f>+C139</f>
        <v>2040</v>
      </c>
      <c r="D140" s="66">
        <v>106</v>
      </c>
      <c r="E140" s="66">
        <f t="shared" si="25"/>
        <v>0.54460338509135642</v>
      </c>
      <c r="F140" s="66">
        <f t="shared" si="26"/>
        <v>0.55199667722019441</v>
      </c>
      <c r="G140" s="260"/>
      <c r="H140" s="66"/>
      <c r="I140" s="260"/>
      <c r="J140" s="66"/>
      <c r="K140" s="162"/>
      <c r="L140" s="68"/>
      <c r="M140" s="81">
        <f>IF(SUM(M$35:M139)=K$33,0,IF(SUM(L$35:L140)&lt;$W$10,L140,K$33-SUM(L$35:L139)))</f>
        <v>0</v>
      </c>
      <c r="N140" s="81">
        <f t="shared" si="30"/>
        <v>0</v>
      </c>
      <c r="O140" s="81">
        <f t="shared" si="27"/>
        <v>0</v>
      </c>
      <c r="P140" s="81">
        <f t="shared" si="28"/>
        <v>0</v>
      </c>
      <c r="Q140" s="81">
        <f t="shared" si="31"/>
        <v>0</v>
      </c>
      <c r="R140" s="81">
        <f t="shared" si="32"/>
        <v>0</v>
      </c>
      <c r="S140" s="80">
        <f t="shared" si="29"/>
        <v>0</v>
      </c>
      <c r="T140" s="80">
        <f>IF(SUM(L$35:L139)&lt;W$10,IF(SUM(L$35:L140)&lt;W$10,0,(SUM(L$35:L140)-W$10)),L140)</f>
        <v>0</v>
      </c>
      <c r="V140" s="2"/>
      <c r="W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25">
      <c r="A141" s="261"/>
      <c r="B141" s="65" t="s">
        <v>158</v>
      </c>
      <c r="C141" s="66">
        <f>+C139</f>
        <v>2040</v>
      </c>
      <c r="D141" s="66">
        <v>107</v>
      </c>
      <c r="E141" s="66">
        <f t="shared" si="25"/>
        <v>0.54072369259697306</v>
      </c>
      <c r="F141" s="66">
        <f t="shared" si="26"/>
        <v>0.55199667722019441</v>
      </c>
      <c r="G141" s="260"/>
      <c r="H141" s="66"/>
      <c r="I141" s="260"/>
      <c r="J141" s="66"/>
      <c r="K141" s="162"/>
      <c r="L141" s="68"/>
      <c r="M141" s="81">
        <f>IF(SUM(M$35:M140)=K$33,0,IF(SUM(L$35:L141)&lt;$W$10,L141,K$33-SUM(L$35:L140)))</f>
        <v>0</v>
      </c>
      <c r="N141" s="81">
        <f t="shared" si="30"/>
        <v>0</v>
      </c>
      <c r="O141" s="81">
        <f t="shared" si="27"/>
        <v>0</v>
      </c>
      <c r="P141" s="81">
        <f t="shared" si="28"/>
        <v>0</v>
      </c>
      <c r="Q141" s="81">
        <f t="shared" si="31"/>
        <v>0</v>
      </c>
      <c r="R141" s="81">
        <f t="shared" si="32"/>
        <v>0</v>
      </c>
      <c r="S141" s="80">
        <f t="shared" si="29"/>
        <v>0</v>
      </c>
      <c r="T141" s="80">
        <f>IF(SUM(L$35:L140)&lt;W$10,IF(SUM(L$35:L141)&lt;W$10,0,(SUM(L$35:L141)-W$10)),L141)</f>
        <v>0</v>
      </c>
      <c r="V141" s="2"/>
      <c r="W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25">
      <c r="A142" s="261"/>
      <c r="B142" s="65" t="s">
        <v>159</v>
      </c>
      <c r="C142" s="66">
        <f>+C139</f>
        <v>2040</v>
      </c>
      <c r="D142" s="66">
        <v>108</v>
      </c>
      <c r="E142" s="66">
        <f t="shared" si="25"/>
        <v>0.53687163859008924</v>
      </c>
      <c r="F142" s="66">
        <f t="shared" si="26"/>
        <v>0.55199667722019441</v>
      </c>
      <c r="G142" s="260"/>
      <c r="H142" s="66"/>
      <c r="I142" s="260"/>
      <c r="J142" s="66"/>
      <c r="K142" s="162"/>
      <c r="L142" s="68"/>
      <c r="M142" s="81">
        <f>IF(SUM(M$35:M141)=K$33,0,IF(SUM(L$35:L142)&lt;$W$10,L142,K$33-SUM(L$35:L141)))</f>
        <v>0</v>
      </c>
      <c r="N142" s="81">
        <f t="shared" si="30"/>
        <v>0</v>
      </c>
      <c r="O142" s="81">
        <f t="shared" si="27"/>
        <v>0</v>
      </c>
      <c r="P142" s="81">
        <f t="shared" si="28"/>
        <v>0</v>
      </c>
      <c r="Q142" s="81">
        <f t="shared" si="31"/>
        <v>0</v>
      </c>
      <c r="R142" s="81">
        <f t="shared" si="32"/>
        <v>0</v>
      </c>
      <c r="S142" s="80">
        <f t="shared" si="29"/>
        <v>0</v>
      </c>
      <c r="T142" s="80">
        <f>IF(SUM(L$35:L141)&lt;W$10,IF(SUM(L$35:L142)&lt;W$10,0,(SUM(L$35:L142)-W$10)),L142)</f>
        <v>0</v>
      </c>
      <c r="V142" s="2"/>
      <c r="W142" s="2"/>
      <c r="Y142" s="2"/>
      <c r="Z142" s="2"/>
      <c r="AA142" s="2"/>
      <c r="AB142" s="2"/>
      <c r="AC142" s="2"/>
      <c r="AD142" s="2"/>
      <c r="AE142" s="2"/>
      <c r="AF142" s="2"/>
      <c r="AG142" s="2"/>
    </row>
  </sheetData>
  <sheetProtection password="DA6F" sheet="1" objects="1" scenarios="1"/>
  <mergeCells count="95">
    <mergeCell ref="AP22:AP23"/>
    <mergeCell ref="A139:A142"/>
    <mergeCell ref="G139:G142"/>
    <mergeCell ref="I139:I142"/>
    <mergeCell ref="A131:A134"/>
    <mergeCell ref="G131:G134"/>
    <mergeCell ref="I131:I134"/>
    <mergeCell ref="A135:A138"/>
    <mergeCell ref="G135:G138"/>
    <mergeCell ref="I135:I138"/>
    <mergeCell ref="A123:A126"/>
    <mergeCell ref="G123:G126"/>
    <mergeCell ref="I123:I126"/>
    <mergeCell ref="A127:A130"/>
    <mergeCell ref="G127:G130"/>
    <mergeCell ref="I127:I130"/>
    <mergeCell ref="A115:A118"/>
    <mergeCell ref="G115:G118"/>
    <mergeCell ref="I115:I118"/>
    <mergeCell ref="A119:A122"/>
    <mergeCell ref="G119:G122"/>
    <mergeCell ref="I119:I122"/>
    <mergeCell ref="A107:A110"/>
    <mergeCell ref="G107:G110"/>
    <mergeCell ref="I107:I110"/>
    <mergeCell ref="A111:A114"/>
    <mergeCell ref="G111:G114"/>
    <mergeCell ref="I111:I114"/>
    <mergeCell ref="A99:A102"/>
    <mergeCell ref="G99:G102"/>
    <mergeCell ref="I99:I102"/>
    <mergeCell ref="A103:A106"/>
    <mergeCell ref="G103:G106"/>
    <mergeCell ref="I103:I106"/>
    <mergeCell ref="A91:A94"/>
    <mergeCell ref="G91:G94"/>
    <mergeCell ref="I91:I94"/>
    <mergeCell ref="A95:A98"/>
    <mergeCell ref="G95:G98"/>
    <mergeCell ref="I95:I98"/>
    <mergeCell ref="A83:A86"/>
    <mergeCell ref="G83:G86"/>
    <mergeCell ref="I83:I86"/>
    <mergeCell ref="A87:A90"/>
    <mergeCell ref="G87:G90"/>
    <mergeCell ref="I87:I90"/>
    <mergeCell ref="A75:A78"/>
    <mergeCell ref="G75:G78"/>
    <mergeCell ref="I75:I78"/>
    <mergeCell ref="A79:A82"/>
    <mergeCell ref="G79:G82"/>
    <mergeCell ref="I79:I82"/>
    <mergeCell ref="A67:A70"/>
    <mergeCell ref="G67:G70"/>
    <mergeCell ref="I67:I70"/>
    <mergeCell ref="A71:A74"/>
    <mergeCell ref="G71:G74"/>
    <mergeCell ref="I71:I74"/>
    <mergeCell ref="A59:A62"/>
    <mergeCell ref="G59:G62"/>
    <mergeCell ref="I59:I62"/>
    <mergeCell ref="A63:A66"/>
    <mergeCell ref="G63:G66"/>
    <mergeCell ref="I63:I66"/>
    <mergeCell ref="A51:A54"/>
    <mergeCell ref="G51:G54"/>
    <mergeCell ref="I51:I54"/>
    <mergeCell ref="A55:A58"/>
    <mergeCell ref="G55:G58"/>
    <mergeCell ref="I55:I58"/>
    <mergeCell ref="A43:A46"/>
    <mergeCell ref="G43:G46"/>
    <mergeCell ref="I43:I46"/>
    <mergeCell ref="A47:A50"/>
    <mergeCell ref="G47:G50"/>
    <mergeCell ref="I47:I50"/>
    <mergeCell ref="A35:A38"/>
    <mergeCell ref="G35:G38"/>
    <mergeCell ref="I35:I38"/>
    <mergeCell ref="A39:A42"/>
    <mergeCell ref="G39:G42"/>
    <mergeCell ref="I39:I42"/>
    <mergeCell ref="A3:B4"/>
    <mergeCell ref="A5:B5"/>
    <mergeCell ref="A15:B15"/>
    <mergeCell ref="A16:B16"/>
    <mergeCell ref="AH21:AH24"/>
    <mergeCell ref="T15:T16"/>
    <mergeCell ref="A20:B20"/>
    <mergeCell ref="A21:B21"/>
    <mergeCell ref="X15:X16"/>
    <mergeCell ref="U15:U16"/>
    <mergeCell ref="A17:B17"/>
    <mergeCell ref="A18:B18"/>
    <mergeCell ref="A19:B19"/>
  </mergeCells>
  <conditionalFormatting sqref="K33">
    <cfRule type="expression" dxfId="6" priority="8" stopIfTrue="1">
      <formula>$K$33&lt;&gt;$L$33</formula>
    </cfRule>
  </conditionalFormatting>
  <conditionalFormatting sqref="U25">
    <cfRule type="cellIs" dxfId="5" priority="7" stopIfTrue="1" operator="greaterThan">
      <formula>0.75</formula>
    </cfRule>
  </conditionalFormatting>
  <conditionalFormatting sqref="AP18">
    <cfRule type="containsText" dxfId="4" priority="6" stopIfTrue="1" operator="containsText" text="85%">
      <formula>NOT(ISERROR(SEARCH("85%",AP18)))</formula>
    </cfRule>
  </conditionalFormatting>
  <conditionalFormatting sqref="AP19">
    <cfRule type="containsText" dxfId="3" priority="3" stopIfTrue="1" operator="containsText" text="50%">
      <formula>NOT(ISERROR(SEARCH("50%",AP19)))</formula>
    </cfRule>
    <cfRule type="containsText" dxfId="2" priority="4" stopIfTrue="1" operator="containsText" text="85%">
      <formula>NOT(ISERROR(SEARCH("85%",AP19)))</formula>
    </cfRule>
  </conditionalFormatting>
  <conditionalFormatting sqref="AP22:AQ22 AQ23">
    <cfRule type="containsText" dxfId="1" priority="2" stopIfTrue="1" operator="containsText" text="pomocy">
      <formula>NOT(ISERROR(SEARCH("pomocy",AP22)))</formula>
    </cfRule>
  </conditionalFormatting>
  <conditionalFormatting sqref="L33">
    <cfRule type="expression" dxfId="0" priority="9" stopIfTrue="1">
      <formula>$L$33&lt;&gt;$T$18</formula>
    </cfRule>
  </conditionalFormatting>
  <dataValidations count="2">
    <dataValidation type="list" allowBlank="1" showInputMessage="1" showErrorMessage="1" sqref="K18">
      <formula1>$AN$16:$AN$20</formula1>
    </dataValidation>
    <dataValidation type="list" showInputMessage="1" showErrorMessage="1" sqref="K3">
      <formula1>$AE$8:$AE$9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="110" zoomScaleNormal="110" workbookViewId="0">
      <selection activeCell="L2" sqref="L2"/>
    </sheetView>
  </sheetViews>
  <sheetFormatPr defaultRowHeight="15" x14ac:dyDescent="0.25"/>
  <sheetData>
    <row r="1" spans="1:10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</row>
    <row r="5" spans="1:10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</row>
    <row r="6" spans="1:10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</row>
    <row r="7" spans="1:10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</row>
    <row r="8" spans="1:10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</row>
    <row r="10" spans="1:10" x14ac:dyDescent="0.25">
      <c r="A10" s="156"/>
      <c r="B10" s="156"/>
      <c r="C10" s="156"/>
      <c r="D10" s="156"/>
      <c r="E10" s="156"/>
      <c r="F10" s="156"/>
      <c r="G10" s="156"/>
      <c r="H10" s="156"/>
      <c r="I10" s="156"/>
      <c r="J10" s="156"/>
    </row>
    <row r="11" spans="1:10" x14ac:dyDescent="0.25">
      <c r="A11" s="156"/>
      <c r="B11" s="156"/>
      <c r="C11" s="156"/>
      <c r="D11" s="156"/>
      <c r="E11" s="156"/>
      <c r="F11" s="156"/>
      <c r="G11" s="156"/>
      <c r="H11" s="156"/>
      <c r="I11" s="156"/>
      <c r="J11" s="156"/>
    </row>
    <row r="12" spans="1:10" x14ac:dyDescent="0.25">
      <c r="A12" s="156"/>
      <c r="B12" s="156"/>
      <c r="C12" s="156"/>
      <c r="D12" s="156"/>
      <c r="E12" s="156"/>
      <c r="F12" s="156"/>
      <c r="G12" s="156"/>
      <c r="H12" s="156"/>
      <c r="I12" s="156"/>
      <c r="J12" s="156"/>
    </row>
    <row r="13" spans="1:10" x14ac:dyDescent="0.25">
      <c r="A13" s="156"/>
      <c r="B13" s="156"/>
      <c r="C13" s="156"/>
      <c r="D13" s="156"/>
      <c r="E13" s="156"/>
      <c r="F13" s="156"/>
      <c r="G13" s="156"/>
      <c r="H13" s="156"/>
      <c r="I13" s="156"/>
      <c r="J13" s="156"/>
    </row>
    <row r="14" spans="1:10" x14ac:dyDescent="0.25">
      <c r="A14" s="156"/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0" x14ac:dyDescent="0.25">
      <c r="A15" s="156"/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0" x14ac:dyDescent="0.25">
      <c r="A16" s="156"/>
      <c r="B16" s="156"/>
      <c r="C16" s="156"/>
      <c r="D16" s="156"/>
      <c r="E16" s="156"/>
      <c r="F16" s="156"/>
      <c r="G16" s="156"/>
      <c r="H16" s="156"/>
      <c r="I16" s="156"/>
      <c r="J16" s="156"/>
    </row>
    <row r="17" spans="1:10" x14ac:dyDescent="0.25">
      <c r="A17" s="156"/>
      <c r="B17" s="156"/>
      <c r="C17" s="156"/>
      <c r="D17" s="156"/>
      <c r="E17" s="156"/>
      <c r="F17" s="156"/>
      <c r="G17" s="156"/>
      <c r="H17" s="156"/>
      <c r="I17" s="156"/>
      <c r="J17" s="156"/>
    </row>
    <row r="18" spans="1:10" x14ac:dyDescent="0.25">
      <c r="A18" s="156"/>
      <c r="B18" s="156"/>
      <c r="C18" s="156"/>
      <c r="D18" s="156"/>
      <c r="E18" s="156"/>
      <c r="F18" s="156"/>
      <c r="G18" s="156"/>
      <c r="H18" s="156"/>
      <c r="I18" s="156"/>
      <c r="J18" s="156"/>
    </row>
    <row r="19" spans="1:10" x14ac:dyDescent="0.25">
      <c r="A19" s="156"/>
      <c r="B19" s="156"/>
      <c r="C19" s="156"/>
      <c r="D19" s="156"/>
      <c r="E19" s="156"/>
      <c r="F19" s="156"/>
      <c r="G19" s="156"/>
      <c r="H19" s="156"/>
      <c r="I19" s="156"/>
      <c r="J19" s="156"/>
    </row>
    <row r="20" spans="1:10" x14ac:dyDescent="0.25">
      <c r="A20" s="156"/>
      <c r="B20" s="156"/>
      <c r="C20" s="156"/>
      <c r="D20" s="156"/>
      <c r="E20" s="156"/>
      <c r="F20" s="156"/>
      <c r="G20" s="156"/>
      <c r="H20" s="156"/>
      <c r="I20" s="156"/>
      <c r="J20" s="156"/>
    </row>
    <row r="21" spans="1:10" x14ac:dyDescent="0.25">
      <c r="A21" s="156"/>
      <c r="B21" s="156"/>
      <c r="C21" s="156"/>
      <c r="D21" s="156"/>
      <c r="E21" s="156"/>
      <c r="F21" s="156"/>
      <c r="G21" s="156"/>
      <c r="H21" s="156"/>
      <c r="I21" s="156"/>
      <c r="J21" s="156"/>
    </row>
    <row r="22" spans="1:10" x14ac:dyDescent="0.25">
      <c r="A22" s="156"/>
      <c r="B22" s="156"/>
      <c r="C22" s="156"/>
      <c r="D22" s="156"/>
      <c r="E22" s="156"/>
      <c r="F22" s="156"/>
      <c r="G22" s="156"/>
      <c r="H22" s="156"/>
      <c r="I22" s="156"/>
      <c r="J22" s="156"/>
    </row>
    <row r="23" spans="1:10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56"/>
    </row>
    <row r="24" spans="1:10" x14ac:dyDescent="0.25">
      <c r="A24" s="156"/>
      <c r="B24" s="156"/>
      <c r="C24" s="156"/>
      <c r="D24" s="156"/>
      <c r="E24" s="156"/>
      <c r="F24" s="156"/>
      <c r="G24" s="156"/>
      <c r="H24" s="156"/>
      <c r="I24" s="156"/>
      <c r="J24" s="156"/>
    </row>
    <row r="25" spans="1:10" x14ac:dyDescent="0.25">
      <c r="A25" s="156"/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0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0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 x14ac:dyDescent="0.25">
      <c r="A29" s="156"/>
      <c r="B29" s="156"/>
      <c r="C29" s="156"/>
      <c r="D29" s="156"/>
      <c r="E29" s="156"/>
      <c r="F29" s="156"/>
      <c r="G29" s="156"/>
      <c r="H29" s="156"/>
      <c r="I29" s="156"/>
      <c r="J29" s="156"/>
    </row>
    <row r="30" spans="1:10" x14ac:dyDescent="0.25">
      <c r="A30" s="156"/>
      <c r="B30" s="156"/>
      <c r="C30" s="156"/>
      <c r="D30" s="156"/>
      <c r="E30" s="156"/>
      <c r="F30" s="156"/>
      <c r="G30" s="156"/>
      <c r="H30" s="156"/>
      <c r="I30" s="156"/>
      <c r="J30" s="156"/>
    </row>
    <row r="31" spans="1:10" x14ac:dyDescent="0.25">
      <c r="A31" s="156"/>
      <c r="B31" s="156"/>
      <c r="C31" s="156"/>
      <c r="D31" s="156"/>
      <c r="E31" s="156"/>
      <c r="F31" s="156"/>
      <c r="G31" s="156"/>
      <c r="H31" s="156"/>
      <c r="I31" s="156"/>
      <c r="J31" s="156"/>
    </row>
    <row r="32" spans="1:10" x14ac:dyDescent="0.25">
      <c r="A32" s="156"/>
      <c r="B32" s="156"/>
      <c r="C32" s="156"/>
      <c r="D32" s="156"/>
      <c r="E32" s="156"/>
      <c r="F32" s="156"/>
      <c r="G32" s="156"/>
      <c r="H32" s="156"/>
      <c r="I32" s="156"/>
      <c r="J32" s="156"/>
    </row>
    <row r="33" spans="1:10" x14ac:dyDescent="0.25">
      <c r="A33" s="156"/>
      <c r="B33" s="156"/>
      <c r="C33" s="156"/>
      <c r="D33" s="156"/>
      <c r="E33" s="156"/>
      <c r="F33" s="156"/>
      <c r="G33" s="156"/>
      <c r="H33" s="156"/>
      <c r="I33" s="156"/>
      <c r="J33" s="156"/>
    </row>
    <row r="34" spans="1:10" x14ac:dyDescent="0.25">
      <c r="A34" s="156"/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0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</row>
    <row r="36" spans="1:10" x14ac:dyDescent="0.25">
      <c r="A36" s="156"/>
      <c r="B36" s="156"/>
      <c r="C36" s="156"/>
      <c r="D36" s="156"/>
      <c r="E36" s="156"/>
      <c r="F36" s="156"/>
      <c r="G36" s="156"/>
      <c r="H36" s="156"/>
      <c r="I36" s="156"/>
      <c r="J36" s="156"/>
    </row>
    <row r="37" spans="1:10" x14ac:dyDescent="0.25">
      <c r="A37" s="156"/>
      <c r="B37" s="156"/>
      <c r="C37" s="156"/>
      <c r="D37" s="156"/>
      <c r="E37" s="156"/>
      <c r="F37" s="156"/>
      <c r="G37" s="156"/>
      <c r="H37" s="156"/>
      <c r="I37" s="156"/>
      <c r="J37" s="156"/>
    </row>
    <row r="38" spans="1:10" x14ac:dyDescent="0.25">
      <c r="A38" s="156"/>
      <c r="B38" s="156"/>
      <c r="C38" s="156"/>
      <c r="D38" s="156"/>
      <c r="E38" s="156"/>
      <c r="F38" s="156"/>
      <c r="G38" s="156"/>
      <c r="H38" s="156"/>
      <c r="I38" s="156"/>
      <c r="J38" s="156"/>
    </row>
    <row r="39" spans="1:10" x14ac:dyDescent="0.25">
      <c r="A39" s="156"/>
      <c r="B39" s="156"/>
      <c r="C39" s="156"/>
      <c r="D39" s="156"/>
      <c r="E39" s="156"/>
      <c r="F39" s="156"/>
      <c r="G39" s="156"/>
      <c r="H39" s="156"/>
      <c r="I39" s="156"/>
      <c r="J39" s="156"/>
    </row>
    <row r="40" spans="1:10" x14ac:dyDescent="0.25">
      <c r="A40" s="156"/>
      <c r="B40" s="156"/>
      <c r="C40" s="156"/>
      <c r="D40" s="156"/>
      <c r="E40" s="156"/>
      <c r="F40" s="156"/>
      <c r="G40" s="156"/>
      <c r="H40" s="156"/>
      <c r="I40" s="156"/>
      <c r="J40" s="156"/>
    </row>
    <row r="41" spans="1:10" x14ac:dyDescent="0.25">
      <c r="A41" s="156"/>
      <c r="B41" s="156"/>
      <c r="C41" s="156"/>
      <c r="D41" s="156"/>
      <c r="E41" s="156"/>
      <c r="F41" s="156"/>
      <c r="G41" s="156"/>
      <c r="H41" s="156"/>
      <c r="I41" s="156"/>
      <c r="J41" s="156"/>
    </row>
    <row r="42" spans="1:10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56"/>
    </row>
    <row r="43" spans="1:10" x14ac:dyDescent="0.25">
      <c r="A43" s="156"/>
      <c r="B43" s="156"/>
      <c r="C43" s="156"/>
      <c r="D43" s="156"/>
      <c r="E43" s="156"/>
      <c r="F43" s="156"/>
      <c r="G43" s="156"/>
      <c r="H43" s="156"/>
      <c r="I43" s="156"/>
      <c r="J43" s="156"/>
    </row>
    <row r="44" spans="1:10" x14ac:dyDescent="0.25">
      <c r="A44" s="156"/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10" x14ac:dyDescent="0.25">
      <c r="A45" s="156"/>
      <c r="B45" s="156"/>
      <c r="C45" s="156"/>
      <c r="D45" s="156"/>
      <c r="E45" s="156"/>
      <c r="F45" s="156"/>
      <c r="G45" s="156"/>
      <c r="H45" s="156"/>
      <c r="I45" s="156"/>
      <c r="J45" s="156"/>
    </row>
    <row r="46" spans="1:10" x14ac:dyDescent="0.25">
      <c r="A46" s="156"/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10" x14ac:dyDescent="0.25">
      <c r="A47" s="156"/>
      <c r="B47" s="156"/>
      <c r="C47" s="156"/>
      <c r="D47" s="156"/>
      <c r="E47" s="156"/>
      <c r="F47" s="156"/>
      <c r="G47" s="156"/>
      <c r="H47" s="156"/>
      <c r="I47" s="156"/>
      <c r="J47" s="156"/>
    </row>
    <row r="48" spans="1:10" x14ac:dyDescent="0.25">
      <c r="A48" s="156"/>
      <c r="B48" s="156"/>
      <c r="C48" s="156"/>
      <c r="D48" s="156"/>
      <c r="E48" s="156"/>
      <c r="F48" s="156"/>
      <c r="G48" s="156"/>
      <c r="H48" s="156"/>
      <c r="I48" s="156"/>
      <c r="J48" s="156"/>
    </row>
  </sheetData>
  <pageMargins left="0.7" right="0.7" top="0.75" bottom="0.75" header="0.3" footer="0.3"/>
  <pageSetup paperSize="9" scale="86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95250</xdr:rowOff>
              </from>
              <to>
                <xdr:col>10</xdr:col>
                <xdr:colOff>447675</xdr:colOff>
                <xdr:row>55</xdr:row>
                <xdr:rowOff>57150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topLeftCell="A13" zoomScale="90" zoomScaleNormal="90" workbookViewId="0">
      <selection activeCell="A17" sqref="A17:C17"/>
    </sheetView>
  </sheetViews>
  <sheetFormatPr defaultRowHeight="14.25" x14ac:dyDescent="0.2"/>
  <cols>
    <col min="1" max="1" width="15.28515625" style="200" customWidth="1"/>
    <col min="2" max="2" width="23" style="198" customWidth="1"/>
    <col min="3" max="3" width="84.140625" style="198" customWidth="1"/>
    <col min="4" max="256" width="9.140625" style="198"/>
    <col min="257" max="257" width="1.7109375" style="198" customWidth="1"/>
    <col min="258" max="258" width="19.140625" style="198" customWidth="1"/>
    <col min="259" max="259" width="92.42578125" style="198" customWidth="1"/>
    <col min="260" max="512" width="9.140625" style="198"/>
    <col min="513" max="513" width="1.7109375" style="198" customWidth="1"/>
    <col min="514" max="514" width="19.140625" style="198" customWidth="1"/>
    <col min="515" max="515" width="92.42578125" style="198" customWidth="1"/>
    <col min="516" max="768" width="9.140625" style="198"/>
    <col min="769" max="769" width="1.7109375" style="198" customWidth="1"/>
    <col min="770" max="770" width="19.140625" style="198" customWidth="1"/>
    <col min="771" max="771" width="92.42578125" style="198" customWidth="1"/>
    <col min="772" max="1024" width="9.140625" style="198"/>
    <col min="1025" max="1025" width="1.7109375" style="198" customWidth="1"/>
    <col min="1026" max="1026" width="19.140625" style="198" customWidth="1"/>
    <col min="1027" max="1027" width="92.42578125" style="198" customWidth="1"/>
    <col min="1028" max="1280" width="9.140625" style="198"/>
    <col min="1281" max="1281" width="1.7109375" style="198" customWidth="1"/>
    <col min="1282" max="1282" width="19.140625" style="198" customWidth="1"/>
    <col min="1283" max="1283" width="92.42578125" style="198" customWidth="1"/>
    <col min="1284" max="1536" width="9.140625" style="198"/>
    <col min="1537" max="1537" width="1.7109375" style="198" customWidth="1"/>
    <col min="1538" max="1538" width="19.140625" style="198" customWidth="1"/>
    <col min="1539" max="1539" width="92.42578125" style="198" customWidth="1"/>
    <col min="1540" max="1792" width="9.140625" style="198"/>
    <col min="1793" max="1793" width="1.7109375" style="198" customWidth="1"/>
    <col min="1794" max="1794" width="19.140625" style="198" customWidth="1"/>
    <col min="1795" max="1795" width="92.42578125" style="198" customWidth="1"/>
    <col min="1796" max="2048" width="9.140625" style="198"/>
    <col min="2049" max="2049" width="1.7109375" style="198" customWidth="1"/>
    <col min="2050" max="2050" width="19.140625" style="198" customWidth="1"/>
    <col min="2051" max="2051" width="92.42578125" style="198" customWidth="1"/>
    <col min="2052" max="2304" width="9.140625" style="198"/>
    <col min="2305" max="2305" width="1.7109375" style="198" customWidth="1"/>
    <col min="2306" max="2306" width="19.140625" style="198" customWidth="1"/>
    <col min="2307" max="2307" width="92.42578125" style="198" customWidth="1"/>
    <col min="2308" max="2560" width="9.140625" style="198"/>
    <col min="2561" max="2561" width="1.7109375" style="198" customWidth="1"/>
    <col min="2562" max="2562" width="19.140625" style="198" customWidth="1"/>
    <col min="2563" max="2563" width="92.42578125" style="198" customWidth="1"/>
    <col min="2564" max="2816" width="9.140625" style="198"/>
    <col min="2817" max="2817" width="1.7109375" style="198" customWidth="1"/>
    <col min="2818" max="2818" width="19.140625" style="198" customWidth="1"/>
    <col min="2819" max="2819" width="92.42578125" style="198" customWidth="1"/>
    <col min="2820" max="3072" width="9.140625" style="198"/>
    <col min="3073" max="3073" width="1.7109375" style="198" customWidth="1"/>
    <col min="3074" max="3074" width="19.140625" style="198" customWidth="1"/>
    <col min="3075" max="3075" width="92.42578125" style="198" customWidth="1"/>
    <col min="3076" max="3328" width="9.140625" style="198"/>
    <col min="3329" max="3329" width="1.7109375" style="198" customWidth="1"/>
    <col min="3330" max="3330" width="19.140625" style="198" customWidth="1"/>
    <col min="3331" max="3331" width="92.42578125" style="198" customWidth="1"/>
    <col min="3332" max="3584" width="9.140625" style="198"/>
    <col min="3585" max="3585" width="1.7109375" style="198" customWidth="1"/>
    <col min="3586" max="3586" width="19.140625" style="198" customWidth="1"/>
    <col min="3587" max="3587" width="92.42578125" style="198" customWidth="1"/>
    <col min="3588" max="3840" width="9.140625" style="198"/>
    <col min="3841" max="3841" width="1.7109375" style="198" customWidth="1"/>
    <col min="3842" max="3842" width="19.140625" style="198" customWidth="1"/>
    <col min="3843" max="3843" width="92.42578125" style="198" customWidth="1"/>
    <col min="3844" max="4096" width="9.140625" style="198"/>
    <col min="4097" max="4097" width="1.7109375" style="198" customWidth="1"/>
    <col min="4098" max="4098" width="19.140625" style="198" customWidth="1"/>
    <col min="4099" max="4099" width="92.42578125" style="198" customWidth="1"/>
    <col min="4100" max="4352" width="9.140625" style="198"/>
    <col min="4353" max="4353" width="1.7109375" style="198" customWidth="1"/>
    <col min="4354" max="4354" width="19.140625" style="198" customWidth="1"/>
    <col min="4355" max="4355" width="92.42578125" style="198" customWidth="1"/>
    <col min="4356" max="4608" width="9.140625" style="198"/>
    <col min="4609" max="4609" width="1.7109375" style="198" customWidth="1"/>
    <col min="4610" max="4610" width="19.140625" style="198" customWidth="1"/>
    <col min="4611" max="4611" width="92.42578125" style="198" customWidth="1"/>
    <col min="4612" max="4864" width="9.140625" style="198"/>
    <col min="4865" max="4865" width="1.7109375" style="198" customWidth="1"/>
    <col min="4866" max="4866" width="19.140625" style="198" customWidth="1"/>
    <col min="4867" max="4867" width="92.42578125" style="198" customWidth="1"/>
    <col min="4868" max="5120" width="9.140625" style="198"/>
    <col min="5121" max="5121" width="1.7109375" style="198" customWidth="1"/>
    <col min="5122" max="5122" width="19.140625" style="198" customWidth="1"/>
    <col min="5123" max="5123" width="92.42578125" style="198" customWidth="1"/>
    <col min="5124" max="5376" width="9.140625" style="198"/>
    <col min="5377" max="5377" width="1.7109375" style="198" customWidth="1"/>
    <col min="5378" max="5378" width="19.140625" style="198" customWidth="1"/>
    <col min="5379" max="5379" width="92.42578125" style="198" customWidth="1"/>
    <col min="5380" max="5632" width="9.140625" style="198"/>
    <col min="5633" max="5633" width="1.7109375" style="198" customWidth="1"/>
    <col min="5634" max="5634" width="19.140625" style="198" customWidth="1"/>
    <col min="5635" max="5635" width="92.42578125" style="198" customWidth="1"/>
    <col min="5636" max="5888" width="9.140625" style="198"/>
    <col min="5889" max="5889" width="1.7109375" style="198" customWidth="1"/>
    <col min="5890" max="5890" width="19.140625" style="198" customWidth="1"/>
    <col min="5891" max="5891" width="92.42578125" style="198" customWidth="1"/>
    <col min="5892" max="6144" width="9.140625" style="198"/>
    <col min="6145" max="6145" width="1.7109375" style="198" customWidth="1"/>
    <col min="6146" max="6146" width="19.140625" style="198" customWidth="1"/>
    <col min="6147" max="6147" width="92.42578125" style="198" customWidth="1"/>
    <col min="6148" max="6400" width="9.140625" style="198"/>
    <col min="6401" max="6401" width="1.7109375" style="198" customWidth="1"/>
    <col min="6402" max="6402" width="19.140625" style="198" customWidth="1"/>
    <col min="6403" max="6403" width="92.42578125" style="198" customWidth="1"/>
    <col min="6404" max="6656" width="9.140625" style="198"/>
    <col min="6657" max="6657" width="1.7109375" style="198" customWidth="1"/>
    <col min="6658" max="6658" width="19.140625" style="198" customWidth="1"/>
    <col min="6659" max="6659" width="92.42578125" style="198" customWidth="1"/>
    <col min="6660" max="6912" width="9.140625" style="198"/>
    <col min="6913" max="6913" width="1.7109375" style="198" customWidth="1"/>
    <col min="6914" max="6914" width="19.140625" style="198" customWidth="1"/>
    <col min="6915" max="6915" width="92.42578125" style="198" customWidth="1"/>
    <col min="6916" max="7168" width="9.140625" style="198"/>
    <col min="7169" max="7169" width="1.7109375" style="198" customWidth="1"/>
    <col min="7170" max="7170" width="19.140625" style="198" customWidth="1"/>
    <col min="7171" max="7171" width="92.42578125" style="198" customWidth="1"/>
    <col min="7172" max="7424" width="9.140625" style="198"/>
    <col min="7425" max="7425" width="1.7109375" style="198" customWidth="1"/>
    <col min="7426" max="7426" width="19.140625" style="198" customWidth="1"/>
    <col min="7427" max="7427" width="92.42578125" style="198" customWidth="1"/>
    <col min="7428" max="7680" width="9.140625" style="198"/>
    <col min="7681" max="7681" width="1.7109375" style="198" customWidth="1"/>
    <col min="7682" max="7682" width="19.140625" style="198" customWidth="1"/>
    <col min="7683" max="7683" width="92.42578125" style="198" customWidth="1"/>
    <col min="7684" max="7936" width="9.140625" style="198"/>
    <col min="7937" max="7937" width="1.7109375" style="198" customWidth="1"/>
    <col min="7938" max="7938" width="19.140625" style="198" customWidth="1"/>
    <col min="7939" max="7939" width="92.42578125" style="198" customWidth="1"/>
    <col min="7940" max="8192" width="9.140625" style="198"/>
    <col min="8193" max="8193" width="1.7109375" style="198" customWidth="1"/>
    <col min="8194" max="8194" width="19.140625" style="198" customWidth="1"/>
    <col min="8195" max="8195" width="92.42578125" style="198" customWidth="1"/>
    <col min="8196" max="8448" width="9.140625" style="198"/>
    <col min="8449" max="8449" width="1.7109375" style="198" customWidth="1"/>
    <col min="8450" max="8450" width="19.140625" style="198" customWidth="1"/>
    <col min="8451" max="8451" width="92.42578125" style="198" customWidth="1"/>
    <col min="8452" max="8704" width="9.140625" style="198"/>
    <col min="8705" max="8705" width="1.7109375" style="198" customWidth="1"/>
    <col min="8706" max="8706" width="19.140625" style="198" customWidth="1"/>
    <col min="8707" max="8707" width="92.42578125" style="198" customWidth="1"/>
    <col min="8708" max="8960" width="9.140625" style="198"/>
    <col min="8961" max="8961" width="1.7109375" style="198" customWidth="1"/>
    <col min="8962" max="8962" width="19.140625" style="198" customWidth="1"/>
    <col min="8963" max="8963" width="92.42578125" style="198" customWidth="1"/>
    <col min="8964" max="9216" width="9.140625" style="198"/>
    <col min="9217" max="9217" width="1.7109375" style="198" customWidth="1"/>
    <col min="9218" max="9218" width="19.140625" style="198" customWidth="1"/>
    <col min="9219" max="9219" width="92.42578125" style="198" customWidth="1"/>
    <col min="9220" max="9472" width="9.140625" style="198"/>
    <col min="9473" max="9473" width="1.7109375" style="198" customWidth="1"/>
    <col min="9474" max="9474" width="19.140625" style="198" customWidth="1"/>
    <col min="9475" max="9475" width="92.42578125" style="198" customWidth="1"/>
    <col min="9476" max="9728" width="9.140625" style="198"/>
    <col min="9729" max="9729" width="1.7109375" style="198" customWidth="1"/>
    <col min="9730" max="9730" width="19.140625" style="198" customWidth="1"/>
    <col min="9731" max="9731" width="92.42578125" style="198" customWidth="1"/>
    <col min="9732" max="9984" width="9.140625" style="198"/>
    <col min="9985" max="9985" width="1.7109375" style="198" customWidth="1"/>
    <col min="9986" max="9986" width="19.140625" style="198" customWidth="1"/>
    <col min="9987" max="9987" width="92.42578125" style="198" customWidth="1"/>
    <col min="9988" max="10240" width="9.140625" style="198"/>
    <col min="10241" max="10241" width="1.7109375" style="198" customWidth="1"/>
    <col min="10242" max="10242" width="19.140625" style="198" customWidth="1"/>
    <col min="10243" max="10243" width="92.42578125" style="198" customWidth="1"/>
    <col min="10244" max="10496" width="9.140625" style="198"/>
    <col min="10497" max="10497" width="1.7109375" style="198" customWidth="1"/>
    <col min="10498" max="10498" width="19.140625" style="198" customWidth="1"/>
    <col min="10499" max="10499" width="92.42578125" style="198" customWidth="1"/>
    <col min="10500" max="10752" width="9.140625" style="198"/>
    <col min="10753" max="10753" width="1.7109375" style="198" customWidth="1"/>
    <col min="10754" max="10754" width="19.140625" style="198" customWidth="1"/>
    <col min="10755" max="10755" width="92.42578125" style="198" customWidth="1"/>
    <col min="10756" max="11008" width="9.140625" style="198"/>
    <col min="11009" max="11009" width="1.7109375" style="198" customWidth="1"/>
    <col min="11010" max="11010" width="19.140625" style="198" customWidth="1"/>
    <col min="11011" max="11011" width="92.42578125" style="198" customWidth="1"/>
    <col min="11012" max="11264" width="9.140625" style="198"/>
    <col min="11265" max="11265" width="1.7109375" style="198" customWidth="1"/>
    <col min="11266" max="11266" width="19.140625" style="198" customWidth="1"/>
    <col min="11267" max="11267" width="92.42578125" style="198" customWidth="1"/>
    <col min="11268" max="11520" width="9.140625" style="198"/>
    <col min="11521" max="11521" width="1.7109375" style="198" customWidth="1"/>
    <col min="11522" max="11522" width="19.140625" style="198" customWidth="1"/>
    <col min="11523" max="11523" width="92.42578125" style="198" customWidth="1"/>
    <col min="11524" max="11776" width="9.140625" style="198"/>
    <col min="11777" max="11777" width="1.7109375" style="198" customWidth="1"/>
    <col min="11778" max="11778" width="19.140625" style="198" customWidth="1"/>
    <col min="11779" max="11779" width="92.42578125" style="198" customWidth="1"/>
    <col min="11780" max="12032" width="9.140625" style="198"/>
    <col min="12033" max="12033" width="1.7109375" style="198" customWidth="1"/>
    <col min="12034" max="12034" width="19.140625" style="198" customWidth="1"/>
    <col min="12035" max="12035" width="92.42578125" style="198" customWidth="1"/>
    <col min="12036" max="12288" width="9.140625" style="198"/>
    <col min="12289" max="12289" width="1.7109375" style="198" customWidth="1"/>
    <col min="12290" max="12290" width="19.140625" style="198" customWidth="1"/>
    <col min="12291" max="12291" width="92.42578125" style="198" customWidth="1"/>
    <col min="12292" max="12544" width="9.140625" style="198"/>
    <col min="12545" max="12545" width="1.7109375" style="198" customWidth="1"/>
    <col min="12546" max="12546" width="19.140625" style="198" customWidth="1"/>
    <col min="12547" max="12547" width="92.42578125" style="198" customWidth="1"/>
    <col min="12548" max="12800" width="9.140625" style="198"/>
    <col min="12801" max="12801" width="1.7109375" style="198" customWidth="1"/>
    <col min="12802" max="12802" width="19.140625" style="198" customWidth="1"/>
    <col min="12803" max="12803" width="92.42578125" style="198" customWidth="1"/>
    <col min="12804" max="13056" width="9.140625" style="198"/>
    <col min="13057" max="13057" width="1.7109375" style="198" customWidth="1"/>
    <col min="13058" max="13058" width="19.140625" style="198" customWidth="1"/>
    <col min="13059" max="13059" width="92.42578125" style="198" customWidth="1"/>
    <col min="13060" max="13312" width="9.140625" style="198"/>
    <col min="13313" max="13313" width="1.7109375" style="198" customWidth="1"/>
    <col min="13314" max="13314" width="19.140625" style="198" customWidth="1"/>
    <col min="13315" max="13315" width="92.42578125" style="198" customWidth="1"/>
    <col min="13316" max="13568" width="9.140625" style="198"/>
    <col min="13569" max="13569" width="1.7109375" style="198" customWidth="1"/>
    <col min="13570" max="13570" width="19.140625" style="198" customWidth="1"/>
    <col min="13571" max="13571" width="92.42578125" style="198" customWidth="1"/>
    <col min="13572" max="13824" width="9.140625" style="198"/>
    <col min="13825" max="13825" width="1.7109375" style="198" customWidth="1"/>
    <col min="13826" max="13826" width="19.140625" style="198" customWidth="1"/>
    <col min="13827" max="13827" width="92.42578125" style="198" customWidth="1"/>
    <col min="13828" max="14080" width="9.140625" style="198"/>
    <col min="14081" max="14081" width="1.7109375" style="198" customWidth="1"/>
    <col min="14082" max="14082" width="19.140625" style="198" customWidth="1"/>
    <col min="14083" max="14083" width="92.42578125" style="198" customWidth="1"/>
    <col min="14084" max="14336" width="9.140625" style="198"/>
    <col min="14337" max="14337" width="1.7109375" style="198" customWidth="1"/>
    <col min="14338" max="14338" width="19.140625" style="198" customWidth="1"/>
    <col min="14339" max="14339" width="92.42578125" style="198" customWidth="1"/>
    <col min="14340" max="14592" width="9.140625" style="198"/>
    <col min="14593" max="14593" width="1.7109375" style="198" customWidth="1"/>
    <col min="14594" max="14594" width="19.140625" style="198" customWidth="1"/>
    <col min="14595" max="14595" width="92.42578125" style="198" customWidth="1"/>
    <col min="14596" max="14848" width="9.140625" style="198"/>
    <col min="14849" max="14849" width="1.7109375" style="198" customWidth="1"/>
    <col min="14850" max="14850" width="19.140625" style="198" customWidth="1"/>
    <col min="14851" max="14851" width="92.42578125" style="198" customWidth="1"/>
    <col min="14852" max="15104" width="9.140625" style="198"/>
    <col min="15105" max="15105" width="1.7109375" style="198" customWidth="1"/>
    <col min="15106" max="15106" width="19.140625" style="198" customWidth="1"/>
    <col min="15107" max="15107" width="92.42578125" style="198" customWidth="1"/>
    <col min="15108" max="15360" width="9.140625" style="198"/>
    <col min="15361" max="15361" width="1.7109375" style="198" customWidth="1"/>
    <col min="15362" max="15362" width="19.140625" style="198" customWidth="1"/>
    <col min="15363" max="15363" width="92.42578125" style="198" customWidth="1"/>
    <col min="15364" max="15616" width="9.140625" style="198"/>
    <col min="15617" max="15617" width="1.7109375" style="198" customWidth="1"/>
    <col min="15618" max="15618" width="19.140625" style="198" customWidth="1"/>
    <col min="15619" max="15619" width="92.42578125" style="198" customWidth="1"/>
    <col min="15620" max="15872" width="9.140625" style="198"/>
    <col min="15873" max="15873" width="1.7109375" style="198" customWidth="1"/>
    <col min="15874" max="15874" width="19.140625" style="198" customWidth="1"/>
    <col min="15875" max="15875" width="92.42578125" style="198" customWidth="1"/>
    <col min="15876" max="16128" width="9.140625" style="198"/>
    <col min="16129" max="16129" width="1.7109375" style="198" customWidth="1"/>
    <col min="16130" max="16130" width="19.140625" style="198" customWidth="1"/>
    <col min="16131" max="16131" width="92.42578125" style="198" customWidth="1"/>
    <col min="16132" max="16384" width="9.140625" style="198"/>
  </cols>
  <sheetData>
    <row r="1" spans="1:3" ht="14.25" customHeight="1" x14ac:dyDescent="0.2">
      <c r="A1" s="276" t="s">
        <v>190</v>
      </c>
      <c r="B1" s="276"/>
      <c r="C1" s="276"/>
    </row>
    <row r="2" spans="1:3" ht="6.75" customHeight="1" x14ac:dyDescent="0.2">
      <c r="A2" s="276"/>
      <c r="B2" s="276"/>
      <c r="C2" s="276"/>
    </row>
    <row r="3" spans="1:3" ht="20.25" customHeight="1" x14ac:dyDescent="0.2">
      <c r="A3" s="277" t="s">
        <v>194</v>
      </c>
      <c r="B3" s="277"/>
      <c r="C3" s="277"/>
    </row>
    <row r="4" spans="1:3" ht="17.25" customHeight="1" x14ac:dyDescent="0.2">
      <c r="A4" s="263" t="s">
        <v>261</v>
      </c>
      <c r="B4" s="263"/>
      <c r="C4" s="263"/>
    </row>
    <row r="5" spans="1:3" ht="15.75" customHeight="1" x14ac:dyDescent="0.2">
      <c r="A5" s="263" t="s">
        <v>191</v>
      </c>
      <c r="B5" s="263"/>
      <c r="C5" s="263"/>
    </row>
    <row r="6" spans="1:3" ht="18" customHeight="1" x14ac:dyDescent="0.2">
      <c r="A6" s="263" t="s">
        <v>247</v>
      </c>
      <c r="B6" s="263"/>
      <c r="C6" s="263"/>
    </row>
    <row r="7" spans="1:3" ht="33" customHeight="1" x14ac:dyDescent="0.2">
      <c r="A7" s="263" t="s">
        <v>248</v>
      </c>
      <c r="B7" s="263"/>
      <c r="C7" s="263"/>
    </row>
    <row r="8" spans="1:3" ht="20.25" customHeight="1" x14ac:dyDescent="0.2">
      <c r="A8" s="263" t="s">
        <v>249</v>
      </c>
      <c r="B8" s="263"/>
      <c r="C8" s="263"/>
    </row>
    <row r="9" spans="1:3" ht="50.25" customHeight="1" x14ac:dyDescent="0.2">
      <c r="A9" s="263" t="s">
        <v>250</v>
      </c>
      <c r="B9" s="263"/>
      <c r="C9" s="263"/>
    </row>
    <row r="10" spans="1:3" ht="14.25" customHeight="1" x14ac:dyDescent="0.2">
      <c r="A10" s="263" t="s">
        <v>209</v>
      </c>
      <c r="B10" s="263"/>
      <c r="C10" s="263"/>
    </row>
    <row r="11" spans="1:3" ht="31.5" customHeight="1" x14ac:dyDescent="0.2">
      <c r="A11" s="275" t="s">
        <v>192</v>
      </c>
      <c r="B11" s="275"/>
      <c r="C11" s="275"/>
    </row>
    <row r="12" spans="1:3" ht="65.25" customHeight="1" x14ac:dyDescent="0.2">
      <c r="A12" s="265" t="s">
        <v>254</v>
      </c>
      <c r="B12" s="265"/>
      <c r="C12" s="265"/>
    </row>
    <row r="13" spans="1:3" ht="48" customHeight="1" x14ac:dyDescent="0.2">
      <c r="A13" s="265" t="s">
        <v>256</v>
      </c>
      <c r="B13" s="265"/>
      <c r="C13" s="265"/>
    </row>
    <row r="14" spans="1:3" ht="64.5" customHeight="1" x14ac:dyDescent="0.2">
      <c r="A14" s="274" t="s">
        <v>257</v>
      </c>
      <c r="B14" s="265"/>
      <c r="C14" s="265"/>
    </row>
    <row r="15" spans="1:3" ht="36.75" customHeight="1" x14ac:dyDescent="0.2">
      <c r="A15" s="274" t="s">
        <v>258</v>
      </c>
      <c r="B15" s="274"/>
      <c r="C15" s="274"/>
    </row>
    <row r="16" spans="1:3" ht="45" customHeight="1" x14ac:dyDescent="0.2">
      <c r="A16" s="265" t="s">
        <v>193</v>
      </c>
      <c r="B16" s="265"/>
      <c r="C16" s="265"/>
    </row>
    <row r="17" spans="1:3" ht="68.25" customHeight="1" thickBot="1" x14ac:dyDescent="0.25">
      <c r="A17" s="265" t="s">
        <v>262</v>
      </c>
      <c r="B17" s="265"/>
      <c r="C17" s="265"/>
    </row>
    <row r="18" spans="1:3" s="197" customFormat="1" ht="18.75" customHeight="1" thickBot="1" x14ac:dyDescent="0.25">
      <c r="A18" s="266" t="s">
        <v>195</v>
      </c>
      <c r="B18" s="267"/>
      <c r="C18" s="211" t="s">
        <v>196</v>
      </c>
    </row>
    <row r="19" spans="1:3" s="197" customFormat="1" ht="24.75" hidden="1" customHeight="1" thickBot="1" x14ac:dyDescent="0.25">
      <c r="A19" s="268" t="s">
        <v>198</v>
      </c>
      <c r="B19" s="212" t="s">
        <v>197</v>
      </c>
      <c r="C19" s="212" t="s">
        <v>204</v>
      </c>
    </row>
    <row r="20" spans="1:3" s="197" customFormat="1" ht="27" hidden="1" customHeight="1" thickBot="1" x14ac:dyDescent="0.25">
      <c r="A20" s="269"/>
      <c r="B20" s="212" t="s">
        <v>201</v>
      </c>
      <c r="C20" s="213" t="s">
        <v>212</v>
      </c>
    </row>
    <row r="21" spans="1:3" s="197" customFormat="1" ht="39.75" customHeight="1" thickBot="1" x14ac:dyDescent="0.25">
      <c r="A21" s="268" t="s">
        <v>199</v>
      </c>
      <c r="B21" s="212" t="s">
        <v>203</v>
      </c>
      <c r="C21" s="213" t="s">
        <v>205</v>
      </c>
    </row>
    <row r="22" spans="1:3" s="197" customFormat="1" ht="27" customHeight="1" x14ac:dyDescent="0.2">
      <c r="A22" s="270"/>
      <c r="B22" s="268" t="s">
        <v>259</v>
      </c>
      <c r="C22" s="268" t="s">
        <v>213</v>
      </c>
    </row>
    <row r="23" spans="1:3" s="197" customFormat="1" ht="15.75" customHeight="1" thickBot="1" x14ac:dyDescent="0.25">
      <c r="A23" s="269"/>
      <c r="B23" s="269"/>
      <c r="C23" s="269"/>
    </row>
    <row r="24" spans="1:3" s="197" customFormat="1" ht="29.25" hidden="1" customHeight="1" thickBot="1" x14ac:dyDescent="0.25">
      <c r="A24" s="271" t="s">
        <v>200</v>
      </c>
      <c r="B24" s="272"/>
      <c r="C24" s="213" t="s">
        <v>207</v>
      </c>
    </row>
    <row r="25" spans="1:3" s="197" customFormat="1" ht="29.25" hidden="1" customHeight="1" thickBot="1" x14ac:dyDescent="0.25">
      <c r="A25" s="271" t="s">
        <v>202</v>
      </c>
      <c r="B25" s="272"/>
      <c r="C25" s="214" t="s">
        <v>206</v>
      </c>
    </row>
    <row r="26" spans="1:3" x14ac:dyDescent="0.2">
      <c r="A26" s="215"/>
      <c r="B26" s="216"/>
      <c r="C26" s="216"/>
    </row>
    <row r="27" spans="1:3" ht="159.75" hidden="1" customHeight="1" x14ac:dyDescent="0.2">
      <c r="A27" s="265"/>
      <c r="B27" s="265"/>
      <c r="C27" s="265"/>
    </row>
    <row r="28" spans="1:3" s="197" customFormat="1" ht="30.75" customHeight="1" x14ac:dyDescent="0.2">
      <c r="A28" s="264" t="s">
        <v>210</v>
      </c>
      <c r="B28" s="264"/>
      <c r="C28" s="264"/>
    </row>
    <row r="29" spans="1:3" s="199" customFormat="1" ht="42" customHeight="1" x14ac:dyDescent="0.2">
      <c r="A29" s="264" t="s">
        <v>260</v>
      </c>
      <c r="B29" s="264"/>
      <c r="C29" s="264"/>
    </row>
    <row r="30" spans="1:3" s="197" customFormat="1" ht="17.25" customHeight="1" x14ac:dyDescent="0.2">
      <c r="A30" s="273" t="s">
        <v>214</v>
      </c>
      <c r="B30" s="273"/>
      <c r="C30" s="273"/>
    </row>
    <row r="31" spans="1:3" s="197" customFormat="1" ht="49.5" customHeight="1" x14ac:dyDescent="0.2">
      <c r="A31" s="264" t="s">
        <v>251</v>
      </c>
      <c r="B31" s="264"/>
      <c r="C31" s="264"/>
    </row>
  </sheetData>
  <sheetProtection password="DA6F" sheet="1" objects="1" scenarios="1"/>
  <mergeCells count="29">
    <mergeCell ref="A6:C6"/>
    <mergeCell ref="A1:C1"/>
    <mergeCell ref="A2:C2"/>
    <mergeCell ref="A3:C3"/>
    <mergeCell ref="A4:C4"/>
    <mergeCell ref="A5:C5"/>
    <mergeCell ref="A10:C10"/>
    <mergeCell ref="A12:C12"/>
    <mergeCell ref="A13:C13"/>
    <mergeCell ref="A14:C14"/>
    <mergeCell ref="A16:C16"/>
    <mergeCell ref="A11:C11"/>
    <mergeCell ref="A15:C15"/>
    <mergeCell ref="A7:C7"/>
    <mergeCell ref="A8:C8"/>
    <mergeCell ref="A9:C9"/>
    <mergeCell ref="A31:C31"/>
    <mergeCell ref="A27:C27"/>
    <mergeCell ref="A18:B18"/>
    <mergeCell ref="C22:C23"/>
    <mergeCell ref="A17:C17"/>
    <mergeCell ref="B22:B23"/>
    <mergeCell ref="A21:A23"/>
    <mergeCell ref="A19:A20"/>
    <mergeCell ref="A24:B24"/>
    <mergeCell ref="A25:B25"/>
    <mergeCell ref="A28:C28"/>
    <mergeCell ref="A29:C29"/>
    <mergeCell ref="A30:C30"/>
  </mergeCells>
  <hyperlinks>
    <hyperlink ref="A30" r:id="rId1"/>
  </hyperlinks>
  <pageMargins left="0.70866141732283472" right="0.70866141732283472" top="0.51181102362204722" bottom="0.43307086614173229" header="0.31496062992125984" footer="0.31496062992125984"/>
  <pageSetup paperSize="9" scale="6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Koszty</vt:lpstr>
      <vt:lpstr>EDB</vt:lpstr>
      <vt:lpstr>Opis inw.ref.</vt:lpstr>
      <vt:lpstr>instrukcja</vt:lpstr>
      <vt:lpstr>EDB!Obszar_wydruku</vt:lpstr>
      <vt:lpstr>instrukcja!Obszar_wydruku</vt:lpstr>
      <vt:lpstr>Koszty!Obszar_wydruku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Ruciński Piotr</dc:creator>
  <cp:lastModifiedBy>Ruciński Piotr</cp:lastModifiedBy>
  <cp:lastPrinted>2021-11-17T17:01:27Z</cp:lastPrinted>
  <dcterms:created xsi:type="dcterms:W3CDTF">2017-07-13T12:38:29Z</dcterms:created>
  <dcterms:modified xsi:type="dcterms:W3CDTF">2023-01-04T09:03:06Z</dcterms:modified>
</cp:coreProperties>
</file>