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\ST7\BeSTi@\2022\II KWARTAŁ\www\MF\Zestawienia zbiorcze\"/>
    </mc:Choice>
  </mc:AlternateContent>
  <bookViews>
    <workbookView xWindow="0" yWindow="0" windowWidth="19950" windowHeight="6270"/>
  </bookViews>
  <sheets>
    <sheet name="doch_wyd" sheetId="4" r:id="rId1"/>
  </sheets>
  <definedNames>
    <definedName name="_xlnm.Print_Area" localSheetId="0">doch_wyd!$A$1:$M$113</definedName>
  </definedNames>
  <calcPr calcId="152511"/>
</workbook>
</file>

<file path=xl/calcChain.xml><?xml version="1.0" encoding="utf-8"?>
<calcChain xmlns="http://schemas.openxmlformats.org/spreadsheetml/2006/main">
  <c r="C113" i="4" l="1"/>
  <c r="C112" i="4"/>
  <c r="C111" i="4"/>
  <c r="D108" i="4"/>
  <c r="C108" i="4"/>
  <c r="D107" i="4"/>
  <c r="C107" i="4"/>
  <c r="D106" i="4"/>
  <c r="C106" i="4"/>
  <c r="D105" i="4"/>
  <c r="C105" i="4"/>
  <c r="D104" i="4"/>
  <c r="C104" i="4"/>
  <c r="D103" i="4"/>
  <c r="C103" i="4"/>
  <c r="D102" i="4"/>
  <c r="C102" i="4"/>
  <c r="D101" i="4"/>
  <c r="C101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5" i="4"/>
  <c r="C85" i="4"/>
  <c r="D84" i="4"/>
  <c r="C84" i="4"/>
  <c r="D83" i="4"/>
  <c r="C83" i="4"/>
  <c r="I76" i="4"/>
  <c r="H76" i="4"/>
  <c r="G76" i="4"/>
  <c r="F76" i="4"/>
  <c r="E76" i="4"/>
  <c r="D76" i="4"/>
  <c r="J76" i="4" s="1"/>
  <c r="C76" i="4"/>
  <c r="I75" i="4"/>
  <c r="H75" i="4"/>
  <c r="G75" i="4"/>
  <c r="F75" i="4"/>
  <c r="E75" i="4"/>
  <c r="D75" i="4"/>
  <c r="C75" i="4"/>
  <c r="I69" i="4"/>
  <c r="H69" i="4"/>
  <c r="G69" i="4"/>
  <c r="F69" i="4"/>
  <c r="E69" i="4"/>
  <c r="D69" i="4"/>
  <c r="C69" i="4"/>
  <c r="I68" i="4"/>
  <c r="H68" i="4"/>
  <c r="G68" i="4"/>
  <c r="F68" i="4"/>
  <c r="E68" i="4"/>
  <c r="D68" i="4"/>
  <c r="C68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63" i="4"/>
  <c r="H63" i="4"/>
  <c r="G63" i="4"/>
  <c r="F63" i="4"/>
  <c r="E63" i="4"/>
  <c r="D63" i="4"/>
  <c r="C63" i="4"/>
  <c r="I62" i="4"/>
  <c r="H62" i="4"/>
  <c r="G62" i="4"/>
  <c r="F62" i="4"/>
  <c r="E62" i="4"/>
  <c r="D62" i="4"/>
  <c r="C62" i="4"/>
  <c r="I61" i="4"/>
  <c r="H61" i="4"/>
  <c r="G61" i="4"/>
  <c r="F61" i="4"/>
  <c r="E61" i="4"/>
  <c r="D61" i="4"/>
  <c r="C61" i="4"/>
  <c r="I52" i="4"/>
  <c r="H52" i="4"/>
  <c r="G52" i="4"/>
  <c r="F52" i="4"/>
  <c r="E52" i="4"/>
  <c r="D52" i="4"/>
  <c r="C52" i="4"/>
  <c r="D49" i="4"/>
  <c r="C49" i="4"/>
  <c r="D48" i="4"/>
  <c r="C48" i="4"/>
  <c r="D47" i="4"/>
  <c r="C47" i="4"/>
  <c r="D46" i="4"/>
  <c r="C46" i="4"/>
  <c r="D45" i="4"/>
  <c r="C45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I20" i="4"/>
  <c r="H20" i="4"/>
  <c r="G20" i="4"/>
  <c r="F20" i="4"/>
  <c r="E20" i="4"/>
  <c r="D20" i="4"/>
  <c r="K20" i="4" s="1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F6" i="4"/>
  <c r="E6" i="4"/>
  <c r="D6" i="4"/>
  <c r="C6" i="4"/>
  <c r="C71" i="4" s="1"/>
  <c r="G77" i="4"/>
  <c r="K86" i="4"/>
  <c r="K94" i="4"/>
  <c r="D44" i="4"/>
  <c r="K61" i="4"/>
  <c r="C64" i="4"/>
  <c r="K88" i="4"/>
  <c r="K96" i="4"/>
  <c r="K8" i="4"/>
  <c r="K66" i="4"/>
  <c r="K16" i="4"/>
  <c r="G64" i="4"/>
  <c r="G70" i="4"/>
  <c r="K90" i="4"/>
  <c r="F7" i="4"/>
  <c r="F21" i="4" s="1"/>
  <c r="F51" i="4"/>
  <c r="F53" i="4"/>
  <c r="K12" i="4"/>
  <c r="D23" i="4"/>
  <c r="D22" i="4" s="1"/>
  <c r="K75" i="4"/>
  <c r="C77" i="4"/>
  <c r="K84" i="4"/>
  <c r="K92" i="4"/>
  <c r="C51" i="4"/>
  <c r="K51" i="4" s="1"/>
  <c r="K6" i="4"/>
  <c r="G7" i="4"/>
  <c r="G51" i="4"/>
  <c r="G53" i="4" s="1"/>
  <c r="K11" i="4"/>
  <c r="K15" i="4"/>
  <c r="K19" i="4"/>
  <c r="K25" i="4"/>
  <c r="K27" i="4"/>
  <c r="K29" i="4"/>
  <c r="K31" i="4"/>
  <c r="K33" i="4"/>
  <c r="K35" i="4"/>
  <c r="K37" i="4"/>
  <c r="K39" i="4"/>
  <c r="K41" i="4"/>
  <c r="K43" i="4"/>
  <c r="K46" i="4"/>
  <c r="K48" i="4"/>
  <c r="K52" i="4"/>
  <c r="J65" i="4"/>
  <c r="J63" i="4"/>
  <c r="J69" i="4"/>
  <c r="D64" i="4"/>
  <c r="D70" i="4" s="1"/>
  <c r="J62" i="4"/>
  <c r="J61" i="4"/>
  <c r="J66" i="4"/>
  <c r="J68" i="4"/>
  <c r="J67" i="4"/>
  <c r="H64" i="4"/>
  <c r="H70" i="4"/>
  <c r="K65" i="4"/>
  <c r="K69" i="4"/>
  <c r="D77" i="4"/>
  <c r="K77" i="4" s="1"/>
  <c r="J75" i="4"/>
  <c r="H77" i="4"/>
  <c r="J94" i="4"/>
  <c r="J96" i="4"/>
  <c r="J93" i="4"/>
  <c r="J92" i="4"/>
  <c r="J95" i="4"/>
  <c r="J26" i="4"/>
  <c r="J15" i="4"/>
  <c r="J12" i="4"/>
  <c r="J19" i="4"/>
  <c r="J28" i="4"/>
  <c r="J46" i="4"/>
  <c r="J24" i="4"/>
  <c r="J43" i="4"/>
  <c r="J10" i="4"/>
  <c r="J27" i="4"/>
  <c r="J52" i="4"/>
  <c r="J47" i="4"/>
  <c r="J8" i="4"/>
  <c r="J42" i="4"/>
  <c r="J29" i="4"/>
  <c r="D71" i="4"/>
  <c r="J39" i="4"/>
  <c r="J35" i="4"/>
  <c r="J13" i="4"/>
  <c r="J30" i="4"/>
  <c r="J11" i="4"/>
  <c r="J48" i="4"/>
  <c r="J33" i="4"/>
  <c r="J32" i="4"/>
  <c r="J37" i="4"/>
  <c r="J40" i="4"/>
  <c r="J36" i="4"/>
  <c r="J38" i="4"/>
  <c r="J6" i="4"/>
  <c r="J14" i="4"/>
  <c r="J49" i="4"/>
  <c r="J17" i="4"/>
  <c r="J18" i="4"/>
  <c r="D51" i="4"/>
  <c r="D53" i="4"/>
  <c r="J51" i="4"/>
  <c r="J16" i="4"/>
  <c r="J25" i="4"/>
  <c r="J9" i="4"/>
  <c r="J41" i="4"/>
  <c r="J45" i="4"/>
  <c r="J34" i="4"/>
  <c r="J31" i="4"/>
  <c r="H51" i="4"/>
  <c r="H53" i="4"/>
  <c r="H7" i="4"/>
  <c r="H21" i="4" s="1"/>
  <c r="K10" i="4"/>
  <c r="K14" i="4"/>
  <c r="K18" i="4"/>
  <c r="E64" i="4"/>
  <c r="E70" i="4" s="1"/>
  <c r="I64" i="4"/>
  <c r="I70" i="4" s="1"/>
  <c r="K63" i="4"/>
  <c r="K68" i="4"/>
  <c r="E77" i="4"/>
  <c r="I77" i="4"/>
  <c r="K83" i="4"/>
  <c r="K85" i="4"/>
  <c r="K87" i="4"/>
  <c r="K89" i="4"/>
  <c r="K91" i="4"/>
  <c r="K93" i="4"/>
  <c r="K95" i="4"/>
  <c r="D111" i="4"/>
  <c r="B1" i="4" s="1"/>
  <c r="E7" i="4"/>
  <c r="E21" i="4"/>
  <c r="E51" i="4"/>
  <c r="E53" i="4" s="1"/>
  <c r="I51" i="4"/>
  <c r="I53" i="4" s="1"/>
  <c r="I7" i="4"/>
  <c r="I21" i="4"/>
  <c r="K9" i="4"/>
  <c r="K13" i="4"/>
  <c r="K17" i="4"/>
  <c r="C23" i="4"/>
  <c r="C22" i="4" s="1"/>
  <c r="K24" i="4"/>
  <c r="K26" i="4"/>
  <c r="K28" i="4"/>
  <c r="K30" i="4"/>
  <c r="K32" i="4"/>
  <c r="K34" i="4"/>
  <c r="K36" i="4"/>
  <c r="K38" i="4"/>
  <c r="K40" i="4"/>
  <c r="K42" i="4"/>
  <c r="C44" i="4"/>
  <c r="K45" i="4"/>
  <c r="K47" i="4"/>
  <c r="K49" i="4"/>
  <c r="F64" i="4"/>
  <c r="F70" i="4" s="1"/>
  <c r="K62" i="4"/>
  <c r="K67" i="4"/>
  <c r="F77" i="4"/>
  <c r="J88" i="4"/>
  <c r="J83" i="4"/>
  <c r="J85" i="4"/>
  <c r="J86" i="4"/>
  <c r="J87" i="4"/>
  <c r="J91" i="4"/>
  <c r="J89" i="4"/>
  <c r="J84" i="4"/>
  <c r="J90" i="4"/>
  <c r="J53" i="4"/>
  <c r="C70" i="4"/>
  <c r="D72" i="4" l="1"/>
  <c r="B78" i="4"/>
  <c r="B54" i="4"/>
  <c r="K76" i="4"/>
  <c r="J77" i="4"/>
  <c r="J64" i="4"/>
  <c r="K64" i="4"/>
  <c r="K70" i="4"/>
  <c r="J70" i="4"/>
  <c r="K44" i="4"/>
  <c r="C7" i="4"/>
  <c r="C21" i="4" s="1"/>
  <c r="J44" i="4"/>
  <c r="J22" i="4"/>
  <c r="D7" i="4"/>
  <c r="D21" i="4" s="1"/>
  <c r="J21" i="4" s="1"/>
  <c r="K22" i="4"/>
  <c r="J23" i="4"/>
  <c r="K23" i="4"/>
  <c r="J20" i="4"/>
  <c r="G21" i="4"/>
  <c r="C53" i="4"/>
  <c r="K7" i="4" l="1"/>
  <c r="L20" i="4"/>
  <c r="K21" i="4"/>
  <c r="L7" i="4"/>
  <c r="L18" i="4"/>
  <c r="L17" i="4"/>
  <c r="L16" i="4"/>
  <c r="L9" i="4"/>
  <c r="L19" i="4"/>
  <c r="L13" i="4"/>
  <c r="J7" i="4"/>
  <c r="L15" i="4"/>
  <c r="L10" i="4"/>
  <c r="L8" i="4"/>
  <c r="L12" i="4"/>
  <c r="L11" i="4"/>
  <c r="L14" i="4"/>
  <c r="L21" i="4"/>
  <c r="K53" i="4"/>
  <c r="C72" i="4"/>
</calcChain>
</file>

<file path=xl/sharedStrings.xml><?xml version="1.0" encoding="utf-8"?>
<sst xmlns="http://schemas.openxmlformats.org/spreadsheetml/2006/main" count="337" uniqueCount="109">
  <si>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</si>
  <si>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</si>
  <si>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</si>
  <si>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</si>
  <si>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</si>
  <si>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</si>
  <si>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</si>
  <si>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</si>
  <si>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</si>
  <si>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</si>
  <si>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</si>
  <si>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</si>
  <si>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</si>
  <si>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</si>
  <si>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</si>
  <si>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</si>
  <si>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</si>
  <si>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</si>
  <si>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</si>
  <si>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</si>
  <si>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</si>
  <si>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</si>
  <si>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</si>
  <si>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</si>
  <si>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</si>
  <si>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</si>
  <si>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</si>
  <si>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</si>
  <si>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</si>
  <si>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</si>
  <si>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</si>
  <si>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</si>
  <si>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</si>
  <si>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inne cele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</si>
  <si>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</si>
  <si>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</si>
  <si>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</si>
  <si>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</si>
  <si>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</si>
  <si>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</si>
  <si>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</si>
  <si>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</si>
  <si>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</si>
  <si>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</si>
  <si>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</si>
  <si>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</si>
  <si>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</si>
  <si>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</si>
  <si>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</si>
  <si>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</si>
  <si>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</si>
  <si>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</si>
  <si>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</si>
  <si>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</si>
  <si>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</si>
  <si>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</si>
  <si>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</si>
  <si>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</si>
  <si>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</si>
  <si>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</si>
  <si>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</si>
  <si>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</si>
  <si>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</si>
  <si>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</si>
  <si>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</si>
  <si>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</si>
  <si>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</si>
  <si>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</si>
  <si>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</si>
  <si>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</si>
  <si>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</si>
  <si>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majątkowe</t>
  </si>
  <si>
    <t>bieżące</t>
  </si>
  <si>
    <t>UE</t>
  </si>
  <si>
    <t>wydatki majątkowe</t>
  </si>
  <si>
    <t>wydatki bieżące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</si>
  <si>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</si>
  <si>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</si>
  <si>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</si>
  <si>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</si>
  <si>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</si>
  <si>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</si>
  <si>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</si>
  <si>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</si>
  <si>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</si>
  <si>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</si>
  <si>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</si>
  <si>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wykup papierów wartościowych</t>
  </si>
  <si>
    <t>udzielone pożyczki</t>
  </si>
  <si>
    <t>Dotacje §§ 200 i 620</t>
  </si>
  <si>
    <t>w tym: inwestycyjne § 620</t>
  </si>
  <si>
    <t>Dotacje §§ 205 i 625</t>
  </si>
  <si>
    <t>w tym: inwestycyjne § 625</t>
  </si>
  <si>
    <t>otrzymane ze środków z Funduszu Przeciwdziałania COVID-19 (m.in. z Rządowego Funduszu Inwestycji Lokalnych)</t>
  </si>
  <si>
    <t>wolne środki, o których mowa w art. 217 ust. 2 pkt 6 ustawy o finansach publicznych</t>
  </si>
  <si>
    <t>na finansowanie lub dofinansowanie zadań inwestycyjnych obiektów zabytkowych oraz prac remontowych i konserwatorskich przy zabytkach</t>
  </si>
  <si>
    <t>w tym: inwestycyjne</t>
  </si>
  <si>
    <t>spłaty udzielonych pożyczek w latach ubiegłych</t>
  </si>
  <si>
    <t>niewykorzystane środki pieniężne o których mowa w art. 217 ust. 2 pkt. 8 ustawy o finansach publicznych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</si>
  <si>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</si>
  <si>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</si>
  <si>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nadwyżka z lat ubiegłych, pomniejszona o niewykorzystane środki pieniężne, o których mowa w art. 217 ust. 2 pkt 8 ustawy o finansach publicznych</t>
  </si>
  <si>
    <t>Dotacje ogółem 
z tego:</t>
  </si>
  <si>
    <t>spłaty kredytów i pożyczek, wykup papierów wartościowych 
w tym: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</si>
  <si>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</si>
  <si>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Dochody bieżące 
minus 
wydatki bieżące</t>
  </si>
  <si>
    <t>FINANSOWANIE DEFICYTU (E1+E2+E3+E4+E5+E6+E7)  
z tego:</t>
  </si>
  <si>
    <t>Wydatki ogółem UE 
z tego:</t>
  </si>
  <si>
    <t>kredyty, pożyczki, emisja papierów wartościowych
w tym: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</si>
</sst>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4" fillId="0" borderId="0"/>
  </cellStyleXfs>
  <cellXfs count="130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 indent="2"/>
    </xf>
    <xf numFmtId="0" fontId="2" fillId="0" borderId="1" xfId="0" applyFont="1" applyBorder="1"/>
    <xf numFmtId="164" fontId="12" fillId="3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164" fontId="11" fillId="3" borderId="1" xfId="1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/>
    </xf>
    <xf numFmtId="4" fontId="11" fillId="3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 vertical="center"/>
    </xf>
    <xf numFmtId="164" fontId="12" fillId="4" borderId="1" xfId="0" applyNumberFormat="1" applyFont="1" applyFill="1" applyBorder="1" applyAlignment="1">
      <alignment horizontal="right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5" borderId="4" xfId="0" applyNumberFormat="1" applyFont="1" applyFill="1" applyBorder="1" applyAlignment="1">
      <alignment horizontal="right" vertical="center"/>
    </xf>
    <xf numFmtId="4" fontId="11" fillId="4" borderId="4" xfId="0" applyNumberFormat="1" applyFont="1" applyFill="1" applyBorder="1" applyAlignment="1">
      <alignment horizontal="right" vertical="center"/>
    </xf>
    <xf numFmtId="164" fontId="11" fillId="5" borderId="1" xfId="1" applyNumberFormat="1" applyFont="1" applyFill="1" applyBorder="1" applyAlignment="1">
      <alignment horizontal="right" vertical="center"/>
    </xf>
    <xf numFmtId="164" fontId="11" fillId="5" borderId="1" xfId="0" applyNumberFormat="1" applyFont="1" applyFill="1" applyBorder="1" applyAlignment="1">
      <alignment horizontal="right" vertical="center"/>
    </xf>
    <xf numFmtId="164" fontId="11" fillId="4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indent="2"/>
    </xf>
    <xf numFmtId="164" fontId="4" fillId="4" borderId="1" xfId="0" applyNumberFormat="1" applyFont="1" applyFill="1" applyBorder="1" applyAlignment="1">
      <alignment horizontal="right" vertical="center"/>
    </xf>
    <xf numFmtId="164" fontId="5" fillId="4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164" fontId="11" fillId="0" borderId="1" xfId="1" applyNumberFormat="1" applyFont="1" applyFill="1" applyBorder="1" applyAlignment="1">
      <alignment horizontal="right" vertical="center"/>
    </xf>
    <xf numFmtId="0" fontId="6" fillId="0" borderId="1" xfId="0" applyFont="1" applyBorder="1"/>
    <xf numFmtId="4" fontId="4" fillId="0" borderId="1" xfId="0" applyNumberFormat="1" applyFont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4" fontId="4" fillId="0" borderId="4" xfId="0" applyNumberFormat="1" applyFont="1" applyFill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164" fontId="5" fillId="4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right" vertical="center" wrapText="1" inden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vertical="center"/>
    </xf>
    <xf numFmtId="0" fontId="2" fillId="0" borderId="5" xfId="0" applyFont="1" applyBorder="1"/>
    <xf numFmtId="0" fontId="7" fillId="4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4"/>
    </xf>
    <xf numFmtId="0" fontId="4" fillId="5" borderId="1" xfId="0" applyFont="1" applyFill="1" applyBorder="1" applyAlignment="1">
      <alignment horizontal="left" vertical="center" wrapText="1" indent="3"/>
    </xf>
    <xf numFmtId="0" fontId="15" fillId="0" borderId="1" xfId="3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1"/>
    </xf>
    <xf numFmtId="0" fontId="15" fillId="4" borderId="1" xfId="2" applyFont="1" applyFill="1" applyBorder="1" applyAlignment="1">
      <alignment horizontal="left" vertical="center" wrapText="1"/>
    </xf>
    <xf numFmtId="0" fontId="15" fillId="0" borderId="1" xfId="2" applyFont="1" applyBorder="1" applyAlignment="1">
      <alignment horizontal="left" vertical="center" wrapText="1" indent="1"/>
    </xf>
    <xf numFmtId="165" fontId="2" fillId="0" borderId="4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</cellXfs>
  <cellStyles count="4">
    <cellStyle name="Dziesiętny" xfId="1" builtinId="3"/>
    <cellStyle name="Normalny" xfId="0" builtinId="0"/>
    <cellStyle name="Normalny 2" xfId="2"/>
    <cellStyle name="Normalny 2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13"/>
  <sheetViews>
    <sheetView tabSelected="1" topLeftCell="B1" zoomScaleNormal="100" workbookViewId="0">
      <selection activeCell="B3" sqref="B3:B4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7" width="13" style="1" customWidth="1" outlineLevel="1"/>
    <col min="8" max="8" width="11.85546875" style="1" customWidth="1" outlineLevel="1"/>
    <col min="9" max="9" width="13" style="1" customWidth="1" outlineLevel="1"/>
    <col min="10" max="10" width="12.7109375" style="1" customWidth="1"/>
    <col min="11" max="11" width="7.42578125" style="1" customWidth="1"/>
    <col min="12" max="13" width="8.140625" style="1" customWidth="1"/>
    <col min="14" max="16384" width="9.140625" style="1"/>
  </cols>
  <sheetData>
    <row r="1" spans="2:13" ht="15" x14ac:dyDescent="0.2">
      <c r="B1" s="92" t="str">
        <f>CONCATENATE("Informacja z wykonania budżetów gmin za ",$D$111," ",$C$112," rok")</f>
        <v>Informacja z wykonania budżetów gmin za II Kwartały 2022 rok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2:13" ht="0.75" customHeight="1" x14ac:dyDescent="0.2"/>
    <row r="3" spans="2:13" ht="69" customHeight="1" x14ac:dyDescent="0.2">
      <c r="B3" s="114" t="s">
        <v>0</v>
      </c>
      <c r="C3" s="15" t="s">
        <v>36</v>
      </c>
      <c r="D3" s="15" t="s">
        <v>37</v>
      </c>
      <c r="E3" s="15" t="s">
        <v>38</v>
      </c>
      <c r="F3" s="15" t="s">
        <v>39</v>
      </c>
      <c r="G3" s="15" t="s">
        <v>40</v>
      </c>
      <c r="H3" s="15" t="s">
        <v>41</v>
      </c>
      <c r="I3" s="15" t="s">
        <v>42</v>
      </c>
      <c r="J3" s="17" t="s">
        <v>2</v>
      </c>
      <c r="K3" s="15" t="s">
        <v>18</v>
      </c>
      <c r="L3" s="15" t="s">
        <v>3</v>
      </c>
    </row>
    <row r="4" spans="2:13" x14ac:dyDescent="0.2">
      <c r="B4" s="114"/>
      <c r="C4" s="109" t="s">
        <v>76</v>
      </c>
      <c r="D4" s="110"/>
      <c r="E4" s="110"/>
      <c r="F4" s="110"/>
      <c r="G4" s="110"/>
      <c r="H4" s="110"/>
      <c r="I4" s="111"/>
      <c r="J4" s="115" t="s">
        <v>4</v>
      </c>
      <c r="K4" s="115"/>
      <c r="L4" s="115"/>
    </row>
    <row r="5" spans="2:13" x14ac:dyDescent="0.2">
      <c r="B5" s="17">
        <v>1</v>
      </c>
      <c r="C5" s="19">
        <v>2</v>
      </c>
      <c r="D5" s="19">
        <v>3</v>
      </c>
      <c r="E5" s="19">
        <v>4</v>
      </c>
      <c r="F5" s="19">
        <v>5</v>
      </c>
      <c r="G5" s="19">
        <v>6</v>
      </c>
      <c r="H5" s="19">
        <v>7</v>
      </c>
      <c r="I5" s="19">
        <v>8</v>
      </c>
      <c r="J5" s="19">
        <v>9</v>
      </c>
      <c r="K5" s="19">
        <v>10</v>
      </c>
      <c r="L5" s="19">
        <v>11</v>
      </c>
    </row>
    <row r="6" spans="2:13" x14ac:dyDescent="0.2">
      <c r="B6" s="84" t="s">
        <v>5</v>
      </c>
      <c r="C6" s="45">
        <f>152721158998.46</f>
        <v>152721158998.45999</v>
      </c>
      <c r="D6" s="45">
        <f>82638868057.04</f>
        <v>82638868057.039993</v>
      </c>
      <c r="E6" s="45">
        <f>1607695100.94</f>
        <v>1607695100.9400001</v>
      </c>
      <c r="F6" s="45">
        <f>440647581.75</f>
        <v>440647581.75</v>
      </c>
      <c r="G6" s="45">
        <f>43169746.24</f>
        <v>43169746.240000002</v>
      </c>
      <c r="H6" s="45">
        <f>88402847.87</f>
        <v>88402847.870000005</v>
      </c>
      <c r="I6" s="45">
        <f>2991812.73</f>
        <v>2991812.73</v>
      </c>
      <c r="J6" s="46">
        <f t="shared" ref="J6:J53" si="0">IF($D$6=0,"",100*$D6/$D$6)</f>
        <v>100</v>
      </c>
      <c r="K6" s="46">
        <f t="shared" ref="K6:K49" si="1">IF(C6=0,"",100*D6/C6)</f>
        <v>54.110948737544156</v>
      </c>
      <c r="L6" s="46"/>
    </row>
    <row r="7" spans="2:13" ht="25.5" customHeight="1" x14ac:dyDescent="0.2">
      <c r="B7" s="85" t="s">
        <v>59</v>
      </c>
      <c r="C7" s="25">
        <f>C6-C22-C44</f>
        <v>71663142808.429977</v>
      </c>
      <c r="D7" s="25">
        <f>D6-D22-D44</f>
        <v>37392490290.23999</v>
      </c>
      <c r="E7" s="25">
        <f>E6</f>
        <v>1607695100.9400001</v>
      </c>
      <c r="F7" s="25">
        <f>F6</f>
        <v>440647581.75</v>
      </c>
      <c r="G7" s="25">
        <f>G6</f>
        <v>43169746.240000002</v>
      </c>
      <c r="H7" s="25">
        <f>H6</f>
        <v>88402847.870000005</v>
      </c>
      <c r="I7" s="25">
        <f>I6</f>
        <v>2991812.73</v>
      </c>
      <c r="J7" s="34">
        <f t="shared" si="0"/>
        <v>45.248066883528097</v>
      </c>
      <c r="K7" s="34">
        <f t="shared" si="1"/>
        <v>52.178133451665175</v>
      </c>
      <c r="L7" s="34">
        <f t="shared" ref="L7:L21" si="2">IF($D$7=0,"",100*$D7/$D$7)</f>
        <v>100</v>
      </c>
    </row>
    <row r="8" spans="2:13" ht="22.5" customHeight="1" outlineLevel="1" x14ac:dyDescent="0.2">
      <c r="B8" s="54" t="s">
        <v>35</v>
      </c>
      <c r="C8" s="24">
        <f>1521656998</f>
        <v>1521656998</v>
      </c>
      <c r="D8" s="24">
        <f>750724740.68</f>
        <v>750724740.67999995</v>
      </c>
      <c r="E8" s="24">
        <f>0</f>
        <v>0</v>
      </c>
      <c r="F8" s="24">
        <f>0</f>
        <v>0</v>
      </c>
      <c r="G8" s="24">
        <f>0</f>
        <v>0</v>
      </c>
      <c r="H8" s="24">
        <f>0</f>
        <v>0</v>
      </c>
      <c r="I8" s="24">
        <f>0</f>
        <v>0</v>
      </c>
      <c r="J8" s="35">
        <f t="shared" si="0"/>
        <v>0.90844025133769468</v>
      </c>
      <c r="K8" s="35">
        <f t="shared" si="1"/>
        <v>49.336002901226756</v>
      </c>
      <c r="L8" s="35">
        <f t="shared" si="2"/>
        <v>2.0076885354596206</v>
      </c>
    </row>
    <row r="9" spans="2:13" ht="22.5" customHeight="1" outlineLevel="1" x14ac:dyDescent="0.2">
      <c r="B9" s="54" t="s">
        <v>19</v>
      </c>
      <c r="C9" s="24">
        <f>22527832017.4</f>
        <v>22527832017.400002</v>
      </c>
      <c r="D9" s="24">
        <f>11257488978</f>
        <v>11257488978</v>
      </c>
      <c r="E9" s="24">
        <f>0</f>
        <v>0</v>
      </c>
      <c r="F9" s="24">
        <f>0</f>
        <v>0</v>
      </c>
      <c r="G9" s="24">
        <f>0</f>
        <v>0</v>
      </c>
      <c r="H9" s="24">
        <f>0</f>
        <v>0</v>
      </c>
      <c r="I9" s="24">
        <f>0</f>
        <v>0</v>
      </c>
      <c r="J9" s="35">
        <f t="shared" si="0"/>
        <v>13.622511104858939</v>
      </c>
      <c r="K9" s="35">
        <f t="shared" si="1"/>
        <v>49.971470709231866</v>
      </c>
      <c r="L9" s="35">
        <f t="shared" si="2"/>
        <v>30.10628308149451</v>
      </c>
    </row>
    <row r="10" spans="2:13" ht="13.5" customHeight="1" outlineLevel="1" x14ac:dyDescent="0.2">
      <c r="B10" s="54" t="s">
        <v>20</v>
      </c>
      <c r="C10" s="24">
        <f>1735166540.51</f>
        <v>1735166540.51</v>
      </c>
      <c r="D10" s="24">
        <f>1012430918.45</f>
        <v>1012430918.45</v>
      </c>
      <c r="E10" s="24">
        <f>77184236.2</f>
        <v>77184236.200000003</v>
      </c>
      <c r="F10" s="24">
        <f>1000523.41</f>
        <v>1000523.41</v>
      </c>
      <c r="G10" s="24">
        <f>1441972.06</f>
        <v>1441972.06</v>
      </c>
      <c r="H10" s="24">
        <f>1450678.58</f>
        <v>1450678.58</v>
      </c>
      <c r="I10" s="24">
        <f>433.44</f>
        <v>433.44</v>
      </c>
      <c r="J10" s="35">
        <f t="shared" si="0"/>
        <v>1.2251267983864298</v>
      </c>
      <c r="K10" s="35">
        <f t="shared" si="1"/>
        <v>58.347766327514961</v>
      </c>
      <c r="L10" s="35">
        <f t="shared" si="2"/>
        <v>2.7075782077939321</v>
      </c>
    </row>
    <row r="11" spans="2:13" ht="13.5" customHeight="1" outlineLevel="1" x14ac:dyDescent="0.2">
      <c r="B11" s="54" t="s">
        <v>21</v>
      </c>
      <c r="C11" s="24">
        <f>17224038207.94</f>
        <v>17224038207.939999</v>
      </c>
      <c r="D11" s="53">
        <f>9265283197.86</f>
        <v>9265283197.8600006</v>
      </c>
      <c r="E11" s="24">
        <f>1050971404</f>
        <v>1050971404</v>
      </c>
      <c r="F11" s="24">
        <f>353645051.28</f>
        <v>353645051.27999997</v>
      </c>
      <c r="G11" s="24">
        <f>32848101.12</f>
        <v>32848101.120000001</v>
      </c>
      <c r="H11" s="24">
        <f>69900353.35</f>
        <v>69900353.349999994</v>
      </c>
      <c r="I11" s="24">
        <f>2620705.83</f>
        <v>2620705.83</v>
      </c>
      <c r="J11" s="35">
        <f t="shared" si="0"/>
        <v>11.211774090933584</v>
      </c>
      <c r="K11" s="35">
        <f t="shared" si="1"/>
        <v>53.792746428005813</v>
      </c>
      <c r="L11" s="35">
        <f t="shared" si="2"/>
        <v>24.778459861707525</v>
      </c>
    </row>
    <row r="12" spans="2:13" ht="13.5" customHeight="1" outlineLevel="1" x14ac:dyDescent="0.2">
      <c r="B12" s="54" t="s">
        <v>22</v>
      </c>
      <c r="C12" s="24">
        <f>321838513.28</f>
        <v>321838513.27999997</v>
      </c>
      <c r="D12" s="53">
        <f>180128402.05</f>
        <v>180128402.05000001</v>
      </c>
      <c r="E12" s="24">
        <f>1593911.37</f>
        <v>1593911.37</v>
      </c>
      <c r="F12" s="24">
        <f>536426.95</f>
        <v>536426.94999999995</v>
      </c>
      <c r="G12" s="24">
        <f>50517.25</f>
        <v>50517.25</v>
      </c>
      <c r="H12" s="24">
        <f>12590.6</f>
        <v>12590.6</v>
      </c>
      <c r="I12" s="24">
        <f>1839.6</f>
        <v>1839.6</v>
      </c>
      <c r="J12" s="35">
        <f t="shared" si="0"/>
        <v>0.21797055826765391</v>
      </c>
      <c r="K12" s="35">
        <f t="shared" si="1"/>
        <v>55.968566413705751</v>
      </c>
      <c r="L12" s="35">
        <f t="shared" si="2"/>
        <v>0.48172347081418182</v>
      </c>
    </row>
    <row r="13" spans="2:13" ht="13.5" customHeight="1" outlineLevel="1" x14ac:dyDescent="0.2">
      <c r="B13" s="54" t="s">
        <v>23</v>
      </c>
      <c r="C13" s="24">
        <f>941292952.65</f>
        <v>941292952.64999998</v>
      </c>
      <c r="D13" s="53">
        <f>500282359.53</f>
        <v>500282359.52999997</v>
      </c>
      <c r="E13" s="24">
        <f>467321164.64</f>
        <v>467321164.63999999</v>
      </c>
      <c r="F13" s="24">
        <f>2127916.34</f>
        <v>2127916.34</v>
      </c>
      <c r="G13" s="24">
        <f>1465302.66</f>
        <v>1465302.66</v>
      </c>
      <c r="H13" s="24">
        <f>4561869.76</f>
        <v>4561869.76</v>
      </c>
      <c r="I13" s="24">
        <f>10853.92</f>
        <v>10853.92</v>
      </c>
      <c r="J13" s="35">
        <f t="shared" si="0"/>
        <v>0.6053838481726167</v>
      </c>
      <c r="K13" s="35">
        <f t="shared" si="1"/>
        <v>53.148422934811826</v>
      </c>
      <c r="L13" s="35">
        <f t="shared" si="2"/>
        <v>1.3379220149468924</v>
      </c>
    </row>
    <row r="14" spans="2:13" ht="33.950000000000003" customHeight="1" outlineLevel="1" x14ac:dyDescent="0.2">
      <c r="B14" s="54" t="s">
        <v>44</v>
      </c>
      <c r="C14" s="24">
        <f>73647072.61</f>
        <v>73647072.609999999</v>
      </c>
      <c r="D14" s="53">
        <f>44003755.27</f>
        <v>44003755.270000003</v>
      </c>
      <c r="E14" s="24">
        <f>0</f>
        <v>0</v>
      </c>
      <c r="F14" s="24">
        <f>0</f>
        <v>0</v>
      </c>
      <c r="G14" s="24">
        <f>11537.37</f>
        <v>11537.37</v>
      </c>
      <c r="H14" s="24">
        <f>65666.42</f>
        <v>65666.42</v>
      </c>
      <c r="I14" s="24">
        <f>0</f>
        <v>0</v>
      </c>
      <c r="J14" s="35">
        <f t="shared" si="0"/>
        <v>5.3248255094233865E-2</v>
      </c>
      <c r="K14" s="35">
        <f t="shared" si="1"/>
        <v>59.749496769577028</v>
      </c>
      <c r="L14" s="35">
        <f t="shared" si="2"/>
        <v>0.11768072928131681</v>
      </c>
    </row>
    <row r="15" spans="2:13" ht="13.5" customHeight="1" outlineLevel="1" x14ac:dyDescent="0.2">
      <c r="B15" s="54" t="s">
        <v>28</v>
      </c>
      <c r="C15" s="24">
        <f>161382121.08</f>
        <v>161382121.08000001</v>
      </c>
      <c r="D15" s="53">
        <f>119847304.77</f>
        <v>119847304.77</v>
      </c>
      <c r="E15" s="24">
        <f>143972.5</f>
        <v>143972.5</v>
      </c>
      <c r="F15" s="24">
        <f>0</f>
        <v>0</v>
      </c>
      <c r="G15" s="24">
        <f>1940891.17</f>
        <v>1940891.17</v>
      </c>
      <c r="H15" s="24">
        <f>4860445.9</f>
        <v>4860445.9000000004</v>
      </c>
      <c r="I15" s="24">
        <f>0</f>
        <v>0</v>
      </c>
      <c r="J15" s="35">
        <f t="shared" si="0"/>
        <v>0.14502534653218815</v>
      </c>
      <c r="K15" s="35">
        <f t="shared" si="1"/>
        <v>74.263062083927835</v>
      </c>
      <c r="L15" s="35">
        <f t="shared" si="2"/>
        <v>0.3205116959040355</v>
      </c>
    </row>
    <row r="16" spans="2:13" ht="22.5" customHeight="1" outlineLevel="1" x14ac:dyDescent="0.2">
      <c r="B16" s="54" t="s">
        <v>29</v>
      </c>
      <c r="C16" s="24">
        <f>1672522304.1</f>
        <v>1672522304.0999999</v>
      </c>
      <c r="D16" s="53">
        <f>1083241863.06</f>
        <v>1083241863.0599999</v>
      </c>
      <c r="E16" s="24">
        <f>0</f>
        <v>0</v>
      </c>
      <c r="F16" s="24">
        <f>0</f>
        <v>0</v>
      </c>
      <c r="G16" s="24">
        <f>71945.74</f>
        <v>71945.740000000005</v>
      </c>
      <c r="H16" s="24">
        <f>393556.72</f>
        <v>393556.72</v>
      </c>
      <c r="I16" s="24">
        <f>0</f>
        <v>0</v>
      </c>
      <c r="J16" s="35">
        <f t="shared" si="0"/>
        <v>1.3108140134643564</v>
      </c>
      <c r="K16" s="35">
        <f t="shared" si="1"/>
        <v>64.766960679959524</v>
      </c>
      <c r="L16" s="35">
        <f t="shared" si="2"/>
        <v>2.8969503091446751</v>
      </c>
    </row>
    <row r="17" spans="2:12" ht="13.5" customHeight="1" outlineLevel="1" x14ac:dyDescent="0.2">
      <c r="B17" s="54" t="s">
        <v>30</v>
      </c>
      <c r="C17" s="24">
        <f>198615599.98</f>
        <v>198615599.97999999</v>
      </c>
      <c r="D17" s="53">
        <f>102357451.45</f>
        <v>102357451.45</v>
      </c>
      <c r="E17" s="24">
        <f>0</f>
        <v>0</v>
      </c>
      <c r="F17" s="24">
        <f>0</f>
        <v>0</v>
      </c>
      <c r="G17" s="24">
        <f>161</f>
        <v>161</v>
      </c>
      <c r="H17" s="24">
        <f>758.56</f>
        <v>758.56</v>
      </c>
      <c r="I17" s="24">
        <f>0</f>
        <v>0</v>
      </c>
      <c r="J17" s="35">
        <f t="shared" si="0"/>
        <v>0.12386114894428323</v>
      </c>
      <c r="K17" s="35">
        <f t="shared" si="1"/>
        <v>51.535454143736494</v>
      </c>
      <c r="L17" s="35">
        <f t="shared" si="2"/>
        <v>0.27373799031704732</v>
      </c>
    </row>
    <row r="18" spans="2:12" ht="13.5" customHeight="1" outlineLevel="1" x14ac:dyDescent="0.2">
      <c r="B18" s="54" t="s">
        <v>31</v>
      </c>
      <c r="C18" s="24">
        <f>406787641.88</f>
        <v>406787641.88</v>
      </c>
      <c r="D18" s="53">
        <f>209597205.2</f>
        <v>209597205.19999999</v>
      </c>
      <c r="E18" s="24">
        <f>0</f>
        <v>0</v>
      </c>
      <c r="F18" s="24">
        <f>0</f>
        <v>0</v>
      </c>
      <c r="G18" s="24">
        <f>0</f>
        <v>0</v>
      </c>
      <c r="H18" s="24">
        <f>877882.8</f>
        <v>877882.8</v>
      </c>
      <c r="I18" s="24">
        <f>0</f>
        <v>0</v>
      </c>
      <c r="J18" s="35">
        <f t="shared" si="0"/>
        <v>0.25363029543837567</v>
      </c>
      <c r="K18" s="35">
        <f t="shared" si="1"/>
        <v>51.524968711274163</v>
      </c>
      <c r="L18" s="35">
        <f t="shared" si="2"/>
        <v>0.56053288661201595</v>
      </c>
    </row>
    <row r="19" spans="2:12" ht="13.5" customHeight="1" outlineLevel="1" x14ac:dyDescent="0.2">
      <c r="B19" s="54" t="s">
        <v>32</v>
      </c>
      <c r="C19" s="24">
        <f>112430077.58</f>
        <v>112430077.58</v>
      </c>
      <c r="D19" s="53">
        <f>42591532.77</f>
        <v>42591532.770000003</v>
      </c>
      <c r="E19" s="24">
        <f>499752.88</f>
        <v>499752.88</v>
      </c>
      <c r="F19" s="24">
        <f>5700</f>
        <v>5700</v>
      </c>
      <c r="G19" s="24">
        <f>0</f>
        <v>0</v>
      </c>
      <c r="H19" s="24">
        <f>105340.09</f>
        <v>105340.09</v>
      </c>
      <c r="I19" s="24">
        <f>0</f>
        <v>0</v>
      </c>
      <c r="J19" s="35">
        <f t="shared" si="0"/>
        <v>5.1539346764287675E-2</v>
      </c>
      <c r="K19" s="35">
        <f t="shared" si="1"/>
        <v>37.882685564895972</v>
      </c>
      <c r="L19" s="35">
        <f t="shared" si="2"/>
        <v>0.11390397494097108</v>
      </c>
    </row>
    <row r="20" spans="2:12" ht="13.5" customHeight="1" outlineLevel="1" x14ac:dyDescent="0.2">
      <c r="B20" s="54" t="s">
        <v>24</v>
      </c>
      <c r="C20" s="24">
        <f>5098712217.3</f>
        <v>5098712217.3000002</v>
      </c>
      <c r="D20" s="53">
        <f>2209720486.05</f>
        <v>2209720486.0500002</v>
      </c>
      <c r="E20" s="24">
        <f>0</f>
        <v>0</v>
      </c>
      <c r="F20" s="24">
        <f>43995.74</f>
        <v>43995.74</v>
      </c>
      <c r="G20" s="24">
        <f>0</f>
        <v>0</v>
      </c>
      <c r="H20" s="24">
        <f>111437</f>
        <v>111437</v>
      </c>
      <c r="I20" s="24">
        <f>4840.65</f>
        <v>4840.6499999999996</v>
      </c>
      <c r="J20" s="35">
        <f t="shared" si="0"/>
        <v>2.6739481529741917</v>
      </c>
      <c r="K20" s="35">
        <f t="shared" si="1"/>
        <v>43.338795991513081</v>
      </c>
      <c r="L20" s="35">
        <f t="shared" si="2"/>
        <v>5.9095301460217833</v>
      </c>
    </row>
    <row r="21" spans="2:12" ht="13.5" customHeight="1" outlineLevel="1" x14ac:dyDescent="0.2">
      <c r="B21" s="54" t="s">
        <v>25</v>
      </c>
      <c r="C21" s="24">
        <f>C7-C8-C9-C10-C11-C12-C13-C14-C15-C16-C17-C18-C19-C20</f>
        <v>19667220544.119972</v>
      </c>
      <c r="D21" s="24">
        <f t="shared" ref="D21:I21" si="3">D7-D8-D9-D10-D11-D12-D13-D14-D15-D16-D17-D18-D19-D20</f>
        <v>10614792095.099987</v>
      </c>
      <c r="E21" s="24">
        <f t="shared" si="3"/>
        <v>9980659.3500000183</v>
      </c>
      <c r="F21" s="24">
        <f t="shared" si="3"/>
        <v>83287968.030000001</v>
      </c>
      <c r="G21" s="24">
        <f t="shared" si="3"/>
        <v>5339317.8699999982</v>
      </c>
      <c r="H21" s="24">
        <f t="shared" si="3"/>
        <v>6062268.090000012</v>
      </c>
      <c r="I21" s="24">
        <f t="shared" si="3"/>
        <v>353139.29</v>
      </c>
      <c r="J21" s="35">
        <f t="shared" si="0"/>
        <v>12.844793672359256</v>
      </c>
      <c r="K21" s="35">
        <f t="shared" si="1"/>
        <v>53.971999100165455</v>
      </c>
      <c r="L21" s="35">
        <f t="shared" si="2"/>
        <v>28.387497095561482</v>
      </c>
    </row>
    <row r="22" spans="2:12" ht="27" customHeight="1" x14ac:dyDescent="0.2">
      <c r="B22" s="85" t="s">
        <v>102</v>
      </c>
      <c r="C22" s="45">
        <f>C23+C40+C42</f>
        <v>46987441711.980003</v>
      </c>
      <c r="D22" s="45">
        <f>D23+D40+D42</f>
        <v>25474369036.800007</v>
      </c>
      <c r="E22" s="41" t="s">
        <v>58</v>
      </c>
      <c r="F22" s="41" t="s">
        <v>58</v>
      </c>
      <c r="G22" s="41" t="s">
        <v>58</v>
      </c>
      <c r="H22" s="41" t="s">
        <v>58</v>
      </c>
      <c r="I22" s="41" t="s">
        <v>58</v>
      </c>
      <c r="J22" s="46">
        <f t="shared" si="0"/>
        <v>30.826135008549223</v>
      </c>
      <c r="K22" s="46">
        <f t="shared" si="1"/>
        <v>54.215271376021761</v>
      </c>
      <c r="L22" s="29"/>
    </row>
    <row r="23" spans="2:12" ht="27" customHeight="1" outlineLevel="1" x14ac:dyDescent="0.2">
      <c r="B23" s="94" t="s">
        <v>60</v>
      </c>
      <c r="C23" s="45">
        <f>C24+C26+C28+C30+C32+C34+C36+C38</f>
        <v>38118793532.440002</v>
      </c>
      <c r="D23" s="45">
        <f>D24+D26+D28+D30+D32+D34+D36+D38</f>
        <v>22435040430.530006</v>
      </c>
      <c r="E23" s="41" t="s">
        <v>58</v>
      </c>
      <c r="F23" s="41" t="s">
        <v>58</v>
      </c>
      <c r="G23" s="41" t="s">
        <v>58</v>
      </c>
      <c r="H23" s="41" t="s">
        <v>58</v>
      </c>
      <c r="I23" s="41" t="s">
        <v>58</v>
      </c>
      <c r="J23" s="46">
        <f t="shared" si="0"/>
        <v>27.148291062075803</v>
      </c>
      <c r="K23" s="46">
        <f t="shared" si="1"/>
        <v>58.855588940497945</v>
      </c>
      <c r="L23" s="29"/>
    </row>
    <row r="24" spans="2:12" ht="22.5" customHeight="1" outlineLevel="1" x14ac:dyDescent="0.2">
      <c r="B24" s="83" t="s">
        <v>9</v>
      </c>
      <c r="C24" s="24">
        <f>24826546746.27</f>
        <v>24826546746.27</v>
      </c>
      <c r="D24" s="24">
        <f>19715780106.15</f>
        <v>19715780106.150002</v>
      </c>
      <c r="E24" s="24" t="s">
        <v>58</v>
      </c>
      <c r="F24" s="24" t="s">
        <v>58</v>
      </c>
      <c r="G24" s="24" t="s">
        <v>58</v>
      </c>
      <c r="H24" s="24" t="s">
        <v>58</v>
      </c>
      <c r="I24" s="24" t="s">
        <v>58</v>
      </c>
      <c r="J24" s="35">
        <f t="shared" si="0"/>
        <v>23.85775673081768</v>
      </c>
      <c r="K24" s="35">
        <f t="shared" si="1"/>
        <v>79.414105826506656</v>
      </c>
      <c r="L24" s="29"/>
    </row>
    <row r="25" spans="2:12" ht="13.5" customHeight="1" outlineLevel="1" x14ac:dyDescent="0.2">
      <c r="B25" s="95" t="s">
        <v>6</v>
      </c>
      <c r="C25" s="24">
        <f>19682020.78</f>
        <v>19682020.780000001</v>
      </c>
      <c r="D25" s="24">
        <f>8924460.27</f>
        <v>8924460.2699999996</v>
      </c>
      <c r="E25" s="24" t="s">
        <v>58</v>
      </c>
      <c r="F25" s="24" t="s">
        <v>58</v>
      </c>
      <c r="G25" s="24" t="s">
        <v>58</v>
      </c>
      <c r="H25" s="24" t="s">
        <v>58</v>
      </c>
      <c r="I25" s="24" t="s">
        <v>58</v>
      </c>
      <c r="J25" s="35">
        <f t="shared" si="0"/>
        <v>1.079934960367566E-2</v>
      </c>
      <c r="K25" s="35">
        <f t="shared" si="1"/>
        <v>45.343211298042334</v>
      </c>
      <c r="L25" s="29"/>
    </row>
    <row r="26" spans="2:12" ht="13.5" customHeight="1" outlineLevel="1" x14ac:dyDescent="0.2">
      <c r="B26" s="83" t="s">
        <v>7</v>
      </c>
      <c r="C26" s="24">
        <f>3505803154.5</f>
        <v>3505803154.5</v>
      </c>
      <c r="D26" s="24">
        <f>1695339023.41</f>
        <v>1695339023.4100001</v>
      </c>
      <c r="E26" s="24" t="s">
        <v>58</v>
      </c>
      <c r="F26" s="24" t="s">
        <v>58</v>
      </c>
      <c r="G26" s="24" t="s">
        <v>58</v>
      </c>
      <c r="H26" s="24" t="s">
        <v>58</v>
      </c>
      <c r="I26" s="24" t="s">
        <v>58</v>
      </c>
      <c r="J26" s="35">
        <f t="shared" si="0"/>
        <v>2.0515032009390821</v>
      </c>
      <c r="K26" s="35">
        <f t="shared" si="1"/>
        <v>48.358077983753496</v>
      </c>
      <c r="L26" s="29"/>
    </row>
    <row r="27" spans="2:12" ht="13.5" customHeight="1" outlineLevel="1" x14ac:dyDescent="0.2">
      <c r="B27" s="95" t="s">
        <v>6</v>
      </c>
      <c r="C27" s="24">
        <f>445204976.02</f>
        <v>445204976.01999998</v>
      </c>
      <c r="D27" s="24">
        <f>74582301.88</f>
        <v>74582301.879999995</v>
      </c>
      <c r="E27" s="24" t="s">
        <v>58</v>
      </c>
      <c r="F27" s="24" t="s">
        <v>58</v>
      </c>
      <c r="G27" s="24" t="s">
        <v>58</v>
      </c>
      <c r="H27" s="24" t="s">
        <v>58</v>
      </c>
      <c r="I27" s="24" t="s">
        <v>58</v>
      </c>
      <c r="J27" s="35">
        <f t="shared" si="0"/>
        <v>9.0250875445826426E-2</v>
      </c>
      <c r="K27" s="35">
        <f t="shared" si="1"/>
        <v>16.752351365598738</v>
      </c>
      <c r="L27" s="29"/>
    </row>
    <row r="28" spans="2:12" ht="35.1" customHeight="1" outlineLevel="1" x14ac:dyDescent="0.2">
      <c r="B28" s="83" t="s">
        <v>10</v>
      </c>
      <c r="C28" s="24">
        <f>100154981.23</f>
        <v>100154981.23</v>
      </c>
      <c r="D28" s="24">
        <f>67242444.74</f>
        <v>67242444.739999995</v>
      </c>
      <c r="E28" s="24" t="s">
        <v>58</v>
      </c>
      <c r="F28" s="24" t="s">
        <v>58</v>
      </c>
      <c r="G28" s="24" t="s">
        <v>58</v>
      </c>
      <c r="H28" s="24" t="s">
        <v>58</v>
      </c>
      <c r="I28" s="24" t="s">
        <v>58</v>
      </c>
      <c r="J28" s="35">
        <f t="shared" si="0"/>
        <v>8.1369029272747417E-2</v>
      </c>
      <c r="K28" s="35">
        <f t="shared" si="1"/>
        <v>67.13839283298519</v>
      </c>
      <c r="L28" s="29"/>
    </row>
    <row r="29" spans="2:12" ht="13.5" customHeight="1" outlineLevel="1" x14ac:dyDescent="0.2">
      <c r="B29" s="95" t="s">
        <v>6</v>
      </c>
      <c r="C29" s="24">
        <f>16345442.68</f>
        <v>16345442.68</v>
      </c>
      <c r="D29" s="24">
        <f>6881265.55</f>
        <v>6881265.5499999998</v>
      </c>
      <c r="E29" s="24" t="s">
        <v>58</v>
      </c>
      <c r="F29" s="24" t="s">
        <v>58</v>
      </c>
      <c r="G29" s="24" t="s">
        <v>58</v>
      </c>
      <c r="H29" s="24" t="s">
        <v>58</v>
      </c>
      <c r="I29" s="24" t="s">
        <v>58</v>
      </c>
      <c r="J29" s="35">
        <f t="shared" si="0"/>
        <v>8.3269116721810983E-3</v>
      </c>
      <c r="K29" s="35">
        <f t="shared" si="1"/>
        <v>42.09898553815124</v>
      </c>
      <c r="L29" s="29"/>
    </row>
    <row r="30" spans="2:12" ht="24" customHeight="1" outlineLevel="1" x14ac:dyDescent="0.2">
      <c r="B30" s="83" t="s">
        <v>11</v>
      </c>
      <c r="C30" s="24">
        <f>641443925.61</f>
        <v>641443925.61000001</v>
      </c>
      <c r="D30" s="24">
        <f>213173662.4</f>
        <v>213173662.40000001</v>
      </c>
      <c r="E30" s="24" t="s">
        <v>58</v>
      </c>
      <c r="F30" s="24" t="s">
        <v>58</v>
      </c>
      <c r="G30" s="24" t="s">
        <v>58</v>
      </c>
      <c r="H30" s="24" t="s">
        <v>58</v>
      </c>
      <c r="I30" s="24" t="s">
        <v>58</v>
      </c>
      <c r="J30" s="35">
        <f t="shared" si="0"/>
        <v>0.25795811028396554</v>
      </c>
      <c r="K30" s="35">
        <f t="shared" si="1"/>
        <v>33.233405741160652</v>
      </c>
      <c r="L30" s="29"/>
    </row>
    <row r="31" spans="2:12" ht="13.5" customHeight="1" outlineLevel="1" x14ac:dyDescent="0.2">
      <c r="B31" s="95" t="s">
        <v>6</v>
      </c>
      <c r="C31" s="24">
        <f>257962001.95</f>
        <v>257962001.94999999</v>
      </c>
      <c r="D31" s="24">
        <f>25483638.79</f>
        <v>25483638.789999999</v>
      </c>
      <c r="E31" s="24" t="s">
        <v>58</v>
      </c>
      <c r="F31" s="24" t="s">
        <v>58</v>
      </c>
      <c r="G31" s="24" t="s">
        <v>58</v>
      </c>
      <c r="H31" s="24" t="s">
        <v>58</v>
      </c>
      <c r="I31" s="24" t="s">
        <v>58</v>
      </c>
      <c r="J31" s="35">
        <f t="shared" si="0"/>
        <v>3.0837352191719732E-2</v>
      </c>
      <c r="K31" s="35">
        <f t="shared" si="1"/>
        <v>9.8788343234130345</v>
      </c>
      <c r="L31" s="29"/>
    </row>
    <row r="32" spans="2:12" ht="35.1" customHeight="1" outlineLevel="1" x14ac:dyDescent="0.2">
      <c r="B32" s="83" t="s">
        <v>77</v>
      </c>
      <c r="C32" s="24">
        <f>531890730.8</f>
        <v>531890730.80000001</v>
      </c>
      <c r="D32" s="24">
        <f>158356205.53</f>
        <v>158356205.53</v>
      </c>
      <c r="E32" s="24" t="s">
        <v>58</v>
      </c>
      <c r="F32" s="24" t="s">
        <v>58</v>
      </c>
      <c r="G32" s="24" t="s">
        <v>58</v>
      </c>
      <c r="H32" s="24" t="s">
        <v>58</v>
      </c>
      <c r="I32" s="24" t="s">
        <v>58</v>
      </c>
      <c r="J32" s="35">
        <f t="shared" si="0"/>
        <v>0.1916243642406833</v>
      </c>
      <c r="K32" s="35">
        <f t="shared" si="1"/>
        <v>29.772319079864666</v>
      </c>
      <c r="L32" s="29"/>
    </row>
    <row r="33" spans="2:12" ht="13.5" customHeight="1" outlineLevel="1" x14ac:dyDescent="0.2">
      <c r="B33" s="95" t="s">
        <v>6</v>
      </c>
      <c r="C33" s="24">
        <f>472844740.08</f>
        <v>472844740.07999998</v>
      </c>
      <c r="D33" s="24">
        <f>135481875.03</f>
        <v>135481875.03</v>
      </c>
      <c r="E33" s="24" t="s">
        <v>58</v>
      </c>
      <c r="F33" s="24" t="s">
        <v>58</v>
      </c>
      <c r="G33" s="24" t="s">
        <v>58</v>
      </c>
      <c r="H33" s="24" t="s">
        <v>58</v>
      </c>
      <c r="I33" s="24" t="s">
        <v>58</v>
      </c>
      <c r="J33" s="35">
        <f t="shared" si="0"/>
        <v>0.1639444951454152</v>
      </c>
      <c r="K33" s="35">
        <f t="shared" si="1"/>
        <v>28.652507587813709</v>
      </c>
      <c r="L33" s="29"/>
    </row>
    <row r="34" spans="2:12" ht="13.5" customHeight="1" outlineLevel="1" x14ac:dyDescent="0.2">
      <c r="B34" s="83" t="s">
        <v>8</v>
      </c>
      <c r="C34" s="24">
        <f>360261586.73</f>
        <v>360261586.73000002</v>
      </c>
      <c r="D34" s="24">
        <f>87231349.58</f>
        <v>87231349.579999998</v>
      </c>
      <c r="E34" s="24" t="s">
        <v>58</v>
      </c>
      <c r="F34" s="24" t="s">
        <v>58</v>
      </c>
      <c r="G34" s="24" t="s">
        <v>58</v>
      </c>
      <c r="H34" s="24" t="s">
        <v>58</v>
      </c>
      <c r="I34" s="24" t="s">
        <v>58</v>
      </c>
      <c r="J34" s="35">
        <f t="shared" si="0"/>
        <v>0.10555728996649631</v>
      </c>
      <c r="K34" s="35">
        <f t="shared" si="1"/>
        <v>24.213336307036254</v>
      </c>
      <c r="L34" s="29"/>
    </row>
    <row r="35" spans="2:12" ht="13.5" customHeight="1" outlineLevel="1" x14ac:dyDescent="0.2">
      <c r="B35" s="96" t="s">
        <v>6</v>
      </c>
      <c r="C35" s="22">
        <f>330005875.86</f>
        <v>330005875.86000001</v>
      </c>
      <c r="D35" s="22">
        <f>72989013.95</f>
        <v>72989013.950000003</v>
      </c>
      <c r="E35" s="24" t="s">
        <v>58</v>
      </c>
      <c r="F35" s="24" t="s">
        <v>58</v>
      </c>
      <c r="G35" s="24" t="s">
        <v>58</v>
      </c>
      <c r="H35" s="24" t="s">
        <v>58</v>
      </c>
      <c r="I35" s="24" t="s">
        <v>58</v>
      </c>
      <c r="J35" s="35">
        <f t="shared" si="0"/>
        <v>8.8322862674765398E-2</v>
      </c>
      <c r="K35" s="35">
        <f t="shared" si="1"/>
        <v>22.117489199181556</v>
      </c>
      <c r="L35" s="29"/>
    </row>
    <row r="36" spans="2:12" ht="71.099999999999994" customHeight="1" outlineLevel="1" x14ac:dyDescent="0.2">
      <c r="B36" s="83" t="s">
        <v>95</v>
      </c>
      <c r="C36" s="22">
        <f>8368787.41</f>
        <v>8368787.4100000001</v>
      </c>
      <c r="D36" s="22">
        <f>1047446.5</f>
        <v>1047446.5</v>
      </c>
      <c r="E36" s="24" t="s">
        <v>58</v>
      </c>
      <c r="F36" s="24" t="s">
        <v>58</v>
      </c>
      <c r="G36" s="24" t="s">
        <v>58</v>
      </c>
      <c r="H36" s="24" t="s">
        <v>58</v>
      </c>
      <c r="I36" s="24" t="s">
        <v>58</v>
      </c>
      <c r="J36" s="35">
        <f t="shared" si="0"/>
        <v>1.2674986052289812E-3</v>
      </c>
      <c r="K36" s="35">
        <f>IF(C36=0,"",100*D36/C36)</f>
        <v>12.51610835218958</v>
      </c>
      <c r="L36" s="29"/>
    </row>
    <row r="37" spans="2:12" ht="13.5" customHeight="1" outlineLevel="1" x14ac:dyDescent="0.2">
      <c r="B37" s="96" t="s">
        <v>96</v>
      </c>
      <c r="C37" s="22">
        <f>7452447.24</f>
        <v>7452447.2400000002</v>
      </c>
      <c r="D37" s="22">
        <f>757500</f>
        <v>757500</v>
      </c>
      <c r="E37" s="24" t="s">
        <v>58</v>
      </c>
      <c r="F37" s="24" t="s">
        <v>58</v>
      </c>
      <c r="G37" s="24" t="s">
        <v>58</v>
      </c>
      <c r="H37" s="24" t="s">
        <v>58</v>
      </c>
      <c r="I37" s="24" t="s">
        <v>58</v>
      </c>
      <c r="J37" s="35">
        <f t="shared" si="0"/>
        <v>9.1663888653115296E-4</v>
      </c>
      <c r="K37" s="35">
        <f>IF(C37=0,"",100*D37/C37)</f>
        <v>10.164446330250035</v>
      </c>
      <c r="L37" s="29"/>
    </row>
    <row r="38" spans="2:12" ht="48" customHeight="1" outlineLevel="1" x14ac:dyDescent="0.2">
      <c r="B38" s="97" t="s">
        <v>93</v>
      </c>
      <c r="C38" s="22">
        <f>8144323619.89</f>
        <v>8144323619.8900003</v>
      </c>
      <c r="D38" s="22">
        <f>496870192.22</f>
        <v>496870192.22000003</v>
      </c>
      <c r="E38" s="24" t="s">
        <v>58</v>
      </c>
      <c r="F38" s="24" t="s">
        <v>58</v>
      </c>
      <c r="G38" s="24" t="s">
        <v>58</v>
      </c>
      <c r="H38" s="24" t="s">
        <v>58</v>
      </c>
      <c r="I38" s="24" t="s">
        <v>58</v>
      </c>
      <c r="J38" s="35">
        <f t="shared" si="0"/>
        <v>0.60125483794991519</v>
      </c>
      <c r="K38" s="35">
        <f t="shared" si="1"/>
        <v>6.1008159229644026</v>
      </c>
      <c r="L38" s="29"/>
    </row>
    <row r="39" spans="2:12" ht="13.5" customHeight="1" outlineLevel="1" x14ac:dyDescent="0.2">
      <c r="B39" s="96" t="s">
        <v>6</v>
      </c>
      <c r="C39" s="22">
        <f>8004961753.93</f>
        <v>8004961753.9300003</v>
      </c>
      <c r="D39" s="22">
        <f>396759595.99</f>
        <v>396759595.99000001</v>
      </c>
      <c r="E39" s="24" t="s">
        <v>58</v>
      </c>
      <c r="F39" s="24" t="s">
        <v>58</v>
      </c>
      <c r="G39" s="24" t="s">
        <v>58</v>
      </c>
      <c r="H39" s="24" t="s">
        <v>58</v>
      </c>
      <c r="I39" s="24" t="s">
        <v>58</v>
      </c>
      <c r="J39" s="35">
        <f t="shared" si="0"/>
        <v>0.48011257331857915</v>
      </c>
      <c r="K39" s="35">
        <f t="shared" si="1"/>
        <v>4.9564208822760785</v>
      </c>
      <c r="L39" s="29"/>
    </row>
    <row r="40" spans="2:12" outlineLevel="1" x14ac:dyDescent="0.2">
      <c r="B40" s="94" t="s">
        <v>89</v>
      </c>
      <c r="C40" s="45">
        <f>1211095829.5</f>
        <v>1211095829.5</v>
      </c>
      <c r="D40" s="45">
        <f>364116912.41</f>
        <v>364116912.41000003</v>
      </c>
      <c r="E40" s="41" t="s">
        <v>58</v>
      </c>
      <c r="F40" s="41" t="s">
        <v>58</v>
      </c>
      <c r="G40" s="41" t="s">
        <v>58</v>
      </c>
      <c r="H40" s="41" t="s">
        <v>58</v>
      </c>
      <c r="I40" s="41" t="s">
        <v>58</v>
      </c>
      <c r="J40" s="46">
        <f t="shared" si="0"/>
        <v>0.44061217314675083</v>
      </c>
      <c r="K40" s="46">
        <f t="shared" si="1"/>
        <v>30.065078546288561</v>
      </c>
      <c r="L40" s="29"/>
    </row>
    <row r="41" spans="2:12" ht="13.5" customHeight="1" outlineLevel="1" x14ac:dyDescent="0.2">
      <c r="B41" s="96" t="s">
        <v>90</v>
      </c>
      <c r="C41" s="22">
        <f>959679267.5</f>
        <v>959679267.5</v>
      </c>
      <c r="D41" s="22">
        <f>220018885.03</f>
        <v>220018885.03</v>
      </c>
      <c r="E41" s="24" t="s">
        <v>58</v>
      </c>
      <c r="F41" s="24" t="s">
        <v>58</v>
      </c>
      <c r="G41" s="24" t="s">
        <v>58</v>
      </c>
      <c r="H41" s="24" t="s">
        <v>58</v>
      </c>
      <c r="I41" s="24" t="s">
        <v>58</v>
      </c>
      <c r="J41" s="35">
        <f t="shared" si="0"/>
        <v>0.26624140698313525</v>
      </c>
      <c r="K41" s="35">
        <f t="shared" si="1"/>
        <v>22.926293448347316</v>
      </c>
      <c r="L41" s="29"/>
    </row>
    <row r="42" spans="2:12" ht="13.5" customHeight="1" outlineLevel="1" x14ac:dyDescent="0.2">
      <c r="B42" s="94" t="s">
        <v>91</v>
      </c>
      <c r="C42" s="41">
        <f>7657552350.04</f>
        <v>7657552350.04</v>
      </c>
      <c r="D42" s="41">
        <f>2675211693.86</f>
        <v>2675211693.8600001</v>
      </c>
      <c r="E42" s="41" t="s">
        <v>58</v>
      </c>
      <c r="F42" s="41" t="s">
        <v>58</v>
      </c>
      <c r="G42" s="41" t="s">
        <v>58</v>
      </c>
      <c r="H42" s="41" t="s">
        <v>58</v>
      </c>
      <c r="I42" s="41" t="s">
        <v>58</v>
      </c>
      <c r="J42" s="55">
        <f t="shared" si="0"/>
        <v>3.2372317733266667</v>
      </c>
      <c r="K42" s="55">
        <f t="shared" si="1"/>
        <v>34.93559784604053</v>
      </c>
      <c r="L42" s="29"/>
    </row>
    <row r="43" spans="2:12" ht="13.5" customHeight="1" outlineLevel="1" x14ac:dyDescent="0.2">
      <c r="B43" s="96" t="s">
        <v>92</v>
      </c>
      <c r="C43" s="22">
        <f>6182176314.93</f>
        <v>6182176314.9300003</v>
      </c>
      <c r="D43" s="22">
        <f>1640796489.1</f>
        <v>1640796489.0999999</v>
      </c>
      <c r="E43" s="24" t="s">
        <v>58</v>
      </c>
      <c r="F43" s="24" t="s">
        <v>58</v>
      </c>
      <c r="G43" s="24" t="s">
        <v>58</v>
      </c>
      <c r="H43" s="24" t="s">
        <v>58</v>
      </c>
      <c r="I43" s="24" t="s">
        <v>58</v>
      </c>
      <c r="J43" s="35">
        <f t="shared" si="0"/>
        <v>1.9855021343799986</v>
      </c>
      <c r="K43" s="35">
        <f t="shared" si="1"/>
        <v>26.540758553544723</v>
      </c>
      <c r="L43" s="29"/>
    </row>
    <row r="44" spans="2:12" s="5" customFormat="1" ht="25.5" customHeight="1" x14ac:dyDescent="0.2">
      <c r="B44" s="85" t="s">
        <v>61</v>
      </c>
      <c r="C44" s="25">
        <f>C45+C46+C47+C48+C49</f>
        <v>34070574478.049999</v>
      </c>
      <c r="D44" s="25">
        <f>D45+D46+D47+D48+D49</f>
        <v>19772008730</v>
      </c>
      <c r="E44" s="23" t="s">
        <v>58</v>
      </c>
      <c r="F44" s="23" t="s">
        <v>58</v>
      </c>
      <c r="G44" s="23" t="s">
        <v>58</v>
      </c>
      <c r="H44" s="23" t="s">
        <v>58</v>
      </c>
      <c r="I44" s="23" t="s">
        <v>58</v>
      </c>
      <c r="J44" s="34">
        <f t="shared" si="0"/>
        <v>23.925798107922688</v>
      </c>
      <c r="K44" s="34">
        <f t="shared" si="1"/>
        <v>58.032507619553456</v>
      </c>
      <c r="L44" s="30"/>
    </row>
    <row r="45" spans="2:12" ht="13.5" customHeight="1" outlineLevel="1" x14ac:dyDescent="0.2">
      <c r="B45" s="32" t="s">
        <v>48</v>
      </c>
      <c r="C45" s="22">
        <f>9279645739</f>
        <v>9279645739</v>
      </c>
      <c r="D45" s="22">
        <f>4641557394</f>
        <v>4641557394</v>
      </c>
      <c r="E45" s="24" t="s">
        <v>58</v>
      </c>
      <c r="F45" s="24" t="s">
        <v>58</v>
      </c>
      <c r="G45" s="24" t="s">
        <v>58</v>
      </c>
      <c r="H45" s="24" t="s">
        <v>58</v>
      </c>
      <c r="I45" s="24" t="s">
        <v>58</v>
      </c>
      <c r="J45" s="35">
        <f t="shared" si="0"/>
        <v>5.6166759094476566</v>
      </c>
      <c r="K45" s="35">
        <f t="shared" si="1"/>
        <v>50.018691710317242</v>
      </c>
      <c r="L45" s="29"/>
    </row>
    <row r="46" spans="2:12" ht="13.5" customHeight="1" outlineLevel="1" x14ac:dyDescent="0.2">
      <c r="B46" s="54" t="s">
        <v>47</v>
      </c>
      <c r="C46" s="24">
        <f>24360356807</f>
        <v>24360356807</v>
      </c>
      <c r="D46" s="24">
        <f>14872085517</f>
        <v>14872085517</v>
      </c>
      <c r="E46" s="24" t="s">
        <v>58</v>
      </c>
      <c r="F46" s="24" t="s">
        <v>58</v>
      </c>
      <c r="G46" s="24" t="s">
        <v>58</v>
      </c>
      <c r="H46" s="24" t="s">
        <v>58</v>
      </c>
      <c r="I46" s="24" t="s">
        <v>58</v>
      </c>
      <c r="J46" s="35">
        <f t="shared" si="0"/>
        <v>17.996477767259361</v>
      </c>
      <c r="K46" s="35">
        <f t="shared" si="1"/>
        <v>61.050359955017058</v>
      </c>
      <c r="L46" s="29"/>
    </row>
    <row r="47" spans="2:12" ht="13.5" customHeight="1" outlineLevel="1" x14ac:dyDescent="0.2">
      <c r="B47" s="54" t="s">
        <v>46</v>
      </c>
      <c r="C47" s="24">
        <f>20449</f>
        <v>20449</v>
      </c>
      <c r="D47" s="24">
        <f>0</f>
        <v>0</v>
      </c>
      <c r="E47" s="24" t="s">
        <v>58</v>
      </c>
      <c r="F47" s="24" t="s">
        <v>58</v>
      </c>
      <c r="G47" s="24" t="s">
        <v>58</v>
      </c>
      <c r="H47" s="24" t="s">
        <v>58</v>
      </c>
      <c r="I47" s="24" t="s">
        <v>58</v>
      </c>
      <c r="J47" s="35">
        <f t="shared" si="0"/>
        <v>0</v>
      </c>
      <c r="K47" s="35">
        <f t="shared" si="1"/>
        <v>0</v>
      </c>
      <c r="L47" s="29"/>
    </row>
    <row r="48" spans="2:12" ht="13.5" customHeight="1" outlineLevel="1" x14ac:dyDescent="0.2">
      <c r="B48" s="54" t="s">
        <v>45</v>
      </c>
      <c r="C48" s="24">
        <f>341210178</f>
        <v>341210178</v>
      </c>
      <c r="D48" s="24">
        <f>170472606</f>
        <v>170472606</v>
      </c>
      <c r="E48" s="24" t="s">
        <v>58</v>
      </c>
      <c r="F48" s="24" t="s">
        <v>58</v>
      </c>
      <c r="G48" s="24" t="s">
        <v>58</v>
      </c>
      <c r="H48" s="24" t="s">
        <v>58</v>
      </c>
      <c r="I48" s="24" t="s">
        <v>58</v>
      </c>
      <c r="J48" s="35">
        <f t="shared" si="0"/>
        <v>0.20628623069030222</v>
      </c>
      <c r="K48" s="35">
        <f t="shared" si="1"/>
        <v>49.961172611914293</v>
      </c>
      <c r="L48" s="29"/>
    </row>
    <row r="49" spans="1:26" s="5" customFormat="1" ht="13.5" customHeight="1" outlineLevel="1" x14ac:dyDescent="0.2">
      <c r="B49" s="54" t="s">
        <v>43</v>
      </c>
      <c r="C49" s="24">
        <f>89341305.05</f>
        <v>89341305.049999997</v>
      </c>
      <c r="D49" s="24">
        <f>87893213</f>
        <v>87893213</v>
      </c>
      <c r="E49" s="24" t="s">
        <v>58</v>
      </c>
      <c r="F49" s="24" t="s">
        <v>58</v>
      </c>
      <c r="G49" s="24" t="s">
        <v>58</v>
      </c>
      <c r="H49" s="24" t="s">
        <v>58</v>
      </c>
      <c r="I49" s="24" t="s">
        <v>58</v>
      </c>
      <c r="J49" s="35">
        <f t="shared" si="0"/>
        <v>0.10635820052536693</v>
      </c>
      <c r="K49" s="35">
        <f t="shared" si="1"/>
        <v>98.379146074495367</v>
      </c>
      <c r="L49" s="30"/>
    </row>
    <row r="50" spans="1:26" s="5" customFormat="1" x14ac:dyDescent="0.2">
      <c r="A50" s="2"/>
      <c r="B50" s="20"/>
      <c r="C50" s="7"/>
      <c r="D50" s="8"/>
      <c r="E50" s="16"/>
      <c r="F50" s="16"/>
      <c r="G50" s="16"/>
      <c r="H50" s="16"/>
      <c r="I50" s="16"/>
      <c r="J50" s="9"/>
      <c r="K50" s="9"/>
      <c r="L50" s="3"/>
    </row>
    <row r="51" spans="1:26" s="5" customFormat="1" ht="13.5" customHeight="1" x14ac:dyDescent="0.2">
      <c r="A51" s="2"/>
      <c r="B51" s="84" t="s">
        <v>5</v>
      </c>
      <c r="C51" s="41">
        <f t="shared" ref="C51:I51" si="4">+C6</f>
        <v>152721158998.45999</v>
      </c>
      <c r="D51" s="41">
        <f t="shared" si="4"/>
        <v>82638868057.039993</v>
      </c>
      <c r="E51" s="41">
        <f t="shared" si="4"/>
        <v>1607695100.9400001</v>
      </c>
      <c r="F51" s="41">
        <f t="shared" si="4"/>
        <v>440647581.75</v>
      </c>
      <c r="G51" s="41">
        <f t="shared" si="4"/>
        <v>43169746.240000002</v>
      </c>
      <c r="H51" s="41">
        <f t="shared" si="4"/>
        <v>88402847.870000005</v>
      </c>
      <c r="I51" s="41">
        <f t="shared" si="4"/>
        <v>2991812.73</v>
      </c>
      <c r="J51" s="56">
        <f t="shared" si="0"/>
        <v>100</v>
      </c>
      <c r="K51" s="78">
        <f>IF(C51=0,"",100*D51/C51)</f>
        <v>54.110948737544156</v>
      </c>
      <c r="L51" s="80"/>
    </row>
    <row r="52" spans="1:26" s="5" customFormat="1" ht="13.5" customHeight="1" x14ac:dyDescent="0.2">
      <c r="A52" s="2"/>
      <c r="B52" s="86" t="s">
        <v>71</v>
      </c>
      <c r="C52" s="24">
        <f>23714837218.82</f>
        <v>23714837218.82</v>
      </c>
      <c r="D52" s="24">
        <f>5069334459.73</f>
        <v>5069334459.7299995</v>
      </c>
      <c r="E52" s="24">
        <f>0</f>
        <v>0</v>
      </c>
      <c r="F52" s="24">
        <f>0</f>
        <v>0</v>
      </c>
      <c r="G52" s="24">
        <f>0</f>
        <v>0</v>
      </c>
      <c r="H52" s="24">
        <f>111437</f>
        <v>111437</v>
      </c>
      <c r="I52" s="24">
        <f>4840.65</f>
        <v>4840.6499999999996</v>
      </c>
      <c r="J52" s="38">
        <f t="shared" si="0"/>
        <v>6.1343222371233139</v>
      </c>
      <c r="K52" s="79">
        <f>IF(C52=0,"",100*D52/C52)</f>
        <v>21.376214447329186</v>
      </c>
      <c r="L52" s="80"/>
    </row>
    <row r="53" spans="1:26" s="5" customFormat="1" ht="13.5" customHeight="1" x14ac:dyDescent="0.2">
      <c r="A53" s="2"/>
      <c r="B53" s="86" t="s">
        <v>72</v>
      </c>
      <c r="C53" s="24">
        <f>C51-C52</f>
        <v>129006321779.63998</v>
      </c>
      <c r="D53" s="24">
        <f t="shared" ref="D53:I53" si="5">D51-D52</f>
        <v>77569533597.309998</v>
      </c>
      <c r="E53" s="24">
        <f t="shared" si="5"/>
        <v>1607695100.9400001</v>
      </c>
      <c r="F53" s="24">
        <f t="shared" si="5"/>
        <v>440647581.75</v>
      </c>
      <c r="G53" s="24">
        <f t="shared" si="5"/>
        <v>43169746.240000002</v>
      </c>
      <c r="H53" s="24">
        <f t="shared" si="5"/>
        <v>88291410.870000005</v>
      </c>
      <c r="I53" s="24">
        <f t="shared" si="5"/>
        <v>2986972.08</v>
      </c>
      <c r="J53" s="38">
        <f t="shared" si="0"/>
        <v>93.8656777628767</v>
      </c>
      <c r="K53" s="79">
        <f>IF(C53=0,"",100*D53/C53)</f>
        <v>60.128474734601859</v>
      </c>
      <c r="L53" s="80"/>
    </row>
    <row r="54" spans="1:26" ht="15" x14ac:dyDescent="0.2">
      <c r="B54" s="92" t="str">
        <f>CONCATENATE("Informacja z wykonania budżetów gmin za ",$D$111," ",$C$112," rok")</f>
        <v>Informacja z wykonania budżetów gmin za II Kwartały 2022 rok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</row>
    <row r="55" spans="1:26" s="5" customFormat="1" ht="7.5" customHeight="1" x14ac:dyDescent="0.2">
      <c r="B55" s="6"/>
      <c r="C55" s="7"/>
      <c r="D55" s="8"/>
      <c r="E55" s="8"/>
      <c r="F55" s="4"/>
      <c r="G55" s="4"/>
      <c r="H55" s="4"/>
      <c r="I55" s="4"/>
      <c r="J55" s="4"/>
      <c r="K55" s="9"/>
      <c r="L55" s="9"/>
      <c r="M55" s="3"/>
    </row>
    <row r="56" spans="1:26" ht="29.25" customHeight="1" x14ac:dyDescent="0.2">
      <c r="B56" s="114" t="s">
        <v>0</v>
      </c>
      <c r="C56" s="106" t="s">
        <v>54</v>
      </c>
      <c r="D56" s="106" t="s">
        <v>56</v>
      </c>
      <c r="E56" s="106" t="s">
        <v>55</v>
      </c>
      <c r="F56" s="106" t="s">
        <v>12</v>
      </c>
      <c r="G56" s="106"/>
      <c r="H56" s="106"/>
      <c r="I56" s="126" t="s">
        <v>83</v>
      </c>
      <c r="J56" s="106" t="s">
        <v>2</v>
      </c>
      <c r="K56" s="125" t="s">
        <v>18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8" customHeight="1" x14ac:dyDescent="0.2">
      <c r="B57" s="114"/>
      <c r="C57" s="106"/>
      <c r="D57" s="106"/>
      <c r="E57" s="107"/>
      <c r="F57" s="108" t="s">
        <v>57</v>
      </c>
      <c r="G57" s="129" t="s">
        <v>34</v>
      </c>
      <c r="H57" s="107"/>
      <c r="I57" s="127"/>
      <c r="J57" s="106"/>
      <c r="K57" s="125"/>
      <c r="L57" s="11"/>
      <c r="M57" s="12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57.75" customHeight="1" x14ac:dyDescent="0.2">
      <c r="B58" s="114"/>
      <c r="C58" s="106"/>
      <c r="D58" s="106"/>
      <c r="E58" s="107"/>
      <c r="F58" s="107"/>
      <c r="G58" s="18" t="s">
        <v>52</v>
      </c>
      <c r="H58" s="18" t="s">
        <v>53</v>
      </c>
      <c r="I58" s="128"/>
      <c r="J58" s="106"/>
      <c r="K58" s="125"/>
      <c r="L58" s="11"/>
      <c r="M58" s="10"/>
      <c r="N58" s="21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3.5" customHeight="1" x14ac:dyDescent="0.2">
      <c r="B59" s="114"/>
      <c r="C59" s="109" t="s">
        <v>76</v>
      </c>
      <c r="D59" s="110"/>
      <c r="E59" s="110"/>
      <c r="F59" s="110"/>
      <c r="G59" s="110"/>
      <c r="H59" s="110"/>
      <c r="I59" s="111"/>
      <c r="J59" s="115" t="s">
        <v>4</v>
      </c>
      <c r="K59" s="115"/>
      <c r="N59" s="21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1.25" customHeight="1" x14ac:dyDescent="0.2">
      <c r="B60" s="17">
        <v>1</v>
      </c>
      <c r="C60" s="19">
        <v>2</v>
      </c>
      <c r="D60" s="19">
        <v>3</v>
      </c>
      <c r="E60" s="19">
        <v>4</v>
      </c>
      <c r="F60" s="17">
        <v>5</v>
      </c>
      <c r="G60" s="17">
        <v>6</v>
      </c>
      <c r="H60" s="19">
        <v>7</v>
      </c>
      <c r="I60" s="19">
        <v>8</v>
      </c>
      <c r="J60" s="17">
        <v>9</v>
      </c>
      <c r="K60" s="19">
        <v>10</v>
      </c>
      <c r="M60" s="10"/>
      <c r="N60" s="21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5.5" customHeight="1" x14ac:dyDescent="0.2">
      <c r="B61" s="84" t="s">
        <v>62</v>
      </c>
      <c r="C61" s="57">
        <f>177289527408.65</f>
        <v>177289527408.64999</v>
      </c>
      <c r="D61" s="68">
        <f>77019483205.89</f>
        <v>77019483205.889999</v>
      </c>
      <c r="E61" s="68">
        <f>122620378988.45</f>
        <v>122620378988.45</v>
      </c>
      <c r="F61" s="57">
        <f>3057789414.19</f>
        <v>3057789414.1900001</v>
      </c>
      <c r="G61" s="57">
        <f>1158877.23</f>
        <v>1158877.23</v>
      </c>
      <c r="H61" s="57">
        <f>12052569.52</f>
        <v>12052569.52</v>
      </c>
      <c r="I61" s="69">
        <f>0</f>
        <v>0</v>
      </c>
      <c r="J61" s="52">
        <f>IF($D$61=0,"",100*$D61/$D$61)</f>
        <v>100</v>
      </c>
      <c r="K61" s="52">
        <f>IF(C61=0,"",100*D61/C61)</f>
        <v>43.442770891007633</v>
      </c>
      <c r="N61" s="77"/>
    </row>
    <row r="62" spans="1:26" ht="13.5" customHeight="1" x14ac:dyDescent="0.2">
      <c r="B62" s="85" t="s">
        <v>14</v>
      </c>
      <c r="C62" s="26">
        <f>47706517236.73</f>
        <v>47706517236.730003</v>
      </c>
      <c r="D62" s="26">
        <f>7750348728.51</f>
        <v>7750348728.5100002</v>
      </c>
      <c r="E62" s="26">
        <f>21914432711.71</f>
        <v>21914432711.709999</v>
      </c>
      <c r="F62" s="26">
        <f>986797036.720001</f>
        <v>986797036.72000098</v>
      </c>
      <c r="G62" s="26">
        <f>71965.24</f>
        <v>71965.240000000005</v>
      </c>
      <c r="H62" s="26">
        <f>5120804.11</f>
        <v>5120804.1100000003</v>
      </c>
      <c r="I62" s="70">
        <f>0</f>
        <v>0</v>
      </c>
      <c r="J62" s="52">
        <f t="shared" ref="J62:J70" si="6">IF($D$61=0,"",100*$D62/$D$61)</f>
        <v>10.06284177185611</v>
      </c>
      <c r="K62" s="52">
        <f t="shared" ref="K62:K70" si="7">IF(C62=0,"",100*D62/C62)</f>
        <v>16.245890870740158</v>
      </c>
      <c r="N62" s="61"/>
    </row>
    <row r="63" spans="1:26" ht="13.5" customHeight="1" outlineLevel="1" x14ac:dyDescent="0.2">
      <c r="B63" s="32" t="s">
        <v>13</v>
      </c>
      <c r="C63" s="22">
        <f>46370275459.72</f>
        <v>46370275459.720001</v>
      </c>
      <c r="D63" s="22">
        <f>7048842265.57</f>
        <v>7048842265.5699997</v>
      </c>
      <c r="E63" s="22">
        <f>21138436453.72</f>
        <v>21138436453.720001</v>
      </c>
      <c r="F63" s="22">
        <f>976454609.660001</f>
        <v>976454609.66000104</v>
      </c>
      <c r="G63" s="22">
        <f>71965.24</f>
        <v>71965.240000000005</v>
      </c>
      <c r="H63" s="22">
        <f>5120804.11</f>
        <v>5120804.1100000003</v>
      </c>
      <c r="I63" s="66">
        <f>0</f>
        <v>0</v>
      </c>
      <c r="J63" s="52">
        <f t="shared" si="6"/>
        <v>9.1520248801551887</v>
      </c>
      <c r="K63" s="52">
        <f t="shared" si="7"/>
        <v>15.201208523535829</v>
      </c>
      <c r="N63" s="76"/>
    </row>
    <row r="64" spans="1:26" ht="27" customHeight="1" x14ac:dyDescent="0.2">
      <c r="B64" s="85" t="s">
        <v>63</v>
      </c>
      <c r="C64" s="26">
        <f t="shared" ref="C64:I64" si="8">C61-C62</f>
        <v>129583010171.91998</v>
      </c>
      <c r="D64" s="26">
        <f>D61-D62</f>
        <v>69269134477.380005</v>
      </c>
      <c r="E64" s="26">
        <f>E61-E62</f>
        <v>100705946276.73999</v>
      </c>
      <c r="F64" s="26">
        <f t="shared" si="8"/>
        <v>2070992377.4699991</v>
      </c>
      <c r="G64" s="26">
        <f t="shared" si="8"/>
        <v>1086911.99</v>
      </c>
      <c r="H64" s="26">
        <f t="shared" si="8"/>
        <v>6931765.4099999992</v>
      </c>
      <c r="I64" s="70">
        <f t="shared" si="8"/>
        <v>0</v>
      </c>
      <c r="J64" s="52">
        <f t="shared" si="6"/>
        <v>89.937158228143886</v>
      </c>
      <c r="K64" s="52">
        <f t="shared" si="7"/>
        <v>53.455413935422136</v>
      </c>
      <c r="N64" s="61"/>
    </row>
    <row r="65" spans="2:14" ht="22.5" outlineLevel="1" x14ac:dyDescent="0.2">
      <c r="B65" s="32" t="s">
        <v>100</v>
      </c>
      <c r="C65" s="22">
        <f>52401796780.46</f>
        <v>52401796780.459999</v>
      </c>
      <c r="D65" s="22">
        <f>26164655573.72</f>
        <v>26164655573.720001</v>
      </c>
      <c r="E65" s="22">
        <f>45346994400.8701</f>
        <v>45346994400.870102</v>
      </c>
      <c r="F65" s="22">
        <f>870421463.300001</f>
        <v>870421463.30000103</v>
      </c>
      <c r="G65" s="22">
        <f>791281.98</f>
        <v>791281.98</v>
      </c>
      <c r="H65" s="22">
        <f>147595.31</f>
        <v>147595.31</v>
      </c>
      <c r="I65" s="66">
        <f>0</f>
        <v>0</v>
      </c>
      <c r="J65" s="52">
        <f t="shared" si="6"/>
        <v>33.971476416916651</v>
      </c>
      <c r="K65" s="52">
        <f t="shared" si="7"/>
        <v>49.930836691226752</v>
      </c>
      <c r="N65" s="76"/>
    </row>
    <row r="66" spans="2:14" ht="13.5" customHeight="1" outlineLevel="1" x14ac:dyDescent="0.2">
      <c r="B66" s="54" t="s">
        <v>51</v>
      </c>
      <c r="C66" s="59">
        <f>10396868822.51</f>
        <v>10396868822.51</v>
      </c>
      <c r="D66" s="59">
        <f>5408193283.54</f>
        <v>5408193283.54</v>
      </c>
      <c r="E66" s="59">
        <f>7344531415.53</f>
        <v>7344531415.5299997</v>
      </c>
      <c r="F66" s="59">
        <f>43393481.14</f>
        <v>43393481.140000001</v>
      </c>
      <c r="G66" s="59">
        <f>0</f>
        <v>0</v>
      </c>
      <c r="H66" s="59">
        <f>0</f>
        <v>0</v>
      </c>
      <c r="I66" s="71">
        <f>0</f>
        <v>0</v>
      </c>
      <c r="J66" s="52">
        <f t="shared" si="6"/>
        <v>7.0218509115189871</v>
      </c>
      <c r="K66" s="52">
        <f t="shared" si="7"/>
        <v>52.017519657753652</v>
      </c>
      <c r="N66" s="75"/>
    </row>
    <row r="67" spans="2:14" ht="13.5" customHeight="1" outlineLevel="1" x14ac:dyDescent="0.2">
      <c r="B67" s="54" t="s">
        <v>50</v>
      </c>
      <c r="C67" s="24">
        <f>1300758248.12</f>
        <v>1300758248.1199999</v>
      </c>
      <c r="D67" s="24">
        <f>608660858.65</f>
        <v>608660858.64999998</v>
      </c>
      <c r="E67" s="24">
        <f>763571005.48</f>
        <v>763571005.48000002</v>
      </c>
      <c r="F67" s="24">
        <f>58260201.01</f>
        <v>58260201.009999998</v>
      </c>
      <c r="G67" s="24">
        <f>0</f>
        <v>0</v>
      </c>
      <c r="H67" s="24">
        <f>60742.88</f>
        <v>60742.879999999997</v>
      </c>
      <c r="I67" s="72">
        <f>0</f>
        <v>0</v>
      </c>
      <c r="J67" s="52">
        <f t="shared" si="6"/>
        <v>0.79026868698004094</v>
      </c>
      <c r="K67" s="52">
        <f t="shared" si="7"/>
        <v>46.792773332762195</v>
      </c>
      <c r="N67" s="76"/>
    </row>
    <row r="68" spans="2:14" ht="24" customHeight="1" outlineLevel="1" x14ac:dyDescent="0.2">
      <c r="B68" s="54" t="s">
        <v>69</v>
      </c>
      <c r="C68" s="59">
        <f>130388806.13</f>
        <v>130388806.13</v>
      </c>
      <c r="D68" s="59">
        <f>2063683.34</f>
        <v>2063683.34</v>
      </c>
      <c r="E68" s="59">
        <f>13364827.71</f>
        <v>13364827.710000001</v>
      </c>
      <c r="F68" s="59">
        <f>0</f>
        <v>0</v>
      </c>
      <c r="G68" s="59">
        <f>0</f>
        <v>0</v>
      </c>
      <c r="H68" s="59">
        <f>0</f>
        <v>0</v>
      </c>
      <c r="I68" s="71">
        <f>0</f>
        <v>0</v>
      </c>
      <c r="J68" s="52">
        <f t="shared" si="6"/>
        <v>2.6794302611500534E-3</v>
      </c>
      <c r="K68" s="52">
        <f t="shared" si="7"/>
        <v>1.5827151127854262</v>
      </c>
      <c r="N68" s="75"/>
    </row>
    <row r="69" spans="2:14" ht="13.5" customHeight="1" outlineLevel="1" x14ac:dyDescent="0.2">
      <c r="B69" s="54" t="s">
        <v>70</v>
      </c>
      <c r="C69" s="59">
        <f>27802757918.95</f>
        <v>27802757918.950001</v>
      </c>
      <c r="D69" s="59">
        <f>20624575590.63</f>
        <v>20624575590.630001</v>
      </c>
      <c r="E69" s="59">
        <f>23737211236.42</f>
        <v>23737211236.419998</v>
      </c>
      <c r="F69" s="59">
        <f>153914512.2</f>
        <v>153914512.19999999</v>
      </c>
      <c r="G69" s="59">
        <f>3458.4</f>
        <v>3458.4</v>
      </c>
      <c r="H69" s="59">
        <f>13069.31</f>
        <v>13069.31</v>
      </c>
      <c r="I69" s="73">
        <f>0</f>
        <v>0</v>
      </c>
      <c r="J69" s="52">
        <f t="shared" si="6"/>
        <v>26.778387405555524</v>
      </c>
      <c r="K69" s="52">
        <f t="shared" si="7"/>
        <v>74.181761574712539</v>
      </c>
      <c r="N69" s="75"/>
    </row>
    <row r="70" spans="2:14" ht="13.5" customHeight="1" outlineLevel="1" x14ac:dyDescent="0.2">
      <c r="B70" s="54" t="s">
        <v>49</v>
      </c>
      <c r="C70" s="24">
        <f t="shared" ref="C70:I70" si="9">C64-C65-C66-C67-C68-C69</f>
        <v>37550439595.749985</v>
      </c>
      <c r="D70" s="24">
        <f>D64-D65-D66-D67-D68-D69</f>
        <v>16460985487.500004</v>
      </c>
      <c r="E70" s="24">
        <f>E64-E65-E66-E67-E68-E69</f>
        <v>23500273390.729889</v>
      </c>
      <c r="F70" s="24">
        <f t="shared" si="9"/>
        <v>945002719.81999803</v>
      </c>
      <c r="G70" s="24">
        <f t="shared" si="9"/>
        <v>292171.61</v>
      </c>
      <c r="H70" s="24">
        <f t="shared" si="9"/>
        <v>6710357.9100000001</v>
      </c>
      <c r="I70" s="71">
        <f t="shared" si="9"/>
        <v>0</v>
      </c>
      <c r="J70" s="52">
        <f t="shared" si="6"/>
        <v>21.372495376911548</v>
      </c>
      <c r="K70" s="52">
        <f t="shared" si="7"/>
        <v>43.83699808766842</v>
      </c>
      <c r="N70" s="76"/>
    </row>
    <row r="71" spans="2:14" ht="18" customHeight="1" x14ac:dyDescent="0.2">
      <c r="B71" s="84" t="s">
        <v>15</v>
      </c>
      <c r="C71" s="26">
        <f>C6-C61</f>
        <v>-24568368410.190002</v>
      </c>
      <c r="D71" s="26">
        <f>D6-D61</f>
        <v>5619384851.1499939</v>
      </c>
      <c r="E71" s="81"/>
      <c r="F71" s="61"/>
      <c r="G71" s="61"/>
      <c r="H71" s="61"/>
      <c r="I71" s="82"/>
      <c r="J71" s="28"/>
      <c r="K71" s="28"/>
      <c r="L71" s="13"/>
      <c r="N71" s="61"/>
    </row>
    <row r="72" spans="2:14" ht="38.25" x14ac:dyDescent="0.2">
      <c r="B72" s="87" t="s">
        <v>105</v>
      </c>
      <c r="C72" s="26">
        <f>+C53-C64</f>
        <v>-576688392.27999878</v>
      </c>
      <c r="D72" s="26">
        <f>+D53-D64</f>
        <v>8300399119.9299927</v>
      </c>
      <c r="E72" s="81"/>
      <c r="F72" s="61"/>
      <c r="G72" s="61"/>
      <c r="H72" s="61"/>
      <c r="I72" s="61"/>
      <c r="J72" s="28"/>
      <c r="K72" s="28"/>
      <c r="L72" s="13"/>
      <c r="N72" s="61"/>
    </row>
    <row r="73" spans="2:14" ht="13.5" thickBot="1" x14ac:dyDescent="0.25">
      <c r="B73" s="60"/>
      <c r="C73" s="61"/>
      <c r="D73" s="61"/>
      <c r="E73" s="61"/>
      <c r="F73" s="61"/>
      <c r="G73" s="61"/>
      <c r="H73" s="61"/>
      <c r="I73" s="61"/>
      <c r="J73" s="61"/>
      <c r="K73" s="28"/>
      <c r="L73" s="28"/>
      <c r="M73" s="13"/>
    </row>
    <row r="74" spans="2:14" ht="14.25" customHeight="1" x14ac:dyDescent="0.2">
      <c r="B74" s="88" t="s">
        <v>73</v>
      </c>
      <c r="C74" s="61"/>
      <c r="D74" s="61"/>
      <c r="E74" s="61"/>
      <c r="F74" s="61"/>
      <c r="G74" s="61"/>
      <c r="H74" s="61"/>
      <c r="I74" s="61"/>
      <c r="J74" s="61"/>
      <c r="K74" s="28"/>
      <c r="L74" s="28"/>
      <c r="M74" s="13"/>
    </row>
    <row r="75" spans="2:14" ht="27" customHeight="1" x14ac:dyDescent="0.2">
      <c r="B75" s="84" t="s">
        <v>107</v>
      </c>
      <c r="C75" s="41">
        <f>11967199821.83</f>
        <v>11967199821.83</v>
      </c>
      <c r="D75" s="41">
        <f>2657472510.83999</f>
        <v>2657472510.8399901</v>
      </c>
      <c r="E75" s="41">
        <f>6000571870.32998</f>
        <v>6000571870.3299799</v>
      </c>
      <c r="F75" s="41">
        <f>242272801.24</f>
        <v>242272801.24000001</v>
      </c>
      <c r="G75" s="41">
        <f>0</f>
        <v>0</v>
      </c>
      <c r="H75" s="41">
        <f>735659.24</f>
        <v>735659.24</v>
      </c>
      <c r="I75" s="41">
        <f>0</f>
        <v>0</v>
      </c>
      <c r="J75" s="62">
        <f>IF($D$75=0,"",100*$D75/$D$75)</f>
        <v>100</v>
      </c>
      <c r="K75" s="62">
        <f>IF(C75=0,"",100*D75/C75)</f>
        <v>22.206301811659856</v>
      </c>
      <c r="L75" s="13"/>
    </row>
    <row r="76" spans="2:14" ht="15" customHeight="1" x14ac:dyDescent="0.2">
      <c r="B76" s="89" t="s">
        <v>74</v>
      </c>
      <c r="C76" s="22">
        <f>9906272350.8</f>
        <v>9906272350.7999992</v>
      </c>
      <c r="D76" s="22">
        <f>2147943243.76</f>
        <v>2147943243.7600002</v>
      </c>
      <c r="E76" s="22">
        <f>5206493152.72</f>
        <v>5206493152.7200003</v>
      </c>
      <c r="F76" s="22">
        <f>213804663.82</f>
        <v>213804663.81999999</v>
      </c>
      <c r="G76" s="22">
        <f>0</f>
        <v>0</v>
      </c>
      <c r="H76" s="22">
        <f>723845</f>
        <v>723845</v>
      </c>
      <c r="I76" s="22">
        <f>0</f>
        <v>0</v>
      </c>
      <c r="J76" s="62">
        <f>IF($D$75=0,"",100*$D76/$D$75)</f>
        <v>80.826546088375721</v>
      </c>
      <c r="K76" s="62">
        <f>IF(C76=0,"",100*D76/C76)</f>
        <v>21.682658902332108</v>
      </c>
      <c r="L76" s="13"/>
    </row>
    <row r="77" spans="2:14" ht="14.25" customHeight="1" x14ac:dyDescent="0.2">
      <c r="B77" s="90" t="s">
        <v>75</v>
      </c>
      <c r="C77" s="22">
        <f>+C75-C76</f>
        <v>2060927471.0300007</v>
      </c>
      <c r="D77" s="22">
        <f t="shared" ref="D77:I77" si="10">+D75-D76</f>
        <v>509529267.07998991</v>
      </c>
      <c r="E77" s="22">
        <f t="shared" si="10"/>
        <v>794078717.60997963</v>
      </c>
      <c r="F77" s="22">
        <f t="shared" si="10"/>
        <v>28468137.420000017</v>
      </c>
      <c r="G77" s="22">
        <f t="shared" si="10"/>
        <v>0</v>
      </c>
      <c r="H77" s="22">
        <f t="shared" si="10"/>
        <v>11814.239999999991</v>
      </c>
      <c r="I77" s="22">
        <f t="shared" si="10"/>
        <v>0</v>
      </c>
      <c r="J77" s="62">
        <f>IF($D$75=0,"",100*$D77/$D$75)</f>
        <v>19.173453911624275</v>
      </c>
      <c r="K77" s="62">
        <f>IF(C77=0,"",100*D77/C77)</f>
        <v>24.723299302975459</v>
      </c>
      <c r="L77" s="10"/>
    </row>
    <row r="78" spans="2:14" ht="15" x14ac:dyDescent="0.2">
      <c r="B78" s="92" t="str">
        <f>CONCATENATE("Informacja z wykonania budżetów gmin za ",$D$111," ",$C$112," rok")</f>
        <v>Informacja z wykonania budżetów gmin za II Kwartały 2022 rok</v>
      </c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</row>
    <row r="80" spans="2:14" ht="18" customHeight="1" x14ac:dyDescent="0.2">
      <c r="B80" s="40" t="s">
        <v>16</v>
      </c>
      <c r="C80" s="67" t="s">
        <v>17</v>
      </c>
      <c r="D80" s="67" t="s">
        <v>1</v>
      </c>
      <c r="E80" s="116" t="s">
        <v>58</v>
      </c>
      <c r="F80" s="117"/>
      <c r="G80" s="117"/>
      <c r="H80" s="117"/>
      <c r="I80" s="118"/>
      <c r="J80" s="19" t="s">
        <v>26</v>
      </c>
      <c r="K80" s="19" t="s">
        <v>27</v>
      </c>
    </row>
    <row r="81" spans="2:13" ht="13.5" customHeight="1" x14ac:dyDescent="0.2">
      <c r="B81" s="40"/>
      <c r="C81" s="108" t="s">
        <v>76</v>
      </c>
      <c r="D81" s="112"/>
      <c r="E81" s="119"/>
      <c r="F81" s="120"/>
      <c r="G81" s="120"/>
      <c r="H81" s="120"/>
      <c r="I81" s="121"/>
      <c r="J81" s="108" t="s">
        <v>4</v>
      </c>
      <c r="K81" s="113"/>
      <c r="M81" s="14"/>
    </row>
    <row r="82" spans="2:13" ht="11.25" customHeight="1" x14ac:dyDescent="0.2">
      <c r="B82" s="39">
        <v>1</v>
      </c>
      <c r="C82" s="42">
        <v>2</v>
      </c>
      <c r="D82" s="42">
        <v>3</v>
      </c>
      <c r="E82" s="122"/>
      <c r="F82" s="123"/>
      <c r="G82" s="123"/>
      <c r="H82" s="123"/>
      <c r="I82" s="124"/>
      <c r="J82" s="31">
        <v>4</v>
      </c>
      <c r="K82" s="31">
        <v>5</v>
      </c>
      <c r="M82" s="10"/>
    </row>
    <row r="83" spans="2:13" ht="27" customHeight="1" x14ac:dyDescent="0.2">
      <c r="B83" s="91" t="s">
        <v>64</v>
      </c>
      <c r="C83" s="43">
        <f>29452179802.39</f>
        <v>29452179802.389999</v>
      </c>
      <c r="D83" s="43">
        <f>28115689360.6</f>
        <v>28115689360.599998</v>
      </c>
      <c r="E83" s="43" t="s">
        <v>58</v>
      </c>
      <c r="F83" s="43" t="s">
        <v>58</v>
      </c>
      <c r="G83" s="43" t="s">
        <v>58</v>
      </c>
      <c r="H83" s="43" t="s">
        <v>58</v>
      </c>
      <c r="I83" s="43" t="s">
        <v>58</v>
      </c>
      <c r="J83" s="37">
        <f t="shared" ref="J83:J91" si="11">IF($D$83=0,"",100*$D83/$D$83)</f>
        <v>100</v>
      </c>
      <c r="K83" s="36">
        <f t="shared" ref="K83:K96" si="12">IF(C83=0,"",100*D83/C83)</f>
        <v>95.462167993142756</v>
      </c>
    </row>
    <row r="84" spans="2:13" ht="36" customHeight="1" x14ac:dyDescent="0.2">
      <c r="B84" s="99" t="s">
        <v>108</v>
      </c>
      <c r="C84" s="44">
        <f>8760655810.43</f>
        <v>8760655810.4300003</v>
      </c>
      <c r="D84" s="44">
        <f>380447717.16</f>
        <v>380447717.16000003</v>
      </c>
      <c r="E84" s="43" t="s">
        <v>58</v>
      </c>
      <c r="F84" s="43" t="s">
        <v>58</v>
      </c>
      <c r="G84" s="43" t="s">
        <v>58</v>
      </c>
      <c r="H84" s="43" t="s">
        <v>58</v>
      </c>
      <c r="I84" s="43" t="s">
        <v>58</v>
      </c>
      <c r="J84" s="50">
        <f t="shared" si="11"/>
        <v>1.3531509481433577</v>
      </c>
      <c r="K84" s="51">
        <f t="shared" si="12"/>
        <v>4.3426853581789837</v>
      </c>
    </row>
    <row r="85" spans="2:13" ht="22.5" x14ac:dyDescent="0.2">
      <c r="B85" s="100" t="s">
        <v>84</v>
      </c>
      <c r="C85" s="63">
        <f>288409624.58</f>
        <v>288409624.57999998</v>
      </c>
      <c r="D85" s="63">
        <f>2000000</f>
        <v>2000000</v>
      </c>
      <c r="E85" s="43" t="s">
        <v>58</v>
      </c>
      <c r="F85" s="43" t="s">
        <v>58</v>
      </c>
      <c r="G85" s="43" t="s">
        <v>58</v>
      </c>
      <c r="H85" s="43" t="s">
        <v>58</v>
      </c>
      <c r="I85" s="43" t="s">
        <v>58</v>
      </c>
      <c r="J85" s="64">
        <f t="shared" si="11"/>
        <v>7.1134659881493274E-3</v>
      </c>
      <c r="K85" s="58">
        <f t="shared" si="12"/>
        <v>0.69345813369180187</v>
      </c>
    </row>
    <row r="86" spans="2:13" ht="13.5" customHeight="1" x14ac:dyDescent="0.2">
      <c r="B86" s="101" t="s">
        <v>85</v>
      </c>
      <c r="C86" s="63">
        <f>96090340.45</f>
        <v>96090340.450000003</v>
      </c>
      <c r="D86" s="63">
        <f>24863076.82</f>
        <v>24863076.82</v>
      </c>
      <c r="E86" s="43" t="s">
        <v>58</v>
      </c>
      <c r="F86" s="43" t="s">
        <v>58</v>
      </c>
      <c r="G86" s="43" t="s">
        <v>58</v>
      </c>
      <c r="H86" s="43" t="s">
        <v>58</v>
      </c>
      <c r="I86" s="43" t="s">
        <v>58</v>
      </c>
      <c r="J86" s="64">
        <f t="shared" si="11"/>
        <v>8.8431325659906967E-2</v>
      </c>
      <c r="K86" s="58">
        <f t="shared" si="12"/>
        <v>25.874689072349934</v>
      </c>
    </row>
    <row r="87" spans="2:13" ht="50.1" customHeight="1" x14ac:dyDescent="0.2">
      <c r="B87" s="101" t="s">
        <v>101</v>
      </c>
      <c r="C87" s="63">
        <f>3510759925.12</f>
        <v>3510759925.1199999</v>
      </c>
      <c r="D87" s="63">
        <f>5981414611.41</f>
        <v>5981414611.4099998</v>
      </c>
      <c r="E87" s="43" t="s">
        <v>58</v>
      </c>
      <c r="F87" s="43" t="s">
        <v>58</v>
      </c>
      <c r="G87" s="43" t="s">
        <v>58</v>
      </c>
      <c r="H87" s="43" t="s">
        <v>58</v>
      </c>
      <c r="I87" s="43" t="s">
        <v>58</v>
      </c>
      <c r="J87" s="64">
        <f t="shared" si="11"/>
        <v>21.27429469964223</v>
      </c>
      <c r="K87" s="58">
        <f t="shared" si="12"/>
        <v>170.37378627379516</v>
      </c>
    </row>
    <row r="88" spans="2:13" ht="35.1" customHeight="1" x14ac:dyDescent="0.2">
      <c r="B88" s="101" t="s">
        <v>98</v>
      </c>
      <c r="C88" s="63">
        <f>6527680117.8</f>
        <v>6527680117.8000002</v>
      </c>
      <c r="D88" s="63">
        <f>7336094958.83</f>
        <v>7336094958.8299999</v>
      </c>
      <c r="E88" s="43" t="s">
        <v>58</v>
      </c>
      <c r="F88" s="43" t="s">
        <v>58</v>
      </c>
      <c r="G88" s="43" t="s">
        <v>58</v>
      </c>
      <c r="H88" s="43" t="s">
        <v>58</v>
      </c>
      <c r="I88" s="43" t="s">
        <v>58</v>
      </c>
      <c r="J88" s="64">
        <f t="shared" si="11"/>
        <v>26.092530987735472</v>
      </c>
      <c r="K88" s="58">
        <f t="shared" si="12"/>
        <v>112.38441263115168</v>
      </c>
    </row>
    <row r="89" spans="2:13" ht="13.5" customHeight="1" x14ac:dyDescent="0.2">
      <c r="B89" s="101" t="s">
        <v>86</v>
      </c>
      <c r="C89" s="63">
        <f>0</f>
        <v>0</v>
      </c>
      <c r="D89" s="63">
        <f>0</f>
        <v>0</v>
      </c>
      <c r="E89" s="43" t="s">
        <v>58</v>
      </c>
      <c r="F89" s="43" t="s">
        <v>58</v>
      </c>
      <c r="G89" s="43" t="s">
        <v>58</v>
      </c>
      <c r="H89" s="43" t="s">
        <v>58</v>
      </c>
      <c r="I89" s="43" t="s">
        <v>58</v>
      </c>
      <c r="J89" s="64">
        <f t="shared" si="11"/>
        <v>0</v>
      </c>
      <c r="K89" s="58" t="str">
        <f t="shared" si="12"/>
        <v/>
      </c>
    </row>
    <row r="90" spans="2:13" ht="35.1" customHeight="1" x14ac:dyDescent="0.2">
      <c r="B90" s="101" t="s">
        <v>94</v>
      </c>
      <c r="C90" s="63">
        <f>10452872657.87</f>
        <v>10452872657.870001</v>
      </c>
      <c r="D90" s="63">
        <f>14252627476.13</f>
        <v>14252627476.129999</v>
      </c>
      <c r="E90" s="43" t="s">
        <v>58</v>
      </c>
      <c r="F90" s="43" t="s">
        <v>58</v>
      </c>
      <c r="G90" s="43" t="s">
        <v>58</v>
      </c>
      <c r="H90" s="43" t="s">
        <v>58</v>
      </c>
      <c r="I90" s="43" t="s">
        <v>58</v>
      </c>
      <c r="J90" s="64">
        <f t="shared" si="11"/>
        <v>50.692790396606675</v>
      </c>
      <c r="K90" s="58">
        <f t="shared" si="12"/>
        <v>136.35129731920298</v>
      </c>
    </row>
    <row r="91" spans="2:13" ht="13.5" customHeight="1" x14ac:dyDescent="0.2">
      <c r="B91" s="101" t="s">
        <v>78</v>
      </c>
      <c r="C91" s="63">
        <f>104120950.72</f>
        <v>104120950.72</v>
      </c>
      <c r="D91" s="63">
        <f>140241520.25</f>
        <v>140241520.25</v>
      </c>
      <c r="E91" s="43" t="s">
        <v>58</v>
      </c>
      <c r="F91" s="43" t="s">
        <v>58</v>
      </c>
      <c r="G91" s="43" t="s">
        <v>58</v>
      </c>
      <c r="H91" s="43" t="s">
        <v>58</v>
      </c>
      <c r="I91" s="43" t="s">
        <v>58</v>
      </c>
      <c r="J91" s="64">
        <f t="shared" si="11"/>
        <v>0.49880164221236506</v>
      </c>
      <c r="K91" s="58">
        <f t="shared" si="12"/>
        <v>134.69097168266811</v>
      </c>
    </row>
    <row r="92" spans="2:13" ht="27" customHeight="1" x14ac:dyDescent="0.2">
      <c r="B92" s="91" t="s">
        <v>65</v>
      </c>
      <c r="C92" s="49">
        <f>4881872141.29</f>
        <v>4881872141.29</v>
      </c>
      <c r="D92" s="49">
        <f>3599865836.08</f>
        <v>3599865836.0799999</v>
      </c>
      <c r="E92" s="43" t="s">
        <v>58</v>
      </c>
      <c r="F92" s="43" t="s">
        <v>58</v>
      </c>
      <c r="G92" s="43" t="s">
        <v>58</v>
      </c>
      <c r="H92" s="43" t="s">
        <v>58</v>
      </c>
      <c r="I92" s="43" t="s">
        <v>58</v>
      </c>
      <c r="J92" s="37">
        <f>IF($D$92=0,"",100*$D92/$D$92)</f>
        <v>100</v>
      </c>
      <c r="K92" s="36">
        <f t="shared" si="12"/>
        <v>73.73945346976582</v>
      </c>
    </row>
    <row r="93" spans="2:13" ht="36" customHeight="1" x14ac:dyDescent="0.2">
      <c r="B93" s="99" t="s">
        <v>103</v>
      </c>
      <c r="C93" s="44">
        <f>4179419535.15</f>
        <v>4179419535.1500001</v>
      </c>
      <c r="D93" s="48">
        <f>2006925470.9</f>
        <v>2006925470.9000001</v>
      </c>
      <c r="E93" s="43" t="s">
        <v>58</v>
      </c>
      <c r="F93" s="43" t="s">
        <v>58</v>
      </c>
      <c r="G93" s="43" t="s">
        <v>58</v>
      </c>
      <c r="H93" s="43" t="s">
        <v>58</v>
      </c>
      <c r="I93" s="43" t="s">
        <v>58</v>
      </c>
      <c r="J93" s="50">
        <f>IF($D$92=0,"",100*$D93/$D$92)</f>
        <v>55.750007424871157</v>
      </c>
      <c r="K93" s="51">
        <f t="shared" si="12"/>
        <v>48.019239370951809</v>
      </c>
    </row>
    <row r="94" spans="2:13" ht="13.5" customHeight="1" x14ac:dyDescent="0.2">
      <c r="B94" s="100" t="s">
        <v>87</v>
      </c>
      <c r="C94" s="63">
        <f>103008254</f>
        <v>103008254</v>
      </c>
      <c r="D94" s="63">
        <f>30430446</f>
        <v>30430446</v>
      </c>
      <c r="E94" s="43" t="s">
        <v>58</v>
      </c>
      <c r="F94" s="43" t="s">
        <v>58</v>
      </c>
      <c r="G94" s="43" t="s">
        <v>58</v>
      </c>
      <c r="H94" s="43" t="s">
        <v>58</v>
      </c>
      <c r="I94" s="43" t="s">
        <v>58</v>
      </c>
      <c r="J94" s="64">
        <f>IF($D$92=0,"",100*$D94/$D$92)</f>
        <v>0.8453216699080266</v>
      </c>
      <c r="K94" s="58">
        <f t="shared" si="12"/>
        <v>29.541754974314969</v>
      </c>
    </row>
    <row r="95" spans="2:13" ht="13.5" customHeight="1" x14ac:dyDescent="0.2">
      <c r="B95" s="101" t="s">
        <v>88</v>
      </c>
      <c r="C95" s="63">
        <f>74600341.14</f>
        <v>74600341.140000001</v>
      </c>
      <c r="D95" s="63">
        <f>37677776.1</f>
        <v>37677776.100000001</v>
      </c>
      <c r="E95" s="43" t="s">
        <v>58</v>
      </c>
      <c r="F95" s="43" t="s">
        <v>58</v>
      </c>
      <c r="G95" s="43" t="s">
        <v>58</v>
      </c>
      <c r="H95" s="43" t="s">
        <v>58</v>
      </c>
      <c r="I95" s="43" t="s">
        <v>58</v>
      </c>
      <c r="J95" s="64">
        <f>IF($D$92=0,"",100*$D95/$D$92)</f>
        <v>1.0466438977356012</v>
      </c>
      <c r="K95" s="58">
        <f t="shared" si="12"/>
        <v>50.506171318025693</v>
      </c>
    </row>
    <row r="96" spans="2:13" ht="13.5" customHeight="1" x14ac:dyDescent="0.2">
      <c r="B96" s="101" t="s">
        <v>33</v>
      </c>
      <c r="C96" s="63">
        <f>627852265</f>
        <v>627852265</v>
      </c>
      <c r="D96" s="63">
        <f>1555262589.08</f>
        <v>1555262589.0799999</v>
      </c>
      <c r="E96" s="43" t="s">
        <v>58</v>
      </c>
      <c r="F96" s="43" t="s">
        <v>58</v>
      </c>
      <c r="G96" s="43" t="s">
        <v>58</v>
      </c>
      <c r="H96" s="43" t="s">
        <v>58</v>
      </c>
      <c r="I96" s="43" t="s">
        <v>58</v>
      </c>
      <c r="J96" s="64">
        <f>IF($D$92=0,"",100*$D96/$D$92)</f>
        <v>43.203348677393244</v>
      </c>
      <c r="K96" s="58">
        <f t="shared" si="12"/>
        <v>247.71155186961059</v>
      </c>
    </row>
    <row r="97" spans="2:4" ht="7.5" customHeight="1" x14ac:dyDescent="0.2"/>
    <row r="98" spans="2:4" x14ac:dyDescent="0.2">
      <c r="B98" s="40" t="s">
        <v>16</v>
      </c>
      <c r="C98" s="67" t="s">
        <v>17</v>
      </c>
      <c r="D98" s="19" t="s">
        <v>1</v>
      </c>
    </row>
    <row r="99" spans="2:4" x14ac:dyDescent="0.2">
      <c r="B99" s="40"/>
      <c r="C99" s="108" t="s">
        <v>76</v>
      </c>
      <c r="D99" s="112"/>
    </row>
    <row r="100" spans="2:4" x14ac:dyDescent="0.2">
      <c r="B100" s="39">
        <v>1</v>
      </c>
      <c r="C100" s="42">
        <v>2</v>
      </c>
      <c r="D100" s="31">
        <v>3</v>
      </c>
    </row>
    <row r="101" spans="2:4" ht="37.5" customHeight="1" x14ac:dyDescent="0.2">
      <c r="B101" s="102" t="s">
        <v>106</v>
      </c>
      <c r="C101" s="47">
        <f>24599213766.8</f>
        <v>24599213766.799999</v>
      </c>
      <c r="D101" s="27">
        <f>0</f>
        <v>0</v>
      </c>
    </row>
    <row r="102" spans="2:4" ht="36" customHeight="1" x14ac:dyDescent="0.2">
      <c r="B102" s="103" t="s">
        <v>79</v>
      </c>
      <c r="C102" s="48">
        <f>266543414.26</f>
        <v>266543414.25999999</v>
      </c>
      <c r="D102" s="74">
        <f>0</f>
        <v>0</v>
      </c>
    </row>
    <row r="103" spans="2:4" ht="13.5" customHeight="1" x14ac:dyDescent="0.2">
      <c r="B103" s="103" t="s">
        <v>80</v>
      </c>
      <c r="C103" s="48">
        <f>6386582308.06</f>
        <v>6386582308.0600004</v>
      </c>
      <c r="D103" s="74">
        <f>0</f>
        <v>0</v>
      </c>
    </row>
    <row r="104" spans="2:4" ht="25.5" customHeight="1" x14ac:dyDescent="0.2">
      <c r="B104" s="103" t="s">
        <v>81</v>
      </c>
      <c r="C104" s="48">
        <f>0</f>
        <v>0</v>
      </c>
      <c r="D104" s="74">
        <f>0</f>
        <v>0</v>
      </c>
    </row>
    <row r="105" spans="2:4" ht="57.95" customHeight="1" x14ac:dyDescent="0.2">
      <c r="B105" s="103" t="s">
        <v>99</v>
      </c>
      <c r="C105" s="48">
        <f>2932166372.95</f>
        <v>2932166372.9499998</v>
      </c>
      <c r="D105" s="74">
        <f>0</f>
        <v>0</v>
      </c>
    </row>
    <row r="106" spans="2:4" ht="81.95" customHeight="1" x14ac:dyDescent="0.2">
      <c r="B106" s="103" t="s">
        <v>82</v>
      </c>
      <c r="C106" s="48">
        <f>8739126926.11</f>
        <v>8739126926.1100006</v>
      </c>
      <c r="D106" s="74">
        <f>0</f>
        <v>0</v>
      </c>
    </row>
    <row r="107" spans="2:4" ht="150.94999999999999" customHeight="1" x14ac:dyDescent="0.2">
      <c r="B107" s="98" t="s">
        <v>104</v>
      </c>
      <c r="C107" s="48">
        <f>6237082945.14</f>
        <v>6237082945.1400003</v>
      </c>
      <c r="D107" s="74">
        <f>0</f>
        <v>0</v>
      </c>
    </row>
    <row r="108" spans="2:4" ht="22.5" x14ac:dyDescent="0.2">
      <c r="B108" s="98" t="s">
        <v>97</v>
      </c>
      <c r="C108" s="48">
        <f>37711800.28</f>
        <v>37711800.280000001</v>
      </c>
      <c r="D108" s="74">
        <f>0</f>
        <v>0</v>
      </c>
    </row>
    <row r="109" spans="2:4" ht="18" customHeight="1" x14ac:dyDescent="0.2"/>
    <row r="110" spans="2:4" ht="28.5" customHeight="1" x14ac:dyDescent="0.2"/>
    <row r="111" spans="2:4" x14ac:dyDescent="0.2">
      <c r="B111" s="65" t="s">
        <v>66</v>
      </c>
      <c r="C111" s="33">
        <f>2</f>
        <v>2</v>
      </c>
      <c r="D111" s="33" t="str">
        <f>IF(C111=1,"I Kwartał",IF(C111=2,"II Kwartały",IF(C111=3,"III Kwartały",IF(C111=4,"IV Kwartały","-"))))</f>
        <v>II Kwartały</v>
      </c>
    </row>
    <row r="112" spans="2:4" x14ac:dyDescent="0.2">
      <c r="B112" s="65" t="s">
        <v>67</v>
      </c>
      <c r="C112" s="93">
        <f>2022</f>
        <v>2022</v>
      </c>
    </row>
    <row r="113" spans="2:4" x14ac:dyDescent="0.2">
      <c r="B113" s="65" t="s">
        <v>68</v>
      </c>
      <c r="C113" s="104" t="str">
        <f>"Aug 18 2022 12:00AM"</f>
        <v>Aug 18 2022 12:00AM</v>
      </c>
      <c r="D113" s="105"/>
    </row>
  </sheetData>
  <mergeCells count="20">
    <mergeCell ref="B3:B4"/>
    <mergeCell ref="J4:L4"/>
    <mergeCell ref="I56:I58"/>
    <mergeCell ref="G57:H57"/>
    <mergeCell ref="C4:I4"/>
    <mergeCell ref="J81:K81"/>
    <mergeCell ref="C56:C58"/>
    <mergeCell ref="B56:B59"/>
    <mergeCell ref="J56:J58"/>
    <mergeCell ref="J59:K59"/>
    <mergeCell ref="E80:I82"/>
    <mergeCell ref="K56:K58"/>
    <mergeCell ref="C113:D113"/>
    <mergeCell ref="D56:D58"/>
    <mergeCell ref="E56:E58"/>
    <mergeCell ref="F57:F58"/>
    <mergeCell ref="F56:H56"/>
    <mergeCell ref="C59:I59"/>
    <mergeCell ref="C81:D81"/>
    <mergeCell ref="C99:D99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1" max="16383" man="1"/>
    <brk id="53" max="16383" man="1"/>
    <brk id="77" max="16383" man="1"/>
    <brk id="9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2018-03-19T09:08:58Z</cp:lastPrinted>
  <dcterms:created xsi:type="dcterms:W3CDTF">2001-05-17T08:58:03Z</dcterms:created>
  <dcterms:modified xsi:type="dcterms:W3CDTF">2022-08-19T13:19:50Z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2022-06-01T15:11:49.7443772+02:00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GRN-a157e64f-b2d8-4344-b63a-be4ab8451fe4</vt:lpwstr>
  </property>
  <property fmtid="{D5CDD505-2E9C-101B-9397-08002B2CF9AE}" pid="7" name="MFHash">
    <vt:lpwstr>lKoZPOlwMDvHqF38lv0pfu8g3MmyOnNc8oYSPpdBgYA=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