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/>
  <c r="A1" i="7" s="1"/>
  <c r="A27" i="7" l="1"/>
  <c r="A82" i="7"/>
  <c r="A63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<sst xmlns="http://schemas.openxmlformats.org/spreadsheetml/2006/main" count="97" uniqueCount="81">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</sst>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3"/>
  <sheetViews>
    <sheetView tabSelected="1" zoomScaleNormal="100" zoomScaleSheetLayoutView="75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47" t="str">
        <f>CONCATENATE("Informacja z wykonania budżetów powiatów za   ",$C$90," ",$B$91," roku    ",$B$93,"")</f>
        <v xml:space="preserve">Informacja z wykonania budżetów powiatów za   IV Kwartały 2022 roku    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7" ht="13.5" customHeight="1" x14ac:dyDescent="0.2"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</row>
    <row r="6" spans="1:17" ht="13.5" customHeight="1" x14ac:dyDescent="0.2">
      <c r="A6" s="38" t="s">
        <v>0</v>
      </c>
      <c r="B6" s="43" t="s">
        <v>61</v>
      </c>
      <c r="C6" s="52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52" t="s">
        <v>64</v>
      </c>
      <c r="P6" s="30"/>
      <c r="Q6" s="31"/>
    </row>
    <row r="7" spans="1:17" ht="13.5" customHeight="1" x14ac:dyDescent="0.2">
      <c r="A7" s="39"/>
      <c r="B7" s="41"/>
      <c r="C7" s="42" t="s">
        <v>62</v>
      </c>
      <c r="D7" s="42" t="s">
        <v>73</v>
      </c>
      <c r="E7" s="42" t="s">
        <v>66</v>
      </c>
      <c r="F7" s="42" t="s">
        <v>67</v>
      </c>
      <c r="G7" s="42" t="s">
        <v>27</v>
      </c>
      <c r="H7" s="42" t="s">
        <v>28</v>
      </c>
      <c r="I7" s="49" t="s">
        <v>63</v>
      </c>
      <c r="J7" s="42" t="s">
        <v>16</v>
      </c>
      <c r="K7" s="42" t="s">
        <v>17</v>
      </c>
      <c r="L7" s="42" t="s">
        <v>18</v>
      </c>
      <c r="M7" s="42" t="s">
        <v>19</v>
      </c>
      <c r="N7" s="41" t="s">
        <v>20</v>
      </c>
      <c r="O7" s="37" t="s">
        <v>21</v>
      </c>
      <c r="P7" s="37" t="s">
        <v>22</v>
      </c>
      <c r="Q7" s="37" t="s">
        <v>23</v>
      </c>
    </row>
    <row r="8" spans="1:17" ht="13.5" customHeight="1" x14ac:dyDescent="0.2">
      <c r="A8" s="39"/>
      <c r="B8" s="41"/>
      <c r="C8" s="37"/>
      <c r="D8" s="37"/>
      <c r="E8" s="37"/>
      <c r="F8" s="37"/>
      <c r="G8" s="37"/>
      <c r="H8" s="37"/>
      <c r="I8" s="49"/>
      <c r="J8" s="37"/>
      <c r="K8" s="37"/>
      <c r="L8" s="37"/>
      <c r="M8" s="37"/>
      <c r="N8" s="41"/>
      <c r="O8" s="37"/>
      <c r="P8" s="37"/>
      <c r="Q8" s="37"/>
    </row>
    <row r="9" spans="1:17" ht="11.25" customHeight="1" x14ac:dyDescent="0.2">
      <c r="A9" s="39"/>
      <c r="B9" s="41"/>
      <c r="C9" s="37"/>
      <c r="D9" s="37"/>
      <c r="E9" s="37"/>
      <c r="F9" s="37"/>
      <c r="G9" s="37"/>
      <c r="H9" s="37"/>
      <c r="I9" s="49"/>
      <c r="J9" s="37"/>
      <c r="K9" s="37"/>
      <c r="L9" s="37"/>
      <c r="M9" s="37"/>
      <c r="N9" s="41"/>
      <c r="O9" s="37"/>
      <c r="P9" s="37"/>
      <c r="Q9" s="37"/>
    </row>
    <row r="10" spans="1:17" ht="33.75" customHeight="1" x14ac:dyDescent="0.2">
      <c r="A10" s="40"/>
      <c r="B10" s="42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42"/>
      <c r="O10" s="37"/>
      <c r="P10" s="37"/>
      <c r="Q10" s="37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27" t="s">
        <v>76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39.75" customHeight="1" x14ac:dyDescent="0.2">
      <c r="A13" s="20" t="s">
        <v>45</v>
      </c>
      <c r="B13" s="21">
        <f>6025404757.13</f>
        <v>6025404757.1300001</v>
      </c>
      <c r="C13" s="21">
        <f>6025404757.13</f>
        <v>6025404757.1300001</v>
      </c>
      <c r="D13" s="21">
        <f>248971838.24</f>
        <v>248971838.24000001</v>
      </c>
      <c r="E13" s="21">
        <f>203886489.96</f>
        <v>203886489.96000001</v>
      </c>
      <c r="F13" s="21">
        <f>13849399.84</f>
        <v>13849399.84</v>
      </c>
      <c r="G13" s="21">
        <f>31235948.44</f>
        <v>31235948.440000001</v>
      </c>
      <c r="H13" s="21">
        <f>0</f>
        <v>0</v>
      </c>
      <c r="I13" s="21">
        <f>0</f>
        <v>0</v>
      </c>
      <c r="J13" s="21">
        <f>5481220902.56</f>
        <v>5481220902.5600004</v>
      </c>
      <c r="K13" s="21">
        <f>285362509.56</f>
        <v>285362509.56</v>
      </c>
      <c r="L13" s="21">
        <f>6011845.21</f>
        <v>6011845.21</v>
      </c>
      <c r="M13" s="21">
        <f>84983.56</f>
        <v>84983.56</v>
      </c>
      <c r="N13" s="21">
        <f>3752678</f>
        <v>3752678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65793000</f>
        <v>65793000</v>
      </c>
      <c r="C14" s="21">
        <f>65793000</f>
        <v>65793000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65793000</f>
        <v>65793000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65793000</f>
        <v>65793000</v>
      </c>
      <c r="C16" s="22">
        <f>65793000</f>
        <v>65793000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65793000</f>
        <v>65793000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5952848686.44</f>
        <v>5952848686.4399996</v>
      </c>
      <c r="C17" s="21">
        <f>5952848686.44</f>
        <v>5952848686.4399996</v>
      </c>
      <c r="D17" s="21">
        <f>242752951.8</f>
        <v>242752951.80000001</v>
      </c>
      <c r="E17" s="21">
        <f>199173984.93</f>
        <v>199173984.93000001</v>
      </c>
      <c r="F17" s="21">
        <f>13761976.76</f>
        <v>13761976.76</v>
      </c>
      <c r="G17" s="21">
        <f>29816990.11</f>
        <v>29816990.109999999</v>
      </c>
      <c r="H17" s="21">
        <f>0</f>
        <v>0</v>
      </c>
      <c r="I17" s="21">
        <f>0</f>
        <v>0</v>
      </c>
      <c r="J17" s="21">
        <f>5415427902.56</f>
        <v>5415427902.5600004</v>
      </c>
      <c r="K17" s="21">
        <f>285350540.52</f>
        <v>285350540.51999998</v>
      </c>
      <c r="L17" s="21">
        <f>5553315</f>
        <v>5553315</v>
      </c>
      <c r="M17" s="21">
        <f>11298.56</f>
        <v>11298.56</v>
      </c>
      <c r="N17" s="21">
        <f>3752678</f>
        <v>3752678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3945977.6</f>
        <v>3945977.6</v>
      </c>
      <c r="C18" s="22">
        <f>3945977.6</f>
        <v>3945977.6</v>
      </c>
      <c r="D18" s="22">
        <f>221184</f>
        <v>221184</v>
      </c>
      <c r="E18" s="22">
        <f>0</f>
        <v>0</v>
      </c>
      <c r="F18" s="22">
        <f>221184</f>
        <v>221184</v>
      </c>
      <c r="G18" s="22">
        <f>0</f>
        <v>0</v>
      </c>
      <c r="H18" s="22">
        <f>0</f>
        <v>0</v>
      </c>
      <c r="I18" s="22">
        <f>0</f>
        <v>0</v>
      </c>
      <c r="J18" s="22">
        <f>3200000</f>
        <v>3200000</v>
      </c>
      <c r="K18" s="22">
        <f>524793.6</f>
        <v>524793.59999999998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5948902708.84</f>
        <v>5948902708.8400002</v>
      </c>
      <c r="C19" s="22">
        <f>5948902708.84</f>
        <v>5948902708.8400002</v>
      </c>
      <c r="D19" s="22">
        <f>242531767.8</f>
        <v>242531767.80000001</v>
      </c>
      <c r="E19" s="22">
        <f>199173984.93</f>
        <v>199173984.93000001</v>
      </c>
      <c r="F19" s="22">
        <f>13540792.76</f>
        <v>13540792.76</v>
      </c>
      <c r="G19" s="22">
        <f>29816990.11</f>
        <v>29816990.109999999</v>
      </c>
      <c r="H19" s="22">
        <f>0</f>
        <v>0</v>
      </c>
      <c r="I19" s="22">
        <f>0</f>
        <v>0</v>
      </c>
      <c r="J19" s="22">
        <f>5412227902.56</f>
        <v>5412227902.5600004</v>
      </c>
      <c r="K19" s="22">
        <f>284825746.92</f>
        <v>284825746.92000002</v>
      </c>
      <c r="L19" s="22">
        <f>5553315</f>
        <v>5553315</v>
      </c>
      <c r="M19" s="22">
        <f>11298.56</f>
        <v>11298.56</v>
      </c>
      <c r="N19" s="22">
        <f>3752678</f>
        <v>3752678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6763070.69</f>
        <v>6763070.6900000004</v>
      </c>
      <c r="C21" s="21">
        <f>6763070.69</f>
        <v>6763070.6900000004</v>
      </c>
      <c r="D21" s="21">
        <f>6218886.44</f>
        <v>6218886.4400000004</v>
      </c>
      <c r="E21" s="21">
        <f>4712505.03</f>
        <v>4712505.03</v>
      </c>
      <c r="F21" s="21">
        <f>87423.08</f>
        <v>87423.08</v>
      </c>
      <c r="G21" s="21">
        <f>1418958.33</f>
        <v>1418958.33</v>
      </c>
      <c r="H21" s="21">
        <f>0</f>
        <v>0</v>
      </c>
      <c r="I21" s="21">
        <f>0</f>
        <v>0</v>
      </c>
      <c r="J21" s="21">
        <f>0</f>
        <v>0</v>
      </c>
      <c r="K21" s="21">
        <f>11969.04</f>
        <v>11969.04</v>
      </c>
      <c r="L21" s="21">
        <f>458530.21</f>
        <v>458530.21</v>
      </c>
      <c r="M21" s="21">
        <f>73685</f>
        <v>73685</v>
      </c>
      <c r="N21" s="21">
        <f>0</f>
        <v>0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252062.87</f>
        <v>252062.87</v>
      </c>
      <c r="C22" s="22">
        <f>252062.87</f>
        <v>252062.87</v>
      </c>
      <c r="D22" s="22">
        <f>136281.79</f>
        <v>136281.79</v>
      </c>
      <c r="E22" s="22">
        <f>0</f>
        <v>0</v>
      </c>
      <c r="F22" s="22">
        <f>0</f>
        <v>0</v>
      </c>
      <c r="G22" s="22">
        <f>136281.79</f>
        <v>136281.79</v>
      </c>
      <c r="H22" s="22">
        <f>0</f>
        <v>0</v>
      </c>
      <c r="I22" s="22">
        <f>0</f>
        <v>0</v>
      </c>
      <c r="J22" s="22">
        <f>0</f>
        <v>0</v>
      </c>
      <c r="K22" s="22">
        <f>100</f>
        <v>100</v>
      </c>
      <c r="L22" s="22">
        <f>115681.08</f>
        <v>115681.08</v>
      </c>
      <c r="M22" s="22">
        <f>0</f>
        <v>0</v>
      </c>
      <c r="N22" s="22">
        <f>0</f>
        <v>0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6511007.82</f>
        <v>6511007.8200000003</v>
      </c>
      <c r="C23" s="22">
        <f>6511007.82</f>
        <v>6511007.8200000003</v>
      </c>
      <c r="D23" s="22">
        <f>6082604.65</f>
        <v>6082604.6500000004</v>
      </c>
      <c r="E23" s="22">
        <f>4712505.03</f>
        <v>4712505.03</v>
      </c>
      <c r="F23" s="22">
        <f>87423.08</f>
        <v>87423.08</v>
      </c>
      <c r="G23" s="22">
        <f>1282676.54</f>
        <v>1282676.54</v>
      </c>
      <c r="H23" s="22">
        <f>0</f>
        <v>0</v>
      </c>
      <c r="I23" s="22">
        <f>0</f>
        <v>0</v>
      </c>
      <c r="J23" s="22">
        <f>0</f>
        <v>0</v>
      </c>
      <c r="K23" s="22">
        <f>11869.04</f>
        <v>11869.04</v>
      </c>
      <c r="L23" s="22">
        <f>342849.13</f>
        <v>342849.13</v>
      </c>
      <c r="M23" s="22">
        <f>73685</f>
        <v>73685</v>
      </c>
      <c r="N23" s="22">
        <f>0</f>
        <v>0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47" t="str">
        <f>CONCATENATE("Informacja z wykonania budżetów powiatów za   ",$C$90," ",$B$91," roku    ",$B$93,"")</f>
        <v xml:space="preserve">Informacja z wykonania budżetów powiatów za   IV Kwartały 2022 roku    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9" spans="1:17" ht="13.5" customHeight="1" x14ac:dyDescent="0.2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1" spans="1:17" ht="13.5" customHeight="1" x14ac:dyDescent="0.2">
      <c r="A31" s="38" t="s">
        <v>0</v>
      </c>
      <c r="B31" s="43" t="s">
        <v>12</v>
      </c>
      <c r="C31" s="44" t="s">
        <v>14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4" t="s">
        <v>24</v>
      </c>
      <c r="P31" s="45"/>
      <c r="Q31" s="46"/>
    </row>
    <row r="32" spans="1:17" ht="13.5" customHeight="1" x14ac:dyDescent="0.2">
      <c r="A32" s="39"/>
      <c r="B32" s="41"/>
      <c r="C32" s="41" t="s">
        <v>13</v>
      </c>
      <c r="D32" s="37" t="s">
        <v>15</v>
      </c>
      <c r="E32" s="37" t="s">
        <v>25</v>
      </c>
      <c r="F32" s="37" t="s">
        <v>26</v>
      </c>
      <c r="G32" s="37" t="s">
        <v>70</v>
      </c>
      <c r="H32" s="37" t="s">
        <v>28</v>
      </c>
      <c r="I32" s="37" t="s">
        <v>1</v>
      </c>
      <c r="J32" s="37" t="s">
        <v>16</v>
      </c>
      <c r="K32" s="37" t="s">
        <v>17</v>
      </c>
      <c r="L32" s="37" t="s">
        <v>18</v>
      </c>
      <c r="M32" s="37" t="s">
        <v>19</v>
      </c>
      <c r="N32" s="85" t="s">
        <v>20</v>
      </c>
      <c r="O32" s="37" t="s">
        <v>21</v>
      </c>
      <c r="P32" s="37" t="s">
        <v>22</v>
      </c>
      <c r="Q32" s="43" t="s">
        <v>23</v>
      </c>
    </row>
    <row r="33" spans="1:17" ht="13.5" customHeight="1" x14ac:dyDescent="0.2">
      <c r="A33" s="39"/>
      <c r="B33" s="41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85"/>
      <c r="O33" s="37"/>
      <c r="P33" s="37"/>
      <c r="Q33" s="41"/>
    </row>
    <row r="34" spans="1:17" ht="11.25" customHeight="1" x14ac:dyDescent="0.2">
      <c r="A34" s="39"/>
      <c r="B34" s="41"/>
      <c r="C34" s="4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5"/>
      <c r="O34" s="37"/>
      <c r="P34" s="37"/>
      <c r="Q34" s="41"/>
    </row>
    <row r="35" spans="1:17" ht="41.25" customHeight="1" x14ac:dyDescent="0.2">
      <c r="A35" s="40"/>
      <c r="B35" s="42"/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5"/>
      <c r="O35" s="37"/>
      <c r="P35" s="37"/>
      <c r="Q35" s="42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27" t="s">
        <v>76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30" customHeight="1" x14ac:dyDescent="0.2">
      <c r="A38" s="25" t="s">
        <v>40</v>
      </c>
      <c r="B38" s="23">
        <f>122034.93</f>
        <v>122034.93</v>
      </c>
      <c r="C38" s="23">
        <f>122034.93</f>
        <v>122034.93</v>
      </c>
      <c r="D38" s="23">
        <f>65960</f>
        <v>65960</v>
      </c>
      <c r="E38" s="23">
        <f>50000</f>
        <v>50000</v>
      </c>
      <c r="F38" s="23">
        <f>0</f>
        <v>0</v>
      </c>
      <c r="G38" s="23">
        <f>15960</f>
        <v>15960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29000</f>
        <v>29000</v>
      </c>
      <c r="M38" s="23">
        <f>27074.93</f>
        <v>27074.93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0</f>
        <v>0</v>
      </c>
      <c r="C39" s="24">
        <f>0</f>
        <v>0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0</f>
        <v>0</v>
      </c>
      <c r="M39" s="24">
        <f>0</f>
        <v>0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122034.93</f>
        <v>122034.93</v>
      </c>
      <c r="C40" s="24">
        <f>122034.93</f>
        <v>122034.93</v>
      </c>
      <c r="D40" s="24">
        <f>65960</f>
        <v>65960</v>
      </c>
      <c r="E40" s="24">
        <f>50000</f>
        <v>50000</v>
      </c>
      <c r="F40" s="24">
        <f>0</f>
        <v>0</v>
      </c>
      <c r="G40" s="24">
        <f>15960</f>
        <v>15960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29000</f>
        <v>29000</v>
      </c>
      <c r="M40" s="24">
        <f>27074.93</f>
        <v>27074.93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155719023.97</f>
        <v>155719023.97</v>
      </c>
      <c r="C41" s="23">
        <f>155719023.97</f>
        <v>155719023.97</v>
      </c>
      <c r="D41" s="23">
        <f>101947526.57</f>
        <v>101947526.56999999</v>
      </c>
      <c r="E41" s="23">
        <f>111095.49</f>
        <v>111095.49</v>
      </c>
      <c r="F41" s="23">
        <f>2053633.4</f>
        <v>2053633.4</v>
      </c>
      <c r="G41" s="23">
        <f>99782797.68</f>
        <v>99782797.680000007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38302417.46</f>
        <v>38302417.460000001</v>
      </c>
      <c r="M41" s="23">
        <f>14401655.9</f>
        <v>14401655.9</v>
      </c>
      <c r="N41" s="23">
        <f>1067424.04</f>
        <v>1067424.04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17529333.35</f>
        <v>17529333.350000001</v>
      </c>
      <c r="C42" s="24">
        <f>17529333.35</f>
        <v>17529333.350000001</v>
      </c>
      <c r="D42" s="24">
        <f>10857792.03</f>
        <v>10857792.029999999</v>
      </c>
      <c r="E42" s="24">
        <f>0</f>
        <v>0</v>
      </c>
      <c r="F42" s="24">
        <f>500000</f>
        <v>500000</v>
      </c>
      <c r="G42" s="24">
        <f>10357792.03</f>
        <v>10357792.029999999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4827444.13</f>
        <v>4827444.13</v>
      </c>
      <c r="M42" s="24">
        <f>1783527.69</f>
        <v>1783527.69</v>
      </c>
      <c r="N42" s="24">
        <f>60569.5</f>
        <v>60569.5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138189690.62</f>
        <v>138189690.62</v>
      </c>
      <c r="C43" s="24">
        <f>138189690.62</f>
        <v>138189690.62</v>
      </c>
      <c r="D43" s="24">
        <f>91089734.54</f>
        <v>91089734.540000007</v>
      </c>
      <c r="E43" s="24">
        <f>111095.49</f>
        <v>111095.49</v>
      </c>
      <c r="F43" s="24">
        <f>1553633.4</f>
        <v>1553633.4</v>
      </c>
      <c r="G43" s="24">
        <f>89425005.65</f>
        <v>89425005.650000006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33474973.33</f>
        <v>33474973.329999998</v>
      </c>
      <c r="M43" s="24">
        <f>12618128.21</f>
        <v>12618128.210000001</v>
      </c>
      <c r="N43" s="24">
        <f>1006854.54</f>
        <v>1006854.54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8396118214.03</f>
        <v>8396118214.0299997</v>
      </c>
      <c r="C44" s="23">
        <f>8396118214.03</f>
        <v>8396118214.0299997</v>
      </c>
      <c r="D44" s="23">
        <f>132607.69</f>
        <v>132607.69</v>
      </c>
      <c r="E44" s="23">
        <f>19873.61</f>
        <v>19873.61</v>
      </c>
      <c r="F44" s="23">
        <f>263</f>
        <v>263</v>
      </c>
      <c r="G44" s="23">
        <f>112471.08</f>
        <v>112471.08</v>
      </c>
      <c r="H44" s="23">
        <f>0</f>
        <v>0</v>
      </c>
      <c r="I44" s="23">
        <f>3628198.24</f>
        <v>3628198.24</v>
      </c>
      <c r="J44" s="23">
        <f>8392175022.22</f>
        <v>8392175022.2200003</v>
      </c>
      <c r="K44" s="23">
        <f>47950.96</f>
        <v>47950.96</v>
      </c>
      <c r="L44" s="23">
        <f>38151.8</f>
        <v>38151.800000000003</v>
      </c>
      <c r="M44" s="23">
        <f>2000</f>
        <v>2000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109733.69</f>
        <v>109733.69</v>
      </c>
      <c r="C45" s="24">
        <f>109733.69</f>
        <v>109733.69</v>
      </c>
      <c r="D45" s="24">
        <f>109733.69</f>
        <v>109733.69</v>
      </c>
      <c r="E45" s="24">
        <f>0</f>
        <v>0</v>
      </c>
      <c r="F45" s="24">
        <f>0</f>
        <v>0</v>
      </c>
      <c r="G45" s="24">
        <f>109733.69</f>
        <v>109733.69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8103673907.07</f>
        <v>8103673907.0699997</v>
      </c>
      <c r="C46" s="24">
        <f>8103673907.07</f>
        <v>8103673907.0699997</v>
      </c>
      <c r="D46" s="24">
        <f>1798.08</f>
        <v>1798.08</v>
      </c>
      <c r="E46" s="24">
        <f>535.08</f>
        <v>535.08000000000004</v>
      </c>
      <c r="F46" s="24">
        <f>263</f>
        <v>263</v>
      </c>
      <c r="G46" s="24">
        <f>1000</f>
        <v>1000</v>
      </c>
      <c r="H46" s="24">
        <f>0</f>
        <v>0</v>
      </c>
      <c r="I46" s="24">
        <f>3628198.24</f>
        <v>3628198.24</v>
      </c>
      <c r="J46" s="24">
        <f>8099896163.41</f>
        <v>8099896163.4099998</v>
      </c>
      <c r="K46" s="24">
        <f>40979.81</f>
        <v>40979.81</v>
      </c>
      <c r="L46" s="24">
        <f>12484.41</f>
        <v>12484.41</v>
      </c>
      <c r="M46" s="24">
        <f>0</f>
        <v>0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292334573.27</f>
        <v>292334573.26999998</v>
      </c>
      <c r="C47" s="24">
        <f>292334573.27</f>
        <v>292334573.26999998</v>
      </c>
      <c r="D47" s="24">
        <f>21075.92</f>
        <v>21075.919999999998</v>
      </c>
      <c r="E47" s="24">
        <f>19338.53</f>
        <v>19338.53</v>
      </c>
      <c r="F47" s="24">
        <f>0</f>
        <v>0</v>
      </c>
      <c r="G47" s="24">
        <f>1737.39</f>
        <v>1737.39</v>
      </c>
      <c r="H47" s="24">
        <f>0</f>
        <v>0</v>
      </c>
      <c r="I47" s="24">
        <f>0</f>
        <v>0</v>
      </c>
      <c r="J47" s="24">
        <f>292278858.81</f>
        <v>292278858.81</v>
      </c>
      <c r="K47" s="24">
        <f>6971.15</f>
        <v>6971.15</v>
      </c>
      <c r="L47" s="24">
        <f>25667.39</f>
        <v>25667.39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734038846.1</f>
        <v>734038846.10000002</v>
      </c>
      <c r="C48" s="23">
        <f>733244920.52</f>
        <v>733244920.51999998</v>
      </c>
      <c r="D48" s="23">
        <f>24061727.74</f>
        <v>24061727.739999998</v>
      </c>
      <c r="E48" s="23">
        <f>4324953.39</f>
        <v>4324953.3899999997</v>
      </c>
      <c r="F48" s="23">
        <f>3217036.78</f>
        <v>3217036.78</v>
      </c>
      <c r="G48" s="23">
        <f>16485306.12</f>
        <v>16485306.119999999</v>
      </c>
      <c r="H48" s="23">
        <f>34431.45</f>
        <v>34431.449999999997</v>
      </c>
      <c r="I48" s="23">
        <f>0</f>
        <v>0</v>
      </c>
      <c r="J48" s="23">
        <f>3003114.05</f>
        <v>3003114.05</v>
      </c>
      <c r="K48" s="23">
        <f>1004886.44</f>
        <v>1004886.44</v>
      </c>
      <c r="L48" s="23">
        <f>207476561.85</f>
        <v>207476561.84999999</v>
      </c>
      <c r="M48" s="23">
        <f>494291072.32</f>
        <v>494291072.31999999</v>
      </c>
      <c r="N48" s="23">
        <f>3407558.12</f>
        <v>3407558.12</v>
      </c>
      <c r="O48" s="23">
        <f>793925.58</f>
        <v>793925.58</v>
      </c>
      <c r="P48" s="23">
        <f>239388.72</f>
        <v>239388.72</v>
      </c>
      <c r="Q48" s="23">
        <f>554536.86</f>
        <v>554536.86</v>
      </c>
    </row>
    <row r="49" spans="1:17" ht="25.5" customHeight="1" x14ac:dyDescent="0.2">
      <c r="A49" s="18" t="s">
        <v>36</v>
      </c>
      <c r="B49" s="24">
        <f>151379563.25</f>
        <v>151379563.25</v>
      </c>
      <c r="C49" s="24">
        <f>151366715.9</f>
        <v>151366715.90000001</v>
      </c>
      <c r="D49" s="24">
        <f>2181801.67</f>
        <v>2181801.67</v>
      </c>
      <c r="E49" s="24">
        <f>24258.28</f>
        <v>24258.28</v>
      </c>
      <c r="F49" s="24">
        <f>162823.32</f>
        <v>162823.32</v>
      </c>
      <c r="G49" s="24">
        <f>1990384.59</f>
        <v>1990384.59</v>
      </c>
      <c r="H49" s="24">
        <f>4335.48</f>
        <v>4335.4799999999996</v>
      </c>
      <c r="I49" s="24">
        <f>0</f>
        <v>0</v>
      </c>
      <c r="J49" s="24">
        <f>197.56</f>
        <v>197.56</v>
      </c>
      <c r="K49" s="24">
        <f>890827.97</f>
        <v>890827.97</v>
      </c>
      <c r="L49" s="24">
        <f>63755005.03</f>
        <v>63755005.030000001</v>
      </c>
      <c r="M49" s="24">
        <f>83627134.48</f>
        <v>83627134.480000004</v>
      </c>
      <c r="N49" s="24">
        <f>911749.19</f>
        <v>911749.19</v>
      </c>
      <c r="O49" s="24">
        <f>12847.35</f>
        <v>12847.35</v>
      </c>
      <c r="P49" s="24">
        <f>12847.35</f>
        <v>12847.35</v>
      </c>
      <c r="Q49" s="24">
        <f>0</f>
        <v>0</v>
      </c>
    </row>
    <row r="50" spans="1:17" ht="25.5" customHeight="1" x14ac:dyDescent="0.2">
      <c r="A50" s="18" t="s">
        <v>37</v>
      </c>
      <c r="B50" s="24">
        <f>582659282.85</f>
        <v>582659282.85000002</v>
      </c>
      <c r="C50" s="24">
        <f>581878204.62</f>
        <v>581878204.62</v>
      </c>
      <c r="D50" s="24">
        <f>21879926.07</f>
        <v>21879926.07</v>
      </c>
      <c r="E50" s="24">
        <f>4300695.11</f>
        <v>4300695.1100000003</v>
      </c>
      <c r="F50" s="24">
        <f>3054213.46</f>
        <v>3054213.46</v>
      </c>
      <c r="G50" s="24">
        <f>14494921.53</f>
        <v>14494921.529999999</v>
      </c>
      <c r="H50" s="24">
        <f>30095.97</f>
        <v>30095.97</v>
      </c>
      <c r="I50" s="24">
        <f>0</f>
        <v>0</v>
      </c>
      <c r="J50" s="24">
        <f>3002916.49</f>
        <v>3002916.49</v>
      </c>
      <c r="K50" s="24">
        <f>114058.47</f>
        <v>114058.47</v>
      </c>
      <c r="L50" s="24">
        <f>143721556.82</f>
        <v>143721556.81999999</v>
      </c>
      <c r="M50" s="24">
        <f>410663937.84</f>
        <v>410663937.83999997</v>
      </c>
      <c r="N50" s="24">
        <f>2495808.93</f>
        <v>2495808.9300000002</v>
      </c>
      <c r="O50" s="24">
        <f>781078.23</f>
        <v>781078.23</v>
      </c>
      <c r="P50" s="24">
        <f>226541.37</f>
        <v>226541.37</v>
      </c>
      <c r="Q50" s="24">
        <f>554536.86</f>
        <v>554536.86</v>
      </c>
    </row>
    <row r="51" spans="1:17" ht="30" customHeight="1" x14ac:dyDescent="0.2">
      <c r="A51" s="25" t="s">
        <v>44</v>
      </c>
      <c r="B51" s="23">
        <f>646057704.39</f>
        <v>646057704.38999999</v>
      </c>
      <c r="C51" s="23">
        <f>645732707.68</f>
        <v>645732707.67999995</v>
      </c>
      <c r="D51" s="23">
        <f>168023284.98</f>
        <v>168023284.97999999</v>
      </c>
      <c r="E51" s="23">
        <f>20839930.37</f>
        <v>20839930.370000001</v>
      </c>
      <c r="F51" s="23">
        <f>1969494.42</f>
        <v>1969494.42</v>
      </c>
      <c r="G51" s="23">
        <f>142581059.76</f>
        <v>142581059.75999999</v>
      </c>
      <c r="H51" s="23">
        <f>2632800.43</f>
        <v>2632800.4300000002</v>
      </c>
      <c r="I51" s="23">
        <f>0</f>
        <v>0</v>
      </c>
      <c r="J51" s="23">
        <f>270584.39</f>
        <v>270584.39</v>
      </c>
      <c r="K51" s="23">
        <f>7985830.97</f>
        <v>7985830.9699999997</v>
      </c>
      <c r="L51" s="23">
        <f>390501135.67</f>
        <v>390501135.67000002</v>
      </c>
      <c r="M51" s="23">
        <f>74940364.23</f>
        <v>74940364.230000004</v>
      </c>
      <c r="N51" s="23">
        <f>4011507.44</f>
        <v>4011507.44</v>
      </c>
      <c r="O51" s="23">
        <f>324996.71</f>
        <v>324996.71000000002</v>
      </c>
      <c r="P51" s="23">
        <f>157255.88</f>
        <v>157255.88</v>
      </c>
      <c r="Q51" s="23">
        <f>167740.83</f>
        <v>167740.82999999999</v>
      </c>
    </row>
    <row r="52" spans="1:17" ht="31.5" customHeight="1" x14ac:dyDescent="0.2">
      <c r="A52" s="18" t="s">
        <v>38</v>
      </c>
      <c r="B52" s="24">
        <f>62896005.72</f>
        <v>62896005.719999999</v>
      </c>
      <c r="C52" s="24">
        <f>62860433.59</f>
        <v>62860433.590000004</v>
      </c>
      <c r="D52" s="24">
        <f>22703785.11</f>
        <v>22703785.109999999</v>
      </c>
      <c r="E52" s="24">
        <f>4812476.4</f>
        <v>4812476.4000000004</v>
      </c>
      <c r="F52" s="24">
        <f>229875.36</f>
        <v>229875.36</v>
      </c>
      <c r="G52" s="24">
        <f>17454601.19</f>
        <v>17454601.190000001</v>
      </c>
      <c r="H52" s="24">
        <f>206832.16</f>
        <v>206832.16</v>
      </c>
      <c r="I52" s="24">
        <f>0</f>
        <v>0</v>
      </c>
      <c r="J52" s="24">
        <f>92865.39</f>
        <v>92865.39</v>
      </c>
      <c r="K52" s="24">
        <f>321038.48</f>
        <v>321038.48</v>
      </c>
      <c r="L52" s="24">
        <f>27344239.77</f>
        <v>27344239.77</v>
      </c>
      <c r="M52" s="24">
        <f>11785846.3</f>
        <v>11785846.300000001</v>
      </c>
      <c r="N52" s="24">
        <f>612658.54</f>
        <v>612658.54</v>
      </c>
      <c r="O52" s="24">
        <f>35572.13</f>
        <v>35572.129999999997</v>
      </c>
      <c r="P52" s="24">
        <f>5524.01</f>
        <v>5524.01</v>
      </c>
      <c r="Q52" s="24">
        <f>30048.12</f>
        <v>30048.12</v>
      </c>
    </row>
    <row r="53" spans="1:17" ht="35.25" customHeight="1" x14ac:dyDescent="0.2">
      <c r="A53" s="18" t="s">
        <v>80</v>
      </c>
      <c r="B53" s="24">
        <f>2289090.68</f>
        <v>2289090.6800000002</v>
      </c>
      <c r="C53" s="24">
        <f>2289090.68</f>
        <v>2289090.6800000002</v>
      </c>
      <c r="D53" s="24">
        <f>924056.81</f>
        <v>924056.81</v>
      </c>
      <c r="E53" s="24">
        <f>515514.2</f>
        <v>515514.2</v>
      </c>
      <c r="F53" s="24">
        <f>621</f>
        <v>621</v>
      </c>
      <c r="G53" s="24">
        <f>206241.87</f>
        <v>206241.87</v>
      </c>
      <c r="H53" s="24">
        <f>201679.74</f>
        <v>201679.74</v>
      </c>
      <c r="I53" s="24">
        <f>0</f>
        <v>0</v>
      </c>
      <c r="J53" s="24">
        <f>0</f>
        <v>0</v>
      </c>
      <c r="K53" s="24">
        <f>0</f>
        <v>0</v>
      </c>
      <c r="L53" s="24">
        <f>310087.01</f>
        <v>310087.01</v>
      </c>
      <c r="M53" s="24">
        <f>1054032.21</f>
        <v>1054032.21</v>
      </c>
      <c r="N53" s="24">
        <f>914.65</f>
        <v>914.65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580872607.99</f>
        <v>580872607.99000001</v>
      </c>
      <c r="C54" s="24">
        <f>580583183.41</f>
        <v>580583183.40999997</v>
      </c>
      <c r="D54" s="24">
        <f>144395443.06</f>
        <v>144395443.06</v>
      </c>
      <c r="E54" s="24">
        <f>15511939.77</f>
        <v>15511939.77</v>
      </c>
      <c r="F54" s="24">
        <f>1738998.06</f>
        <v>1738998.06</v>
      </c>
      <c r="G54" s="24">
        <f>124920216.7</f>
        <v>124920216.7</v>
      </c>
      <c r="H54" s="24">
        <f>2224288.53</f>
        <v>2224288.5299999998</v>
      </c>
      <c r="I54" s="24">
        <f>0</f>
        <v>0</v>
      </c>
      <c r="J54" s="24">
        <f>177719</f>
        <v>177719</v>
      </c>
      <c r="K54" s="24">
        <f>7664792.49</f>
        <v>7664792.4900000002</v>
      </c>
      <c r="L54" s="24">
        <f>362846808.89</f>
        <v>362846808.88999999</v>
      </c>
      <c r="M54" s="24">
        <f>62100485.72</f>
        <v>62100485.719999999</v>
      </c>
      <c r="N54" s="24">
        <f>3397934.25</f>
        <v>3397934.25</v>
      </c>
      <c r="O54" s="24">
        <f>289424.58</f>
        <v>289424.58</v>
      </c>
      <c r="P54" s="24">
        <f>151731.87</f>
        <v>151731.87</v>
      </c>
      <c r="Q54" s="24">
        <f>137692.71</f>
        <v>137692.71</v>
      </c>
    </row>
    <row r="63" spans="1:17" ht="66" customHeight="1" x14ac:dyDescent="0.2">
      <c r="A63" s="47" t="str">
        <f>CONCATENATE("Informacja z wykonania budżetów powiatów za   ",$C$90," ",$B$91," roku    ",$B$93,"")</f>
        <v xml:space="preserve">Informacja z wykonania budżetów powiatów za   IV Kwartały 2022 roku    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">
      <c r="B64" s="48" t="s">
        <v>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6" spans="2:12" ht="13.5" customHeight="1" x14ac:dyDescent="0.2">
      <c r="B66" s="76" t="s">
        <v>0</v>
      </c>
      <c r="C66" s="77"/>
      <c r="D66" s="77"/>
      <c r="E66" s="78"/>
      <c r="F66" s="56" t="s">
        <v>68</v>
      </c>
      <c r="G66" s="33" t="s">
        <v>74</v>
      </c>
      <c r="H66" s="60"/>
      <c r="I66" s="60"/>
      <c r="J66" s="60"/>
      <c r="K66" s="60"/>
      <c r="L66" s="61"/>
    </row>
    <row r="67" spans="2:12" ht="13.5" customHeight="1" x14ac:dyDescent="0.2">
      <c r="B67" s="79"/>
      <c r="C67" s="80"/>
      <c r="D67" s="80"/>
      <c r="E67" s="81"/>
      <c r="F67" s="57"/>
      <c r="G67" s="59" t="s">
        <v>69</v>
      </c>
      <c r="H67" s="32" t="s">
        <v>66</v>
      </c>
      <c r="I67" s="32" t="s">
        <v>67</v>
      </c>
      <c r="J67" s="32" t="s">
        <v>70</v>
      </c>
      <c r="K67" s="32" t="s">
        <v>71</v>
      </c>
      <c r="L67" s="36" t="s">
        <v>72</v>
      </c>
    </row>
    <row r="68" spans="2:12" ht="13.5" customHeight="1" x14ac:dyDescent="0.2">
      <c r="B68" s="79"/>
      <c r="C68" s="80"/>
      <c r="D68" s="80"/>
      <c r="E68" s="81"/>
      <c r="F68" s="57"/>
      <c r="G68" s="59"/>
      <c r="H68" s="32"/>
      <c r="I68" s="32"/>
      <c r="J68" s="32"/>
      <c r="K68" s="32"/>
      <c r="L68" s="36"/>
    </row>
    <row r="69" spans="2:12" ht="11.25" customHeight="1" x14ac:dyDescent="0.2">
      <c r="B69" s="79"/>
      <c r="C69" s="80"/>
      <c r="D69" s="80"/>
      <c r="E69" s="81"/>
      <c r="F69" s="57"/>
      <c r="G69" s="59"/>
      <c r="H69" s="32"/>
      <c r="I69" s="32"/>
      <c r="J69" s="32"/>
      <c r="K69" s="32"/>
      <c r="L69" s="36"/>
    </row>
    <row r="70" spans="2:12" ht="11.25" customHeight="1" x14ac:dyDescent="0.2">
      <c r="B70" s="82"/>
      <c r="C70" s="83"/>
      <c r="D70" s="83"/>
      <c r="E70" s="84"/>
      <c r="F70" s="58"/>
      <c r="G70" s="59"/>
      <c r="H70" s="32"/>
      <c r="I70" s="32"/>
      <c r="J70" s="32"/>
      <c r="K70" s="32"/>
      <c r="L70" s="36"/>
    </row>
    <row r="71" spans="2:12" ht="11.25" customHeight="1" x14ac:dyDescent="0.2">
      <c r="B71" s="32">
        <v>1</v>
      </c>
      <c r="C71" s="32"/>
      <c r="D71" s="32"/>
      <c r="E71" s="32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32"/>
      <c r="C72" s="32"/>
      <c r="D72" s="32"/>
      <c r="E72" s="32"/>
      <c r="F72" s="33" t="s">
        <v>76</v>
      </c>
      <c r="G72" s="34"/>
      <c r="H72" s="34"/>
      <c r="I72" s="34"/>
      <c r="J72" s="34"/>
      <c r="K72" s="34"/>
      <c r="L72" s="35"/>
    </row>
    <row r="73" spans="2:12" ht="33.75" customHeight="1" x14ac:dyDescent="0.2">
      <c r="B73" s="53" t="s">
        <v>53</v>
      </c>
      <c r="C73" s="54"/>
      <c r="D73" s="54"/>
      <c r="E73" s="55"/>
      <c r="F73" s="26">
        <f>541116855.68</f>
        <v>541116855.67999995</v>
      </c>
      <c r="G73" s="26">
        <f>306512966.2</f>
        <v>306512966.19999999</v>
      </c>
      <c r="H73" s="26">
        <f>20931563.8</f>
        <v>20931563.800000001</v>
      </c>
      <c r="I73" s="26">
        <f>40320370.99</f>
        <v>40320370.990000002</v>
      </c>
      <c r="J73" s="26">
        <f>242813719.65</f>
        <v>242813719.65000001</v>
      </c>
      <c r="K73" s="26">
        <f>2447311.76</f>
        <v>2447311.7599999998</v>
      </c>
      <c r="L73" s="26">
        <f>234603889.48</f>
        <v>234603889.47999999</v>
      </c>
    </row>
    <row r="74" spans="2:12" ht="33.75" customHeight="1" x14ac:dyDescent="0.2">
      <c r="B74" s="53" t="s">
        <v>54</v>
      </c>
      <c r="C74" s="54"/>
      <c r="D74" s="54"/>
      <c r="E74" s="55"/>
      <c r="F74" s="26">
        <f>1177000</f>
        <v>1177000</v>
      </c>
      <c r="G74" s="26">
        <f>1177000</f>
        <v>1177000</v>
      </c>
      <c r="H74" s="26">
        <f>0</f>
        <v>0</v>
      </c>
      <c r="I74" s="26">
        <f>0</f>
        <v>0</v>
      </c>
      <c r="J74" s="26">
        <f>0</f>
        <v>0</v>
      </c>
      <c r="K74" s="26">
        <f>1177000</f>
        <v>1177000</v>
      </c>
      <c r="L74" s="26">
        <f>0</f>
        <v>0</v>
      </c>
    </row>
    <row r="75" spans="2:12" ht="33.75" customHeight="1" x14ac:dyDescent="0.2">
      <c r="B75" s="53" t="s">
        <v>55</v>
      </c>
      <c r="C75" s="54"/>
      <c r="D75" s="54"/>
      <c r="E75" s="55"/>
      <c r="F75" s="26">
        <f>19589636.35</f>
        <v>19589636.350000001</v>
      </c>
      <c r="G75" s="26">
        <f>11670995.3</f>
        <v>11670995.300000001</v>
      </c>
      <c r="H75" s="26">
        <f>0</f>
        <v>0</v>
      </c>
      <c r="I75" s="26">
        <f>0</f>
        <v>0</v>
      </c>
      <c r="J75" s="26">
        <f>11670995.3</f>
        <v>11670995.300000001</v>
      </c>
      <c r="K75" s="26">
        <f>0</f>
        <v>0</v>
      </c>
      <c r="L75" s="26">
        <f>7918641.05</f>
        <v>7918641.0499999998</v>
      </c>
    </row>
    <row r="76" spans="2:12" ht="22.5" customHeight="1" x14ac:dyDescent="0.2">
      <c r="B76" s="53" t="s">
        <v>56</v>
      </c>
      <c r="C76" s="54"/>
      <c r="D76" s="54"/>
      <c r="E76" s="55"/>
      <c r="F76" s="26">
        <f>43738573.04</f>
        <v>43738573.039999999</v>
      </c>
      <c r="G76" s="26">
        <f>17670684.52</f>
        <v>17670684.52</v>
      </c>
      <c r="H76" s="26">
        <f>0</f>
        <v>0</v>
      </c>
      <c r="I76" s="26">
        <f>0</f>
        <v>0</v>
      </c>
      <c r="J76" s="26">
        <f>17670684.52</f>
        <v>17670684.52</v>
      </c>
      <c r="K76" s="26">
        <f>0</f>
        <v>0</v>
      </c>
      <c r="L76" s="26">
        <f>26067888.52</f>
        <v>26067888.52</v>
      </c>
    </row>
    <row r="77" spans="2:12" ht="33.75" customHeight="1" x14ac:dyDescent="0.2">
      <c r="B77" s="53" t="s">
        <v>57</v>
      </c>
      <c r="C77" s="54"/>
      <c r="D77" s="54"/>
      <c r="E77" s="55"/>
      <c r="F77" s="26">
        <f>10522308.1</f>
        <v>10522308.1</v>
      </c>
      <c r="G77" s="26">
        <f>9824659.12</f>
        <v>9824659.1199999992</v>
      </c>
      <c r="H77" s="26">
        <f>0</f>
        <v>0</v>
      </c>
      <c r="I77" s="26">
        <f>0</f>
        <v>0</v>
      </c>
      <c r="J77" s="26">
        <f>9824659.12</f>
        <v>9824659.1199999992</v>
      </c>
      <c r="K77" s="26">
        <f>0</f>
        <v>0</v>
      </c>
      <c r="L77" s="26">
        <f>697648.98</f>
        <v>697648.98</v>
      </c>
    </row>
    <row r="78" spans="2:12" ht="33.75" customHeight="1" x14ac:dyDescent="0.2">
      <c r="B78" s="53" t="s">
        <v>58</v>
      </c>
      <c r="C78" s="54"/>
      <c r="D78" s="54"/>
      <c r="E78" s="55"/>
      <c r="F78" s="26">
        <f>3338153.94</f>
        <v>3338153.94</v>
      </c>
      <c r="G78" s="26">
        <f>2074999.52</f>
        <v>2074999.52</v>
      </c>
      <c r="H78" s="26">
        <f>0</f>
        <v>0</v>
      </c>
      <c r="I78" s="26">
        <f>0</f>
        <v>0</v>
      </c>
      <c r="J78" s="26">
        <f>2074999.52</f>
        <v>2074999.52</v>
      </c>
      <c r="K78" s="26">
        <f>0</f>
        <v>0</v>
      </c>
      <c r="L78" s="26">
        <f>1263154.42</f>
        <v>1263154.42</v>
      </c>
    </row>
    <row r="79" spans="2:12" ht="22.5" customHeight="1" x14ac:dyDescent="0.2">
      <c r="B79" s="53" t="s">
        <v>59</v>
      </c>
      <c r="C79" s="54"/>
      <c r="D79" s="54"/>
      <c r="E79" s="55"/>
      <c r="F79" s="26">
        <f>1189380</f>
        <v>1189380</v>
      </c>
      <c r="G79" s="26">
        <f>1189380</f>
        <v>1189380</v>
      </c>
      <c r="H79" s="26">
        <f>0</f>
        <v>0</v>
      </c>
      <c r="I79" s="26">
        <f>0</f>
        <v>0</v>
      </c>
      <c r="J79" s="26">
        <f>1189380</f>
        <v>1189380</v>
      </c>
      <c r="K79" s="26">
        <f>0</f>
        <v>0</v>
      </c>
      <c r="L79" s="26">
        <f>0</f>
        <v>0</v>
      </c>
    </row>
    <row r="82" spans="1:13" ht="75" customHeight="1" x14ac:dyDescent="0.2">
      <c r="A82" s="47" t="str">
        <f>CONCATENATE("Informacja z wykonania budżetów powiatów za   ",$C$90," ",$B$91," roku    ",$B$93,"")</f>
        <v xml:space="preserve">Informacja z wykonania budżetów powiatów za   IV Kwartały 2022 roku    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3.5" customHeight="1" x14ac:dyDescent="0.2">
      <c r="B83" s="4"/>
    </row>
    <row r="84" spans="1:13" ht="13.5" customHeight="1" x14ac:dyDescent="0.2">
      <c r="B84" s="5"/>
      <c r="C84" s="33"/>
      <c r="D84" s="60"/>
      <c r="E84" s="60"/>
      <c r="F84" s="61"/>
      <c r="G84" s="33" t="s">
        <v>3</v>
      </c>
      <c r="H84" s="61"/>
      <c r="I84" s="33" t="s">
        <v>4</v>
      </c>
      <c r="J84" s="61"/>
      <c r="K84" s="5"/>
    </row>
    <row r="85" spans="1:13" ht="13.5" customHeight="1" x14ac:dyDescent="0.2">
      <c r="B85" s="6"/>
      <c r="C85" s="66" t="s">
        <v>5</v>
      </c>
      <c r="D85" s="67"/>
      <c r="E85" s="67"/>
      <c r="F85" s="68"/>
      <c r="G85" s="62">
        <f>120</f>
        <v>120</v>
      </c>
      <c r="H85" s="63"/>
      <c r="I85" s="64">
        <f>517787643.5</f>
        <v>517787643.5</v>
      </c>
      <c r="J85" s="65"/>
      <c r="K85" s="7"/>
    </row>
    <row r="86" spans="1:13" ht="13.5" customHeight="1" x14ac:dyDescent="0.2">
      <c r="B86" s="6"/>
      <c r="C86" s="69" t="s">
        <v>6</v>
      </c>
      <c r="D86" s="70"/>
      <c r="E86" s="70"/>
      <c r="F86" s="71"/>
      <c r="G86" s="72">
        <f>194</f>
        <v>194</v>
      </c>
      <c r="H86" s="73"/>
      <c r="I86" s="74">
        <f>-1500580709.16</f>
        <v>-1500580709.1600001</v>
      </c>
      <c r="J86" s="75"/>
      <c r="K86" s="7"/>
    </row>
    <row r="87" spans="1:13" ht="13.5" customHeight="1" x14ac:dyDescent="0.2">
      <c r="B87" s="6"/>
      <c r="C87" s="66" t="s">
        <v>7</v>
      </c>
      <c r="D87" s="67"/>
      <c r="E87" s="67"/>
      <c r="F87" s="68"/>
      <c r="G87" s="62">
        <f>0</f>
        <v>0</v>
      </c>
      <c r="H87" s="63"/>
      <c r="I87" s="64">
        <f>0</f>
        <v>0</v>
      </c>
      <c r="J87" s="65"/>
      <c r="K87" s="7"/>
    </row>
    <row r="90" spans="1:13" ht="13.5" customHeight="1" x14ac:dyDescent="0.2">
      <c r="A90" s="8" t="s">
        <v>8</v>
      </c>
      <c r="B90" s="8">
        <f>4</f>
        <v>4</v>
      </c>
      <c r="C90" s="8" t="str">
        <f>IF(B90=1,"I Kwartał",IF(B90=2,"II Kwartały",IF(B90=3,"III Kwartały",IF(B90=4,"IV Kwartały","-"))))</f>
        <v>IV Kwartały</v>
      </c>
    </row>
    <row r="91" spans="1:13" ht="13.5" customHeight="1" x14ac:dyDescent="0.2">
      <c r="A91" s="8" t="s">
        <v>9</v>
      </c>
      <c r="B91" s="8">
        <f>2022</f>
        <v>2022</v>
      </c>
      <c r="C91" s="9"/>
    </row>
    <row r="92" spans="1:13" ht="13.5" customHeight="1" x14ac:dyDescent="0.2">
      <c r="A92" s="8" t="s">
        <v>10</v>
      </c>
      <c r="B92" s="10" t="str">
        <f>"Mar 23 2023 12:00AM"</f>
        <v>Mar 23 2023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7:E77"/>
    <mergeCell ref="B74:E74"/>
    <mergeCell ref="M32:M35"/>
    <mergeCell ref="B73:E73"/>
    <mergeCell ref="F66:F70"/>
    <mergeCell ref="G67:G70"/>
    <mergeCell ref="G66:L66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F7:F10"/>
    <mergeCell ref="I7:I10"/>
    <mergeCell ref="J7:J10"/>
    <mergeCell ref="A31:A35"/>
    <mergeCell ref="C32:C35"/>
    <mergeCell ref="E32:E35"/>
    <mergeCell ref="B31:B35"/>
    <mergeCell ref="K67:K70"/>
    <mergeCell ref="H67:H70"/>
    <mergeCell ref="I67:I70"/>
    <mergeCell ref="J67:J70"/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2023-03-29T10:51:03Z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2023-03-29T12:51:00.7398230+02:00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GRN-4e772228-7e46-48f6-a0a0-7c528e4dcf61</vt:lpwstr>
  </property>
  <property fmtid="{D5CDD505-2E9C-101B-9397-08002B2CF9AE}" pid="7" name="MFHash">
    <vt:lpwstr>LH7JaaIZ3hfR1S60QD/QJh/p29AUQmzLIiFuy5INNCA=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