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CDE5D27C-6814-4915-9E98-90CF7BDFD1DC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4" l="1"/>
  <c r="C120" i="4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J101" i="4"/>
  <c r="C101" i="4"/>
  <c r="D100" i="4"/>
  <c r="C100" i="4"/>
  <c r="D99" i="4"/>
  <c r="C99" i="4"/>
  <c r="D98" i="4"/>
  <c r="J102" i="4"/>
  <c r="C98" i="4"/>
  <c r="D97" i="4"/>
  <c r="J97" i="4"/>
  <c r="C97" i="4"/>
  <c r="D96" i="4"/>
  <c r="C96" i="4"/>
  <c r="D95" i="4"/>
  <c r="C95" i="4"/>
  <c r="D94" i="4"/>
  <c r="K94" i="4"/>
  <c r="C94" i="4"/>
  <c r="D93" i="4"/>
  <c r="C93" i="4"/>
  <c r="D92" i="4"/>
  <c r="C92" i="4"/>
  <c r="K92" i="4"/>
  <c r="D91" i="4"/>
  <c r="C91" i="4"/>
  <c r="D90" i="4"/>
  <c r="C90" i="4"/>
  <c r="D89" i="4"/>
  <c r="C89" i="4"/>
  <c r="D88" i="4"/>
  <c r="C88" i="4"/>
  <c r="D87" i="4"/>
  <c r="C87" i="4"/>
  <c r="I80" i="4"/>
  <c r="H80" i="4"/>
  <c r="G80" i="4"/>
  <c r="F80" i="4"/>
  <c r="E80" i="4"/>
  <c r="D80" i="4"/>
  <c r="D81" i="4"/>
  <c r="J81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H74" i="4"/>
  <c r="G69" i="4"/>
  <c r="F69" i="4"/>
  <c r="E69" i="4"/>
  <c r="D69" i="4"/>
  <c r="J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G68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D46" i="4"/>
  <c r="C47" i="4"/>
  <c r="K47" i="4"/>
  <c r="D45" i="4"/>
  <c r="C45" i="4"/>
  <c r="K45" i="4"/>
  <c r="D44" i="4"/>
  <c r="C44" i="4"/>
  <c r="D43" i="4"/>
  <c r="C43" i="4"/>
  <c r="D42" i="4"/>
  <c r="C42" i="4"/>
  <c r="D41" i="4"/>
  <c r="C41" i="4"/>
  <c r="D40" i="4"/>
  <c r="D23" i="4"/>
  <c r="C40" i="4"/>
  <c r="D39" i="4"/>
  <c r="C39" i="4"/>
  <c r="D38" i="4"/>
  <c r="C38" i="4"/>
  <c r="D37" i="4"/>
  <c r="C37" i="4"/>
  <c r="D36" i="4"/>
  <c r="C36" i="4"/>
  <c r="D35" i="4"/>
  <c r="C35" i="4"/>
  <c r="D34" i="4"/>
  <c r="J34" i="4"/>
  <c r="C34" i="4"/>
  <c r="D33" i="4"/>
  <c r="C33" i="4"/>
  <c r="D32" i="4"/>
  <c r="C32" i="4"/>
  <c r="C23" i="4"/>
  <c r="C22" i="4"/>
  <c r="D31" i="4"/>
  <c r="C31" i="4"/>
  <c r="D30" i="4"/>
  <c r="C30" i="4"/>
  <c r="D29" i="4"/>
  <c r="C29" i="4"/>
  <c r="D28" i="4"/>
  <c r="C28" i="4"/>
  <c r="D27" i="4"/>
  <c r="K27" i="4"/>
  <c r="C27" i="4"/>
  <c r="D26" i="4"/>
  <c r="J26" i="4"/>
  <c r="C26" i="4"/>
  <c r="D25" i="4"/>
  <c r="C25" i="4"/>
  <c r="K25" i="4"/>
  <c r="D24" i="4"/>
  <c r="C24" i="4"/>
  <c r="K24" i="4"/>
  <c r="I20" i="4"/>
  <c r="H20" i="4"/>
  <c r="G20" i="4"/>
  <c r="F20" i="4"/>
  <c r="E20" i="4"/>
  <c r="D20" i="4"/>
  <c r="C20" i="4"/>
  <c r="K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K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H7" i="4"/>
  <c r="G6" i="4"/>
  <c r="F6" i="4"/>
  <c r="F54" i="4"/>
  <c r="F56" i="4"/>
  <c r="E6" i="4"/>
  <c r="D6" i="4"/>
  <c r="C6" i="4"/>
  <c r="J51" i="4"/>
  <c r="K51" i="4"/>
  <c r="E81" i="4"/>
  <c r="F81" i="4"/>
  <c r="K91" i="4"/>
  <c r="K100" i="4"/>
  <c r="K102" i="4"/>
  <c r="G81" i="4"/>
  <c r="K33" i="4"/>
  <c r="K15" i="4"/>
  <c r="K71" i="4"/>
  <c r="K42" i="4"/>
  <c r="K103" i="4"/>
  <c r="K34" i="4"/>
  <c r="K65" i="4"/>
  <c r="C68" i="4"/>
  <c r="K72" i="4"/>
  <c r="K36" i="4"/>
  <c r="H68" i="4"/>
  <c r="J49" i="4"/>
  <c r="J29" i="4"/>
  <c r="J17" i="4"/>
  <c r="J24" i="4"/>
  <c r="J40" i="4"/>
  <c r="J48" i="4"/>
  <c r="J6" i="4"/>
  <c r="J32" i="4"/>
  <c r="J31" i="4"/>
  <c r="J14" i="4"/>
  <c r="J30" i="4"/>
  <c r="J43" i="4"/>
  <c r="J18" i="4"/>
  <c r="J38" i="4"/>
  <c r="J12" i="4"/>
  <c r="J42" i="4"/>
  <c r="J39" i="4"/>
  <c r="J44" i="4"/>
  <c r="D54" i="4"/>
  <c r="D56" i="4"/>
  <c r="J56" i="4"/>
  <c r="J37" i="4"/>
  <c r="I68" i="4"/>
  <c r="I74" i="4"/>
  <c r="E7" i="4"/>
  <c r="E54" i="4"/>
  <c r="K66" i="4"/>
  <c r="K28" i="4"/>
  <c r="K39" i="4"/>
  <c r="J94" i="4"/>
  <c r="J87" i="4"/>
  <c r="J93" i="4"/>
  <c r="J89" i="4"/>
  <c r="J90" i="4"/>
  <c r="J92" i="4"/>
  <c r="J88" i="4"/>
  <c r="J91" i="4"/>
  <c r="K88" i="4"/>
  <c r="K99" i="4"/>
  <c r="K93" i="4"/>
  <c r="K10" i="4"/>
  <c r="K70" i="4"/>
  <c r="K16" i="4"/>
  <c r="K49" i="4"/>
  <c r="K87" i="4"/>
  <c r="K97" i="4"/>
  <c r="K14" i="4"/>
  <c r="K30" i="4"/>
  <c r="K40" i="4"/>
  <c r="K55" i="4"/>
  <c r="K90" i="4"/>
  <c r="K12" i="4"/>
  <c r="K79" i="4"/>
  <c r="K98" i="4"/>
  <c r="C54" i="4"/>
  <c r="C56" i="4"/>
  <c r="K6" i="4"/>
  <c r="C75" i="4"/>
  <c r="K19" i="4"/>
  <c r="K29" i="4"/>
  <c r="K35" i="4"/>
  <c r="K41" i="4"/>
  <c r="K48" i="4"/>
  <c r="K69" i="4"/>
  <c r="J79" i="4"/>
  <c r="J80" i="4"/>
  <c r="J99" i="4"/>
  <c r="J103" i="4"/>
  <c r="J98" i="4"/>
  <c r="J100" i="4"/>
  <c r="G7" i="4"/>
  <c r="G54" i="4"/>
  <c r="G56" i="4"/>
  <c r="K11" i="4"/>
  <c r="K31" i="4"/>
  <c r="K37" i="4"/>
  <c r="K43" i="4"/>
  <c r="K50" i="4"/>
  <c r="J72" i="4"/>
  <c r="J66" i="4"/>
  <c r="J67" i="4"/>
  <c r="J71" i="4"/>
  <c r="D68" i="4"/>
  <c r="J68" i="4"/>
  <c r="J65" i="4"/>
  <c r="J73" i="4"/>
  <c r="J70" i="4"/>
  <c r="K73" i="4"/>
  <c r="H81" i="4"/>
  <c r="H54" i="4"/>
  <c r="H56" i="4"/>
  <c r="K18" i="4"/>
  <c r="E68" i="4"/>
  <c r="E74" i="4"/>
  <c r="K67" i="4"/>
  <c r="I81" i="4"/>
  <c r="K89" i="4"/>
  <c r="D118" i="4"/>
  <c r="B82" i="4"/>
  <c r="I54" i="4"/>
  <c r="I56" i="4"/>
  <c r="I7" i="4"/>
  <c r="K13" i="4"/>
  <c r="K32" i="4"/>
  <c r="K38" i="4"/>
  <c r="K44" i="4"/>
  <c r="K52" i="4"/>
  <c r="J54" i="4"/>
  <c r="C74" i="4"/>
  <c r="D76" i="4"/>
  <c r="D74" i="4"/>
  <c r="J74" i="4"/>
  <c r="B1" i="4"/>
  <c r="B58" i="4"/>
  <c r="K101" i="4"/>
  <c r="K80" i="4"/>
  <c r="C81" i="4"/>
  <c r="K81" i="4"/>
  <c r="G74" i="4"/>
  <c r="F68" i="4"/>
  <c r="F74" i="4"/>
  <c r="K68" i="4"/>
  <c r="E56" i="4"/>
  <c r="C46" i="4"/>
  <c r="K46" i="4"/>
  <c r="K23" i="4"/>
  <c r="D22" i="4"/>
  <c r="K26" i="4"/>
  <c r="J22" i="4"/>
  <c r="K22" i="4"/>
  <c r="I21" i="4"/>
  <c r="G21" i="4"/>
  <c r="E21" i="4"/>
  <c r="K9" i="4"/>
  <c r="H21" i="4"/>
  <c r="K8" i="4"/>
  <c r="F7" i="4"/>
  <c r="F21" i="4"/>
  <c r="J50" i="4"/>
  <c r="J15" i="4"/>
  <c r="J13" i="4"/>
  <c r="J19" i="4"/>
  <c r="J55" i="4"/>
  <c r="D75" i="4"/>
  <c r="J35" i="4"/>
  <c r="J33" i="4"/>
  <c r="J36" i="4"/>
  <c r="J47" i="4"/>
  <c r="J52" i="4"/>
  <c r="J46" i="4"/>
  <c r="J41" i="4"/>
  <c r="J8" i="4"/>
  <c r="D7" i="4"/>
  <c r="J10" i="4"/>
  <c r="J45" i="4"/>
  <c r="J20" i="4"/>
  <c r="J16" i="4"/>
  <c r="J11" i="4"/>
  <c r="J9" i="4"/>
  <c r="J28" i="4"/>
  <c r="J27" i="4"/>
  <c r="J25" i="4"/>
  <c r="J23" i="4"/>
  <c r="K56" i="4"/>
  <c r="C76" i="4"/>
  <c r="K54" i="4"/>
  <c r="K74" i="4"/>
  <c r="C7" i="4"/>
  <c r="C21" i="4"/>
  <c r="L12" i="4"/>
  <c r="L13" i="4"/>
  <c r="D21" i="4"/>
  <c r="L10" i="4"/>
  <c r="L20" i="4"/>
  <c r="L16" i="4"/>
  <c r="L11" i="4"/>
  <c r="L14" i="4"/>
  <c r="L9" i="4"/>
  <c r="L7" i="4"/>
  <c r="L19" i="4"/>
  <c r="L17" i="4"/>
  <c r="L8" i="4"/>
  <c r="L15" i="4"/>
  <c r="L18" i="4"/>
  <c r="J7" i="4"/>
  <c r="K7" i="4"/>
  <c r="K21" i="4"/>
  <c r="J21" i="4"/>
  <c r="L21" i="4"/>
</calcChain>
</file>

<file path=xl/sharedStrings.xml><?xml version="1.0" encoding="utf-8"?>
<sst xmlns="http://schemas.openxmlformats.org/spreadsheetml/2006/main" count="376" uniqueCount="116">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</sst>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71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6" fontId="12" fillId="3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 vertical="center"/>
    </xf>
    <xf numFmtId="166" fontId="11" fillId="3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6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6" fontId="11" fillId="5" borderId="1" xfId="1" applyNumberFormat="1" applyFont="1" applyFill="1" applyBorder="1" applyAlignment="1">
      <alignment horizontal="right" vertical="center"/>
    </xf>
    <xf numFmtId="166" fontId="11" fillId="5" borderId="1" xfId="0" applyNumberFormat="1" applyFont="1" applyFill="1" applyBorder="1" applyAlignment="1">
      <alignment horizontal="right" vertical="center"/>
    </xf>
    <xf numFmtId="166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6" fontId="4" fillId="4" borderId="1" xfId="0" applyNumberFormat="1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6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6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6" fontId="5" fillId="4" borderId="3" xfId="0" applyNumberFormat="1" applyFont="1" applyFill="1" applyBorder="1" applyAlignment="1">
      <alignment horizontal="center" vertical="center"/>
    </xf>
    <xf numFmtId="166" fontId="5" fillId="0" borderId="3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1" fontId="2" fillId="0" borderId="3" xfId="0" applyNumberFormat="1" applyFont="1" applyBorder="1" applyAlignment="1">
      <alignment horizontal="center"/>
    </xf>
    <xf numFmtId="171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5">
    <cellStyle name="Dziesiętny" xfId="1" builtinId="3"/>
    <cellStyle name="Dziesiętny 3" xfId="2"/>
    <cellStyle name="Normalny" xfId="0" builtinId="0"/>
    <cellStyle name="Normalny 2" xfId="3"/>
    <cellStyle name="Normalny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1"/>
  <sheetViews>
    <sheetView tabSelected="1" topLeftCell="B1" zoomScaleNormal="100" workbookViewId="0"/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",$D$118," ",$C$119," rok     ",$C$121,"")</f>
        <v xml:space="preserve">Informacja z wykonania budżetów gmin za II Kwartały 2024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13" t="s">
        <v>74</v>
      </c>
      <c r="D4" s="114"/>
      <c r="E4" s="114"/>
      <c r="F4" s="114"/>
      <c r="G4" s="114"/>
      <c r="H4" s="114"/>
      <c r="I4" s="115"/>
      <c r="J4" s="109" t="s">
        <v>4</v>
      </c>
      <c r="K4" s="109"/>
      <c r="L4" s="109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205384815155.17</f>
        <v>205384815155.17001</v>
      </c>
      <c r="D6" s="45">
        <f>98996951823.59</f>
        <v>98996951823.589996</v>
      </c>
      <c r="E6" s="45">
        <f>2885068733.11</f>
        <v>2885068733.1100001</v>
      </c>
      <c r="F6" s="45">
        <f>377091375.12</f>
        <v>377091375.12</v>
      </c>
      <c r="G6" s="45">
        <f>49387865.65</f>
        <v>49387865.649999999</v>
      </c>
      <c r="H6" s="45">
        <f>100056110.22</f>
        <v>100056110.22</v>
      </c>
      <c r="I6" s="45">
        <f>1686375.57</f>
        <v>1686375.57</v>
      </c>
      <c r="J6" s="46">
        <f t="shared" ref="J6:J56" si="0">IF($D$6=0,"",100*$D6/$D$6)</f>
        <v>100</v>
      </c>
      <c r="K6" s="46">
        <f t="shared" ref="K6:K52" si="1">IF(C6=0,"",100*D6/C6)</f>
        <v>48.200716176995336</v>
      </c>
      <c r="L6" s="46"/>
    </row>
    <row r="7" spans="2:13" ht="25.5" customHeight="1" x14ac:dyDescent="0.2">
      <c r="B7" s="85" t="s">
        <v>58</v>
      </c>
      <c r="C7" s="25">
        <f>C6-C22-C46</f>
        <v>89420068068.240021</v>
      </c>
      <c r="D7" s="25">
        <f>D6-D22-D46</f>
        <v>45075789784.860001</v>
      </c>
      <c r="E7" s="25">
        <f>E6</f>
        <v>2885068733.1100001</v>
      </c>
      <c r="F7" s="25">
        <f>F6</f>
        <v>377091375.12</v>
      </c>
      <c r="G7" s="25">
        <f>G6</f>
        <v>49387865.649999999</v>
      </c>
      <c r="H7" s="25">
        <f>H6</f>
        <v>100056110.22</v>
      </c>
      <c r="I7" s="25">
        <f>I6</f>
        <v>1686375.57</v>
      </c>
      <c r="J7" s="34">
        <f t="shared" si="0"/>
        <v>45.532502723097871</v>
      </c>
      <c r="K7" s="34">
        <f t="shared" si="1"/>
        <v>50.409030946454735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2860992844.4</f>
        <v>2860992844.4000001</v>
      </c>
      <c r="D8" s="24">
        <f>1430302296</f>
        <v>1430302296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1.4447942786650256</v>
      </c>
      <c r="K8" s="35">
        <f t="shared" si="1"/>
        <v>49.993214726126283</v>
      </c>
      <c r="L8" s="35">
        <f t="shared" si="2"/>
        <v>3.1731053472975601</v>
      </c>
    </row>
    <row r="9" spans="2:13" ht="22.5" customHeight="1" outlineLevel="1" x14ac:dyDescent="0.2">
      <c r="B9" s="54" t="s">
        <v>19</v>
      </c>
      <c r="C9" s="24">
        <f>30057339918</f>
        <v>30057339918</v>
      </c>
      <c r="D9" s="24">
        <f>15028713210</f>
        <v>15028713210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15.180985811341724</v>
      </c>
      <c r="K9" s="35">
        <f t="shared" si="1"/>
        <v>50.000143894969142</v>
      </c>
      <c r="L9" s="35">
        <f t="shared" si="2"/>
        <v>33.34098699485866</v>
      </c>
    </row>
    <row r="10" spans="2:13" ht="13.5" customHeight="1" outlineLevel="1" x14ac:dyDescent="0.2">
      <c r="B10" s="54" t="s">
        <v>20</v>
      </c>
      <c r="C10" s="24">
        <f>2216060403.88</f>
        <v>2216060403.8800001</v>
      </c>
      <c r="D10" s="24">
        <f>1338889920.09</f>
        <v>1338889920.0899999</v>
      </c>
      <c r="E10" s="24">
        <f>236011249.16</f>
        <v>236011249.16</v>
      </c>
      <c r="F10" s="24">
        <f>1720855.33</f>
        <v>1720855.33</v>
      </c>
      <c r="G10" s="24">
        <f>2347178.11</f>
        <v>2347178.11</v>
      </c>
      <c r="H10" s="24">
        <f>2425784.18</f>
        <v>2425784.1800000002</v>
      </c>
      <c r="I10" s="24">
        <f>94</f>
        <v>94</v>
      </c>
      <c r="J10" s="35">
        <f t="shared" si="0"/>
        <v>1.3524557023491663</v>
      </c>
      <c r="K10" s="35">
        <f t="shared" si="1"/>
        <v>60.417573354309205</v>
      </c>
      <c r="L10" s="35">
        <f t="shared" si="2"/>
        <v>2.9703082885076912</v>
      </c>
    </row>
    <row r="11" spans="2:13" ht="13.5" customHeight="1" outlineLevel="1" x14ac:dyDescent="0.2">
      <c r="B11" s="54" t="s">
        <v>21</v>
      </c>
      <c r="C11" s="24">
        <f>21507621860.69</f>
        <v>21507621860.689999</v>
      </c>
      <c r="D11" s="53">
        <f>11638888143.11</f>
        <v>11638888143.110001</v>
      </c>
      <c r="E11" s="24">
        <f>1900520362.27</f>
        <v>1900520362.27</v>
      </c>
      <c r="F11" s="24">
        <f>370911667.5</f>
        <v>370911667.5</v>
      </c>
      <c r="G11" s="24">
        <f>35278866.43</f>
        <v>35278866.43</v>
      </c>
      <c r="H11" s="24">
        <f>76493771.57</f>
        <v>76493771.569999993</v>
      </c>
      <c r="I11" s="24">
        <f>1412385.45</f>
        <v>1412385.45</v>
      </c>
      <c r="J11" s="35">
        <f t="shared" si="0"/>
        <v>11.756814658142401</v>
      </c>
      <c r="K11" s="35">
        <f t="shared" si="1"/>
        <v>54.115179346642122</v>
      </c>
      <c r="L11" s="35">
        <f t="shared" si="2"/>
        <v>25.820708186502493</v>
      </c>
    </row>
    <row r="12" spans="2:13" ht="13.5" customHeight="1" outlineLevel="1" x14ac:dyDescent="0.2">
      <c r="B12" s="54" t="s">
        <v>22</v>
      </c>
      <c r="C12" s="24">
        <f>498820410.51</f>
        <v>498820410.50999999</v>
      </c>
      <c r="D12" s="53">
        <f>276992387.72</f>
        <v>276992387.72000003</v>
      </c>
      <c r="E12" s="24">
        <f>3011921.56</f>
        <v>3011921.56</v>
      </c>
      <c r="F12" s="24">
        <f>471525.68</f>
        <v>471525.68</v>
      </c>
      <c r="G12" s="24">
        <f>73578.59</f>
        <v>73578.59</v>
      </c>
      <c r="H12" s="24">
        <f>18765.18</f>
        <v>18765.18</v>
      </c>
      <c r="I12" s="24">
        <f>0</f>
        <v>0</v>
      </c>
      <c r="J12" s="35">
        <f t="shared" si="0"/>
        <v>0.27979890553963044</v>
      </c>
      <c r="K12" s="35">
        <f t="shared" si="1"/>
        <v>55.529481529594925</v>
      </c>
      <c r="L12" s="35">
        <f t="shared" si="2"/>
        <v>0.61450368155953172</v>
      </c>
    </row>
    <row r="13" spans="2:13" ht="13.5" customHeight="1" outlineLevel="1" x14ac:dyDescent="0.2">
      <c r="B13" s="54" t="s">
        <v>23</v>
      </c>
      <c r="C13" s="24">
        <f>1100452165.23</f>
        <v>1100452165.23</v>
      </c>
      <c r="D13" s="53">
        <f>582193336.94</f>
        <v>582193336.94000006</v>
      </c>
      <c r="E13" s="24">
        <f>733690083.6</f>
        <v>733690083.60000002</v>
      </c>
      <c r="F13" s="24">
        <f>3895483.11</f>
        <v>3895483.11</v>
      </c>
      <c r="G13" s="24">
        <f>1797657.16</f>
        <v>1797657.16</v>
      </c>
      <c r="H13" s="24">
        <f>5125485.34</f>
        <v>5125485.34</v>
      </c>
      <c r="I13" s="24">
        <f>4549</f>
        <v>4549</v>
      </c>
      <c r="J13" s="35">
        <f t="shared" si="0"/>
        <v>0.58809218487600867</v>
      </c>
      <c r="K13" s="35">
        <f t="shared" si="1"/>
        <v>52.904919935190343</v>
      </c>
      <c r="L13" s="35">
        <f t="shared" si="2"/>
        <v>1.2915876565196567</v>
      </c>
    </row>
    <row r="14" spans="2:13" ht="33.950000000000003" customHeight="1" outlineLevel="1" x14ac:dyDescent="0.2">
      <c r="B14" s="54" t="s">
        <v>43</v>
      </c>
      <c r="C14" s="24">
        <f>89111591.74</f>
        <v>89111591.739999995</v>
      </c>
      <c r="D14" s="53">
        <f>43052324.1</f>
        <v>43052324.100000001</v>
      </c>
      <c r="E14" s="24">
        <f>0</f>
        <v>0</v>
      </c>
      <c r="F14" s="24">
        <f>0</f>
        <v>0</v>
      </c>
      <c r="G14" s="24">
        <f>6594.32</f>
        <v>6594.32</v>
      </c>
      <c r="H14" s="24">
        <f>28193.09</f>
        <v>28193.09</v>
      </c>
      <c r="I14" s="24">
        <f>0</f>
        <v>0</v>
      </c>
      <c r="J14" s="35">
        <f t="shared" si="0"/>
        <v>4.348853505784514E-2</v>
      </c>
      <c r="K14" s="35">
        <f t="shared" si="1"/>
        <v>48.312821328131292</v>
      </c>
      <c r="L14" s="35">
        <f t="shared" si="2"/>
        <v>9.5510970091666286E-2</v>
      </c>
    </row>
    <row r="15" spans="2:13" ht="13.5" customHeight="1" outlineLevel="1" x14ac:dyDescent="0.2">
      <c r="B15" s="54" t="s">
        <v>28</v>
      </c>
      <c r="C15" s="24">
        <f>217666920.15</f>
        <v>217666920.15000001</v>
      </c>
      <c r="D15" s="53">
        <f>131275832.12</f>
        <v>131275832.12</v>
      </c>
      <c r="E15" s="24">
        <f>0</f>
        <v>0</v>
      </c>
      <c r="F15" s="24">
        <f>0</f>
        <v>0</v>
      </c>
      <c r="G15" s="24">
        <f>2558895.31</f>
        <v>2558895.31</v>
      </c>
      <c r="H15" s="24">
        <f>6683874.53</f>
        <v>6683874.5300000003</v>
      </c>
      <c r="I15" s="24">
        <f>0</f>
        <v>0</v>
      </c>
      <c r="J15" s="35">
        <f t="shared" si="0"/>
        <v>0.1326059335179634</v>
      </c>
      <c r="K15" s="35">
        <f t="shared" si="1"/>
        <v>60.310419254122017</v>
      </c>
      <c r="L15" s="35">
        <f t="shared" si="2"/>
        <v>0.29123357071847195</v>
      </c>
    </row>
    <row r="16" spans="2:13" ht="22.5" customHeight="1" outlineLevel="1" x14ac:dyDescent="0.2">
      <c r="B16" s="54" t="s">
        <v>29</v>
      </c>
      <c r="C16" s="24">
        <f>1665136629.48</f>
        <v>1665136629.48</v>
      </c>
      <c r="D16" s="53">
        <f>972152217.36</f>
        <v>972152217.36000001</v>
      </c>
      <c r="E16" s="24">
        <f>0</f>
        <v>0</v>
      </c>
      <c r="F16" s="24">
        <f>0</f>
        <v>0</v>
      </c>
      <c r="G16" s="24">
        <f>67058</f>
        <v>67058</v>
      </c>
      <c r="H16" s="24">
        <f>260593.63</f>
        <v>260593.63</v>
      </c>
      <c r="I16" s="24">
        <f>0</f>
        <v>0</v>
      </c>
      <c r="J16" s="35">
        <f t="shared" si="0"/>
        <v>0.98200217224096964</v>
      </c>
      <c r="K16" s="35">
        <f t="shared" si="1"/>
        <v>58.382729690090969</v>
      </c>
      <c r="L16" s="35">
        <f t="shared" si="2"/>
        <v>2.1567058991088941</v>
      </c>
    </row>
    <row r="17" spans="2:12" ht="13.5" customHeight="1" outlineLevel="1" x14ac:dyDescent="0.2">
      <c r="B17" s="54" t="s">
        <v>30</v>
      </c>
      <c r="C17" s="24">
        <f>197570147.57</f>
        <v>197570147.56999999</v>
      </c>
      <c r="D17" s="53">
        <f>100076914.68</f>
        <v>100076914.68000001</v>
      </c>
      <c r="E17" s="24">
        <f>0</f>
        <v>0</v>
      </c>
      <c r="F17" s="24">
        <f>0</f>
        <v>0</v>
      </c>
      <c r="G17" s="24">
        <f>2653</f>
        <v>2653</v>
      </c>
      <c r="H17" s="24">
        <f>9022</f>
        <v>9022</v>
      </c>
      <c r="I17" s="24">
        <f>0</f>
        <v>0</v>
      </c>
      <c r="J17" s="35">
        <f t="shared" si="0"/>
        <v>0.10109090516073108</v>
      </c>
      <c r="K17" s="35">
        <f t="shared" si="1"/>
        <v>50.653864417721458</v>
      </c>
      <c r="L17" s="35">
        <f t="shared" si="2"/>
        <v>0.22201921509895253</v>
      </c>
    </row>
    <row r="18" spans="2:12" ht="13.5" customHeight="1" outlineLevel="1" x14ac:dyDescent="0.2">
      <c r="B18" s="54" t="s">
        <v>31</v>
      </c>
      <c r="C18" s="24">
        <f>429969031.24</f>
        <v>429969031.24000001</v>
      </c>
      <c r="D18" s="53">
        <f>204756796.79</f>
        <v>204756796.78999999</v>
      </c>
      <c r="E18" s="24">
        <f>0</f>
        <v>0</v>
      </c>
      <c r="F18" s="24">
        <f>0</f>
        <v>0</v>
      </c>
      <c r="G18" s="24">
        <f>0</f>
        <v>0</v>
      </c>
      <c r="H18" s="24">
        <f>210505.35</f>
        <v>210505.35</v>
      </c>
      <c r="I18" s="24">
        <f>0</f>
        <v>0</v>
      </c>
      <c r="J18" s="35">
        <f t="shared" si="0"/>
        <v>0.20683141553173406</v>
      </c>
      <c r="K18" s="35">
        <f t="shared" si="1"/>
        <v>47.621289421588344</v>
      </c>
      <c r="L18" s="35">
        <f t="shared" si="2"/>
        <v>0.45425004812400083</v>
      </c>
    </row>
    <row r="19" spans="2:12" ht="13.5" customHeight="1" outlineLevel="1" x14ac:dyDescent="0.2">
      <c r="B19" s="54" t="s">
        <v>32</v>
      </c>
      <c r="C19" s="24">
        <f>118776821.84</f>
        <v>118776821.84</v>
      </c>
      <c r="D19" s="53">
        <f>47269513.75</f>
        <v>47269513.75</v>
      </c>
      <c r="E19" s="24">
        <f>588087.01</f>
        <v>588087.01</v>
      </c>
      <c r="F19" s="24">
        <f>0</f>
        <v>0</v>
      </c>
      <c r="G19" s="24">
        <f>0</f>
        <v>0</v>
      </c>
      <c r="H19" s="24">
        <f>72679.05</f>
        <v>72679.05</v>
      </c>
      <c r="I19" s="24">
        <f>0</f>
        <v>0</v>
      </c>
      <c r="J19" s="35">
        <f t="shared" si="0"/>
        <v>4.7748453744548669E-2</v>
      </c>
      <c r="K19" s="35">
        <f t="shared" si="1"/>
        <v>39.7969174606095</v>
      </c>
      <c r="L19" s="35">
        <f t="shared" si="2"/>
        <v>0.10486674548712362</v>
      </c>
    </row>
    <row r="20" spans="2:12" ht="13.5" customHeight="1" outlineLevel="1" x14ac:dyDescent="0.2">
      <c r="B20" s="54" t="s">
        <v>24</v>
      </c>
      <c r="C20" s="24">
        <f>5943449144.57</f>
        <v>5943449144.5699997</v>
      </c>
      <c r="D20" s="53">
        <f>2067136562.63</f>
        <v>2067136562.6300001</v>
      </c>
      <c r="E20" s="24">
        <f>0</f>
        <v>0</v>
      </c>
      <c r="F20" s="24">
        <f>0</f>
        <v>0</v>
      </c>
      <c r="G20" s="24">
        <f>0</f>
        <v>0</v>
      </c>
      <c r="H20" s="24">
        <f>10698.22</f>
        <v>10698.22</v>
      </c>
      <c r="I20" s="24">
        <f>0</f>
        <v>0</v>
      </c>
      <c r="J20" s="35">
        <f t="shared" si="0"/>
        <v>2.0880810212354657</v>
      </c>
      <c r="K20" s="35">
        <f t="shared" si="1"/>
        <v>34.780083287472202</v>
      </c>
      <c r="L20" s="35">
        <f t="shared" si="2"/>
        <v>4.5859131309648342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22517100178.940029</v>
      </c>
      <c r="D21" s="24">
        <f t="shared" ref="D21:I21" si="3">D7-D8-D9-D10-D11-D12-D13-D14-D15-D16-D17-D18-D19-D20</f>
        <v>11214090329.569996</v>
      </c>
      <c r="E21" s="24">
        <f t="shared" si="3"/>
        <v>11247029.510000339</v>
      </c>
      <c r="F21" s="24">
        <f t="shared" si="3"/>
        <v>91843.50000002142</v>
      </c>
      <c r="G21" s="24">
        <f t="shared" si="3"/>
        <v>7255384.7299999986</v>
      </c>
      <c r="H21" s="24">
        <f t="shared" si="3"/>
        <v>8716738.0799999963</v>
      </c>
      <c r="I21" s="24">
        <f t="shared" si="3"/>
        <v>269347.12000000011</v>
      </c>
      <c r="J21" s="35">
        <f t="shared" si="0"/>
        <v>11.327712745694649</v>
      </c>
      <c r="K21" s="35">
        <f t="shared" si="1"/>
        <v>49.802551129822646</v>
      </c>
      <c r="L21" s="35">
        <f t="shared" si="2"/>
        <v>24.878300265160455</v>
      </c>
    </row>
    <row r="22" spans="2:12" ht="27" customHeight="1" x14ac:dyDescent="0.2">
      <c r="B22" s="85" t="s">
        <v>98</v>
      </c>
      <c r="C22" s="45">
        <f>C23+C42+C44</f>
        <v>63261408578.089996</v>
      </c>
      <c r="D22" s="45">
        <f>D23+D42+D44</f>
        <v>23140259271.729996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23.374718964039758</v>
      </c>
      <c r="K22" s="46">
        <f t="shared" si="1"/>
        <v>36.578792334612054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57598103226.479996</v>
      </c>
      <c r="D23" s="45">
        <f>D24+D26+D28+D30+D32+D34+D36+D38+D40</f>
        <v>21344923315.359997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21.561192463174116</v>
      </c>
      <c r="K23" s="46">
        <f t="shared" si="1"/>
        <v>37.058378869578711</v>
      </c>
      <c r="L23" s="29"/>
    </row>
    <row r="24" spans="2:12" ht="22.5" customHeight="1" outlineLevel="1" x14ac:dyDescent="0.2">
      <c r="B24" s="83" t="s">
        <v>9</v>
      </c>
      <c r="C24" s="24">
        <f>15079773250.24</f>
        <v>15079773250.24</v>
      </c>
      <c r="D24" s="24">
        <f>10169518309.76</f>
        <v>10169518309.76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10.272557005474086</v>
      </c>
      <c r="K24" s="35">
        <f t="shared" si="1"/>
        <v>67.43813810063854</v>
      </c>
      <c r="L24" s="29"/>
    </row>
    <row r="25" spans="2:12" ht="13.5" customHeight="1" outlineLevel="1" x14ac:dyDescent="0.2">
      <c r="B25" s="94" t="s">
        <v>6</v>
      </c>
      <c r="C25" s="24">
        <f>10675370.37</f>
        <v>10675370.369999999</v>
      </c>
      <c r="D25" s="24">
        <f>209585</f>
        <v>209585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2.1170853863609361E-4</v>
      </c>
      <c r="K25" s="35">
        <f t="shared" si="1"/>
        <v>1.9632574115552679</v>
      </c>
      <c r="L25" s="29"/>
    </row>
    <row r="26" spans="2:12" ht="13.5" customHeight="1" outlineLevel="1" x14ac:dyDescent="0.2">
      <c r="B26" s="83" t="s">
        <v>7</v>
      </c>
      <c r="C26" s="24">
        <f>5894963535.57</f>
        <v>5894963535.5699997</v>
      </c>
      <c r="D26" s="24">
        <f>2655179507.97</f>
        <v>2655179507.9699998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2.682082083397336</v>
      </c>
      <c r="K26" s="35">
        <f t="shared" si="1"/>
        <v>45.041491638561311</v>
      </c>
      <c r="L26" s="29"/>
    </row>
    <row r="27" spans="2:12" ht="13.5" customHeight="1" outlineLevel="1" x14ac:dyDescent="0.2">
      <c r="B27" s="94" t="s">
        <v>6</v>
      </c>
      <c r="C27" s="24">
        <f>860832807.12</f>
        <v>860832807.12</v>
      </c>
      <c r="D27" s="24">
        <f>75662958.32</f>
        <v>75662958.319999993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7.6429583867217876E-2</v>
      </c>
      <c r="K27" s="35">
        <f t="shared" si="1"/>
        <v>8.7895068234141522</v>
      </c>
      <c r="L27" s="29"/>
    </row>
    <row r="28" spans="2:12" ht="35.1" customHeight="1" outlineLevel="1" x14ac:dyDescent="0.2">
      <c r="B28" s="83" t="s">
        <v>10</v>
      </c>
      <c r="C28" s="24">
        <f>48826505.49</f>
        <v>48826505.490000002</v>
      </c>
      <c r="D28" s="24">
        <f>12303282.4</f>
        <v>12303282.4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1.2427940631873323E-2</v>
      </c>
      <c r="K28" s="35">
        <f t="shared" si="1"/>
        <v>25.197958110108445</v>
      </c>
      <c r="L28" s="29"/>
    </row>
    <row r="29" spans="2:12" ht="13.5" customHeight="1" outlineLevel="1" x14ac:dyDescent="0.2">
      <c r="B29" s="94" t="s">
        <v>6</v>
      </c>
      <c r="C29" s="24">
        <f>27950614.63</f>
        <v>27950614.629999999</v>
      </c>
      <c r="D29" s="24">
        <f>1973123.22</f>
        <v>1973123.22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1.9931151249142037E-3</v>
      </c>
      <c r="K29" s="35">
        <f t="shared" si="1"/>
        <v>7.0593196111050958</v>
      </c>
      <c r="L29" s="29"/>
    </row>
    <row r="30" spans="2:12" ht="24" customHeight="1" outlineLevel="1" x14ac:dyDescent="0.2">
      <c r="B30" s="83" t="s">
        <v>11</v>
      </c>
      <c r="C30" s="24">
        <f>807270957.94</f>
        <v>807270957.94000006</v>
      </c>
      <c r="D30" s="24">
        <f>308932966.08</f>
        <v>308932966.07999998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0.31206310940816695</v>
      </c>
      <c r="K30" s="35">
        <f t="shared" si="1"/>
        <v>38.268807150988984</v>
      </c>
      <c r="L30" s="29"/>
    </row>
    <row r="31" spans="2:12" ht="13.5" customHeight="1" outlineLevel="1" x14ac:dyDescent="0.2">
      <c r="B31" s="94" t="s">
        <v>6</v>
      </c>
      <c r="C31" s="24">
        <f>316782651.29</f>
        <v>316782651.29000002</v>
      </c>
      <c r="D31" s="24">
        <f>63472663.85</f>
        <v>63472663.850000001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6.4115775971675004E-2</v>
      </c>
      <c r="K31" s="35">
        <f t="shared" si="1"/>
        <v>20.036660338414077</v>
      </c>
      <c r="L31" s="29"/>
    </row>
    <row r="32" spans="2:12" ht="35.1" customHeight="1" outlineLevel="1" x14ac:dyDescent="0.2">
      <c r="B32" s="83" t="s">
        <v>75</v>
      </c>
      <c r="C32" s="24">
        <f>1071381647.8</f>
        <v>1071381647.8</v>
      </c>
      <c r="D32" s="24">
        <f>394912360.36</f>
        <v>394912360.36000001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0.39891365651714572</v>
      </c>
      <c r="K32" s="35">
        <f t="shared" si="1"/>
        <v>36.860101269321</v>
      </c>
      <c r="L32" s="29"/>
    </row>
    <row r="33" spans="2:12" ht="13.5" customHeight="1" outlineLevel="1" x14ac:dyDescent="0.2">
      <c r="B33" s="94" t="s">
        <v>6</v>
      </c>
      <c r="C33" s="24">
        <f>938912712.59</f>
        <v>938912712.59000003</v>
      </c>
      <c r="D33" s="24">
        <f>328352307.63</f>
        <v>328352307.63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0.33167920989639693</v>
      </c>
      <c r="K33" s="35">
        <f t="shared" si="1"/>
        <v>34.971547751679374</v>
      </c>
      <c r="L33" s="29"/>
    </row>
    <row r="34" spans="2:12" ht="13.5" customHeight="1" outlineLevel="1" x14ac:dyDescent="0.2">
      <c r="B34" s="83" t="s">
        <v>8</v>
      </c>
      <c r="C34" s="24">
        <f>604461596.56</f>
        <v>604461596.55999994</v>
      </c>
      <c r="D34" s="24">
        <f>98266445.07</f>
        <v>98266445.069999993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9.9262091670366037E-2</v>
      </c>
      <c r="K34" s="35">
        <f t="shared" si="1"/>
        <v>16.256854964688547</v>
      </c>
      <c r="L34" s="29"/>
    </row>
    <row r="35" spans="2:12" ht="13.5" customHeight="1" outlineLevel="1" x14ac:dyDescent="0.2">
      <c r="B35" s="95" t="s">
        <v>6</v>
      </c>
      <c r="C35" s="22">
        <f>566886518.41</f>
        <v>566886518.40999997</v>
      </c>
      <c r="D35" s="22">
        <f>80846292.66</f>
        <v>80846292.659999996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8.1665436329863977E-2</v>
      </c>
      <c r="K35" s="35">
        <f t="shared" si="1"/>
        <v>14.261459751549078</v>
      </c>
      <c r="L35" s="29"/>
    </row>
    <row r="36" spans="2:12" ht="71.099999999999994" customHeight="1" outlineLevel="1" x14ac:dyDescent="0.2">
      <c r="B36" s="83" t="s">
        <v>92</v>
      </c>
      <c r="C36" s="22">
        <f>10079000.73</f>
        <v>10079000.73</v>
      </c>
      <c r="D36" s="22">
        <f>512245</f>
        <v>512245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5.1743512357108458E-4</v>
      </c>
      <c r="K36" s="35">
        <f>IF(C36=0,"",100*D36/C36)</f>
        <v>5.0822994632326015</v>
      </c>
      <c r="L36" s="29"/>
    </row>
    <row r="37" spans="2:12" ht="13.5" customHeight="1" outlineLevel="1" x14ac:dyDescent="0.2">
      <c r="B37" s="95" t="s">
        <v>93</v>
      </c>
      <c r="C37" s="22">
        <f>7274735.73</f>
        <v>7274735.7300000004</v>
      </c>
      <c r="D37" s="22">
        <f>256080</f>
        <v>256080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2.5867463117079393E-4</v>
      </c>
      <c r="K37" s="35">
        <f>IF(C37=0,"",100*D37/C37)</f>
        <v>3.5201278713666757</v>
      </c>
      <c r="L37" s="29"/>
    </row>
    <row r="38" spans="2:12" ht="48" customHeight="1" outlineLevel="1" x14ac:dyDescent="0.2">
      <c r="B38" s="96" t="s">
        <v>90</v>
      </c>
      <c r="C38" s="22">
        <f>33213623469.43</f>
        <v>33213623469.43</v>
      </c>
      <c r="D38" s="22">
        <f>6901533966.62</f>
        <v>6901533966.6199999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6.9714610798505747</v>
      </c>
      <c r="K38" s="35">
        <f t="shared" si="1"/>
        <v>20.779226250253032</v>
      </c>
      <c r="L38" s="29"/>
    </row>
    <row r="39" spans="2:12" ht="13.5" customHeight="1" outlineLevel="1" x14ac:dyDescent="0.2">
      <c r="B39" s="95" t="s">
        <v>6</v>
      </c>
      <c r="C39" s="22">
        <f>33034077203.83</f>
        <v>33034077203.830002</v>
      </c>
      <c r="D39" s="22">
        <f>6783692853.05</f>
        <v>6783692853.0500002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6.8524259869519666</v>
      </c>
      <c r="K39" s="35">
        <f t="shared" si="1"/>
        <v>20.535439241098256</v>
      </c>
      <c r="L39" s="29"/>
    </row>
    <row r="40" spans="2:12" ht="22.5" outlineLevel="1" x14ac:dyDescent="0.2">
      <c r="B40" s="96" t="s">
        <v>104</v>
      </c>
      <c r="C40" s="22">
        <f>867723262.72</f>
        <v>867723262.72000003</v>
      </c>
      <c r="D40" s="22">
        <f>803764232.1</f>
        <v>803764232.10000002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0.81190806110099945</v>
      </c>
      <c r="K40" s="35">
        <f t="shared" si="1"/>
        <v>92.629098081396194</v>
      </c>
      <c r="L40" s="29"/>
    </row>
    <row r="41" spans="2:12" ht="13.5" customHeight="1" outlineLevel="1" x14ac:dyDescent="0.2">
      <c r="B41" s="95" t="s">
        <v>6</v>
      </c>
      <c r="C41" s="22">
        <f>1856748.81</f>
        <v>1856748.81</v>
      </c>
      <c r="D41" s="22">
        <f>42348.81</f>
        <v>42348.81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4.2777892874383127E-5</v>
      </c>
      <c r="K41" s="35">
        <f t="shared" si="1"/>
        <v>2.2808044778011731</v>
      </c>
      <c r="L41" s="29"/>
    </row>
    <row r="42" spans="2:12" outlineLevel="1" x14ac:dyDescent="0.2">
      <c r="B42" s="93" t="s">
        <v>86</v>
      </c>
      <c r="C42" s="45">
        <f>696704508.14</f>
        <v>696704508.13999999</v>
      </c>
      <c r="D42" s="45">
        <f>245878406.6</f>
        <v>245878406.59999999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0.24836967408668192</v>
      </c>
      <c r="K42" s="46">
        <f t="shared" si="1"/>
        <v>35.291634218992556</v>
      </c>
      <c r="L42" s="29"/>
    </row>
    <row r="43" spans="2:12" ht="13.5" customHeight="1" outlineLevel="1" x14ac:dyDescent="0.2">
      <c r="B43" s="95" t="s">
        <v>87</v>
      </c>
      <c r="C43" s="22">
        <f>581569389.09</f>
        <v>581569389.09000003</v>
      </c>
      <c r="D43" s="22">
        <f>203890635.76</f>
        <v>203890635.75999999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0.20595647846140538</v>
      </c>
      <c r="K43" s="35">
        <f t="shared" si="1"/>
        <v>35.058694557331172</v>
      </c>
      <c r="L43" s="29"/>
    </row>
    <row r="44" spans="2:12" ht="13.5" customHeight="1" outlineLevel="1" x14ac:dyDescent="0.2">
      <c r="B44" s="93" t="s">
        <v>88</v>
      </c>
      <c r="C44" s="41">
        <f>4966600843.47</f>
        <v>4966600843.4700003</v>
      </c>
      <c r="D44" s="41">
        <f>1549457549.77</f>
        <v>1549457549.77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1.5651568267789631</v>
      </c>
      <c r="K44" s="55">
        <f t="shared" si="1"/>
        <v>31.19754533540177</v>
      </c>
      <c r="L44" s="29"/>
    </row>
    <row r="45" spans="2:12" ht="13.5" customHeight="1" outlineLevel="1" x14ac:dyDescent="0.2">
      <c r="B45" s="95" t="s">
        <v>89</v>
      </c>
      <c r="C45" s="22">
        <f>4322464575.06</f>
        <v>4322464575.0600004</v>
      </c>
      <c r="D45" s="22">
        <f>1351193988.69</f>
        <v>1351193988.6900001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1.364884437146906</v>
      </c>
      <c r="K45" s="35">
        <f t="shared" si="1"/>
        <v>31.259804799470079</v>
      </c>
      <c r="L45" s="29"/>
    </row>
    <row r="46" spans="2:12" s="5" customFormat="1" ht="25.5" customHeight="1" x14ac:dyDescent="0.2">
      <c r="B46" s="85" t="s">
        <v>60</v>
      </c>
      <c r="C46" s="25">
        <f>C47+C48+C49+C50+C51+C52</f>
        <v>52703338508.840004</v>
      </c>
      <c r="D46" s="45">
        <f>D47+D48+D49+D50+D51+D52</f>
        <v>30780902767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31.092778312862372</v>
      </c>
      <c r="K46" s="34">
        <f t="shared" si="1"/>
        <v>58.404085277893877</v>
      </c>
      <c r="L46" s="30"/>
    </row>
    <row r="47" spans="2:12" ht="13.5" customHeight="1" outlineLevel="1" x14ac:dyDescent="0.2">
      <c r="B47" s="32" t="s">
        <v>47</v>
      </c>
      <c r="C47" s="22">
        <f>12641347058</f>
        <v>12641347058</v>
      </c>
      <c r="D47" s="22">
        <f>6322868202</f>
        <v>6322868202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6.3869322090514338</v>
      </c>
      <c r="K47" s="35">
        <f t="shared" si="1"/>
        <v>50.017361069116532</v>
      </c>
      <c r="L47" s="29"/>
    </row>
    <row r="48" spans="2:12" ht="13.5" customHeight="1" outlineLevel="1" x14ac:dyDescent="0.2">
      <c r="B48" s="54" t="s">
        <v>46</v>
      </c>
      <c r="C48" s="24">
        <f>38033371479.87</f>
        <v>38033371479.870003</v>
      </c>
      <c r="D48" s="24">
        <f>23436911896</f>
        <v>23436911896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23.674377305842679</v>
      </c>
      <c r="K48" s="35">
        <f t="shared" si="1"/>
        <v>61.621967719597251</v>
      </c>
      <c r="L48" s="29"/>
    </row>
    <row r="49" spans="1:26" ht="13.5" customHeight="1" outlineLevel="1" x14ac:dyDescent="0.2">
      <c r="B49" s="54" t="s">
        <v>45</v>
      </c>
      <c r="C49" s="24">
        <f>277393</f>
        <v>277393</v>
      </c>
      <c r="D49" s="24">
        <f>0</f>
        <v>0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0</v>
      </c>
      <c r="K49" s="35">
        <f t="shared" si="1"/>
        <v>0</v>
      </c>
      <c r="L49" s="29"/>
    </row>
    <row r="50" spans="1:26" ht="13.5" customHeight="1" outlineLevel="1" x14ac:dyDescent="0.2">
      <c r="B50" s="54" t="s">
        <v>44</v>
      </c>
      <c r="C50" s="24">
        <f>481244970</f>
        <v>481244970</v>
      </c>
      <c r="D50" s="24">
        <f>239846184</f>
        <v>239846184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0.24227633233334264</v>
      </c>
      <c r="K50" s="35">
        <f t="shared" si="1"/>
        <v>49.838689015284672</v>
      </c>
      <c r="L50" s="29"/>
    </row>
    <row r="51" spans="1:26" ht="13.5" customHeight="1" outlineLevel="1" x14ac:dyDescent="0.2">
      <c r="B51" s="54" t="s">
        <v>115</v>
      </c>
      <c r="C51" s="22">
        <f>1535992256.01</f>
        <v>1535992256.01</v>
      </c>
      <c r="D51" s="22">
        <f>781275660</f>
        <v>781275660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0.78919163227592404</v>
      </c>
      <c r="K51" s="35">
        <f>IF(C51=0,"",100*D51/C51)</f>
        <v>50.864557223061517</v>
      </c>
      <c r="L51" s="29"/>
    </row>
    <row r="52" spans="1:26" s="5" customFormat="1" ht="13.5" customHeight="1" outlineLevel="1" x14ac:dyDescent="0.2">
      <c r="B52" s="54" t="s">
        <v>42</v>
      </c>
      <c r="C52" s="24">
        <f>11105351.96</f>
        <v>11105351.960000001</v>
      </c>
      <c r="D52" s="24">
        <f>825</f>
        <v>825</v>
      </c>
      <c r="E52" s="24" t="s">
        <v>57</v>
      </c>
      <c r="F52" s="24" t="s">
        <v>57</v>
      </c>
      <c r="G52" s="24" t="s">
        <v>57</v>
      </c>
      <c r="H52" s="24" t="s">
        <v>57</v>
      </c>
      <c r="I52" s="24" t="s">
        <v>57</v>
      </c>
      <c r="J52" s="35">
        <f t="shared" si="0"/>
        <v>8.3335899217394959E-7</v>
      </c>
      <c r="K52" s="35">
        <f t="shared" si="1"/>
        <v>7.4288505485601911E-3</v>
      </c>
      <c r="L52" s="30"/>
    </row>
    <row r="53" spans="1:26" s="5" customFormat="1" x14ac:dyDescent="0.2">
      <c r="A53" s="2"/>
      <c r="B53" s="20"/>
      <c r="C53" s="7"/>
      <c r="D53" s="8"/>
      <c r="E53" s="16"/>
      <c r="F53" s="16"/>
      <c r="G53" s="16"/>
      <c r="H53" s="16"/>
      <c r="I53" s="16"/>
      <c r="J53" s="9"/>
      <c r="K53" s="9"/>
      <c r="L53" s="3"/>
    </row>
    <row r="54" spans="1:26" s="5" customFormat="1" ht="13.5" customHeight="1" x14ac:dyDescent="0.2">
      <c r="A54" s="2"/>
      <c r="B54" s="84" t="s">
        <v>5</v>
      </c>
      <c r="C54" s="41">
        <f t="shared" ref="C54:I54" si="4">+C6</f>
        <v>205384815155.17001</v>
      </c>
      <c r="D54" s="41">
        <f t="shared" si="4"/>
        <v>98996951823.589996</v>
      </c>
      <c r="E54" s="41">
        <f t="shared" si="4"/>
        <v>2885068733.1100001</v>
      </c>
      <c r="F54" s="41">
        <f t="shared" si="4"/>
        <v>377091375.12</v>
      </c>
      <c r="G54" s="41">
        <f t="shared" si="4"/>
        <v>49387865.649999999</v>
      </c>
      <c r="H54" s="41">
        <f t="shared" si="4"/>
        <v>100056110.22</v>
      </c>
      <c r="I54" s="41">
        <f t="shared" si="4"/>
        <v>1686375.57</v>
      </c>
      <c r="J54" s="56">
        <f t="shared" si="0"/>
        <v>100</v>
      </c>
      <c r="K54" s="78">
        <f>IF(C54=0,"",100*D54/C54)</f>
        <v>48.200716176995336</v>
      </c>
      <c r="L54" s="80"/>
    </row>
    <row r="55" spans="1:26" s="5" customFormat="1" ht="13.5" customHeight="1" x14ac:dyDescent="0.2">
      <c r="A55" s="2"/>
      <c r="B55" s="86" t="s">
        <v>70</v>
      </c>
      <c r="C55" s="24">
        <f>49193388514.19</f>
        <v>49193388514.190002</v>
      </c>
      <c r="D55" s="24">
        <f>11633104282.89</f>
        <v>11633104282.889999</v>
      </c>
      <c r="E55" s="24">
        <f>0</f>
        <v>0</v>
      </c>
      <c r="F55" s="24">
        <f>0</f>
        <v>0</v>
      </c>
      <c r="G55" s="24">
        <f>0</f>
        <v>0</v>
      </c>
      <c r="H55" s="24">
        <f>0</f>
        <v>0</v>
      </c>
      <c r="I55" s="24">
        <f>0</f>
        <v>0</v>
      </c>
      <c r="J55" s="38">
        <f t="shared" si="0"/>
        <v>11.750972195204445</v>
      </c>
      <c r="K55" s="79">
        <f>IF(C55=0,"",100*D55/C55)</f>
        <v>23.647698673032842</v>
      </c>
      <c r="L55" s="80"/>
    </row>
    <row r="56" spans="1:26" s="5" customFormat="1" ht="13.5" customHeight="1" x14ac:dyDescent="0.2">
      <c r="A56" s="2"/>
      <c r="B56" s="86" t="s">
        <v>71</v>
      </c>
      <c r="C56" s="24">
        <f>C54-C55</f>
        <v>156191426640.98001</v>
      </c>
      <c r="D56" s="24">
        <f t="shared" ref="D56:I56" si="5">D54-D55</f>
        <v>87363847540.699997</v>
      </c>
      <c r="E56" s="24">
        <f t="shared" si="5"/>
        <v>2885068733.1100001</v>
      </c>
      <c r="F56" s="24">
        <f t="shared" si="5"/>
        <v>377091375.12</v>
      </c>
      <c r="G56" s="24">
        <f t="shared" si="5"/>
        <v>49387865.649999999</v>
      </c>
      <c r="H56" s="24">
        <f t="shared" si="5"/>
        <v>100056110.22</v>
      </c>
      <c r="I56" s="24">
        <f t="shared" si="5"/>
        <v>1686375.57</v>
      </c>
      <c r="J56" s="38">
        <f t="shared" si="0"/>
        <v>88.24902780479556</v>
      </c>
      <c r="K56" s="79">
        <f>IF(C56=0,"",100*D56/C56)</f>
        <v>55.933830312923405</v>
      </c>
      <c r="L56" s="80"/>
    </row>
    <row r="57" spans="1:26" s="5" customFormat="1" ht="13.5" customHeight="1" x14ac:dyDescent="0.2">
      <c r="A57" s="2"/>
      <c r="B57" s="105" t="s">
        <v>105</v>
      </c>
      <c r="C57" s="105"/>
      <c r="D57" s="105"/>
      <c r="E57" s="105"/>
      <c r="F57" s="76"/>
      <c r="G57" s="76"/>
      <c r="H57" s="76"/>
      <c r="I57" s="76"/>
      <c r="J57" s="9"/>
      <c r="K57" s="9"/>
      <c r="L57" s="9"/>
    </row>
    <row r="58" spans="1:26" ht="15" x14ac:dyDescent="0.2">
      <c r="B58" s="91" t="str">
        <f>CONCATENATE("Informacja z wykonania budżetów gmin za ",$D$118," ",$C$119," rok     ",$C$121,"")</f>
        <v xml:space="preserve">Informacja z wykonania budżetów gmin za II Kwartały 2024 rok     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</row>
    <row r="59" spans="1:26" s="5" customFormat="1" ht="7.5" customHeight="1" x14ac:dyDescent="0.2">
      <c r="B59" s="6"/>
      <c r="C59" s="7"/>
      <c r="D59" s="8"/>
      <c r="E59" s="8"/>
      <c r="F59" s="4"/>
      <c r="G59" s="4"/>
      <c r="H59" s="4"/>
      <c r="I59" s="4"/>
      <c r="J59" s="4"/>
      <c r="K59" s="9"/>
      <c r="L59" s="9"/>
      <c r="M59" s="3"/>
    </row>
    <row r="60" spans="1:26" ht="29.25" customHeight="1" x14ac:dyDescent="0.2">
      <c r="B60" s="106" t="s">
        <v>0</v>
      </c>
      <c r="C60" s="117" t="s">
        <v>53</v>
      </c>
      <c r="D60" s="117" t="s">
        <v>55</v>
      </c>
      <c r="E60" s="117" t="s">
        <v>54</v>
      </c>
      <c r="F60" s="117" t="s">
        <v>12</v>
      </c>
      <c r="G60" s="117"/>
      <c r="H60" s="117"/>
      <c r="I60" s="110" t="s">
        <v>80</v>
      </c>
      <c r="J60" s="117" t="s">
        <v>2</v>
      </c>
      <c r="K60" s="118" t="s">
        <v>18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8" customHeight="1" x14ac:dyDescent="0.2">
      <c r="B61" s="106"/>
      <c r="C61" s="117"/>
      <c r="D61" s="117"/>
      <c r="E61" s="121"/>
      <c r="F61" s="107" t="s">
        <v>56</v>
      </c>
      <c r="G61" s="122" t="s">
        <v>33</v>
      </c>
      <c r="H61" s="121"/>
      <c r="I61" s="111"/>
      <c r="J61" s="117"/>
      <c r="K61" s="118"/>
      <c r="L61" s="11"/>
      <c r="M61" s="12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.75" customHeight="1" x14ac:dyDescent="0.2">
      <c r="B62" s="106"/>
      <c r="C62" s="117"/>
      <c r="D62" s="117"/>
      <c r="E62" s="121"/>
      <c r="F62" s="121"/>
      <c r="G62" s="18" t="s">
        <v>51</v>
      </c>
      <c r="H62" s="18" t="s">
        <v>52</v>
      </c>
      <c r="I62" s="112"/>
      <c r="J62" s="117"/>
      <c r="K62" s="118"/>
      <c r="L62" s="11"/>
      <c r="M62" s="10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2">
      <c r="B63" s="106"/>
      <c r="C63" s="113" t="s">
        <v>74</v>
      </c>
      <c r="D63" s="114"/>
      <c r="E63" s="114"/>
      <c r="F63" s="114"/>
      <c r="G63" s="114"/>
      <c r="H63" s="114"/>
      <c r="I63" s="115"/>
      <c r="J63" s="109" t="s">
        <v>4</v>
      </c>
      <c r="K63" s="109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0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14" ht="25.5" customHeight="1" x14ac:dyDescent="0.2">
      <c r="B65" s="84" t="s">
        <v>61</v>
      </c>
      <c r="C65" s="57">
        <f>224934222074.5</f>
        <v>224934222074.5</v>
      </c>
      <c r="D65" s="68">
        <f>92430005029.72</f>
        <v>92430005029.720001</v>
      </c>
      <c r="E65" s="68">
        <f>155242463468.21</f>
        <v>155242463468.20999</v>
      </c>
      <c r="F65" s="57">
        <f>4898098773.45</f>
        <v>4898098773.4499998</v>
      </c>
      <c r="G65" s="57">
        <f>7259299.42</f>
        <v>7259299.4199999999</v>
      </c>
      <c r="H65" s="57">
        <f>47279627.46</f>
        <v>47279627.460000001</v>
      </c>
      <c r="I65" s="69">
        <f>0</f>
        <v>0</v>
      </c>
      <c r="J65" s="52">
        <f>IF($D$65=0,"",100*$D65/$D$65)</f>
        <v>100</v>
      </c>
      <c r="K65" s="52">
        <f>IF(C65=0,"",100*D65/C65)</f>
        <v>41.092015335535045</v>
      </c>
      <c r="N65" s="77"/>
    </row>
    <row r="66" spans="2:14" ht="13.5" customHeight="1" x14ac:dyDescent="0.2">
      <c r="B66" s="85" t="s">
        <v>14</v>
      </c>
      <c r="C66" s="26">
        <f>70626462779.5899</f>
        <v>70626462779.589905</v>
      </c>
      <c r="D66" s="26">
        <f>15297365048.6</f>
        <v>15297365048.6</v>
      </c>
      <c r="E66" s="26">
        <f>36935551013.27</f>
        <v>36935551013.269997</v>
      </c>
      <c r="F66" s="26">
        <f>1830751644.2</f>
        <v>1830751644.2</v>
      </c>
      <c r="G66" s="26">
        <f>3118346.39</f>
        <v>3118346.39</v>
      </c>
      <c r="H66" s="26">
        <f>21291552.29</f>
        <v>21291552.289999999</v>
      </c>
      <c r="I66" s="70">
        <f>0</f>
        <v>0</v>
      </c>
      <c r="J66" s="52">
        <f t="shared" ref="J66:J74" si="6">IF($D$65=0,"",100*$D66/$D$65)</f>
        <v>16.550215531938221</v>
      </c>
      <c r="K66" s="52">
        <f t="shared" ref="K66:K74" si="7">IF(C66=0,"",100*D66/C66)</f>
        <v>21.659537298844779</v>
      </c>
      <c r="N66" s="61"/>
    </row>
    <row r="67" spans="2:14" ht="13.5" customHeight="1" outlineLevel="1" x14ac:dyDescent="0.2">
      <c r="B67" s="32" t="s">
        <v>13</v>
      </c>
      <c r="C67" s="22">
        <f>69078173770.52</f>
        <v>69078173770.520004</v>
      </c>
      <c r="D67" s="22">
        <f>14501800738.69</f>
        <v>14501800738.690001</v>
      </c>
      <c r="E67" s="22">
        <f>35988934494.4399</f>
        <v>35988934494.439903</v>
      </c>
      <c r="F67" s="22">
        <f>1815173194.2</f>
        <v>1815173194.2</v>
      </c>
      <c r="G67" s="22">
        <f>3118346.39</f>
        <v>3118346.39</v>
      </c>
      <c r="H67" s="22">
        <f>18341552.29</f>
        <v>18341552.289999999</v>
      </c>
      <c r="I67" s="66">
        <f>0</f>
        <v>0</v>
      </c>
      <c r="J67" s="52">
        <f t="shared" si="6"/>
        <v>15.689494698206586</v>
      </c>
      <c r="K67" s="52">
        <f t="shared" si="7"/>
        <v>20.993318073036303</v>
      </c>
      <c r="N67" s="76"/>
    </row>
    <row r="68" spans="2:14" ht="27" customHeight="1" x14ac:dyDescent="0.2">
      <c r="B68" s="85" t="s">
        <v>62</v>
      </c>
      <c r="C68" s="26">
        <f t="shared" ref="C68:I68" si="8">C65-C66</f>
        <v>154307759294.9101</v>
      </c>
      <c r="D68" s="26">
        <f>D65-D66</f>
        <v>77132639981.119995</v>
      </c>
      <c r="E68" s="26">
        <f>E65-E66</f>
        <v>118306912454.94</v>
      </c>
      <c r="F68" s="26">
        <f t="shared" si="8"/>
        <v>3067347129.25</v>
      </c>
      <c r="G68" s="26">
        <f t="shared" si="8"/>
        <v>4140953.03</v>
      </c>
      <c r="H68" s="26">
        <f t="shared" si="8"/>
        <v>25988075.170000002</v>
      </c>
      <c r="I68" s="70">
        <f t="shared" si="8"/>
        <v>0</v>
      </c>
      <c r="J68" s="52">
        <f t="shared" si="6"/>
        <v>83.449784468061779</v>
      </c>
      <c r="K68" s="52">
        <f t="shared" si="7"/>
        <v>49.986235516326531</v>
      </c>
      <c r="N68" s="61"/>
    </row>
    <row r="69" spans="2:14" ht="22.5" outlineLevel="1" x14ac:dyDescent="0.2">
      <c r="B69" s="32" t="s">
        <v>96</v>
      </c>
      <c r="C69" s="22">
        <f>72463269168.41</f>
        <v>72463269168.410004</v>
      </c>
      <c r="D69" s="22">
        <f>36635432163.2901</f>
        <v>36635432163.2901</v>
      </c>
      <c r="E69" s="22">
        <f>62604725424.86</f>
        <v>62604725424.860001</v>
      </c>
      <c r="F69" s="22">
        <f>1308764512.29</f>
        <v>1308764512.29</v>
      </c>
      <c r="G69" s="22">
        <f>951014.19</f>
        <v>951014.19</v>
      </c>
      <c r="H69" s="22">
        <f>4507082.39</f>
        <v>4507082.3899999997</v>
      </c>
      <c r="I69" s="66">
        <f>0</f>
        <v>0</v>
      </c>
      <c r="J69" s="52">
        <f t="shared" si="6"/>
        <v>39.635865162519806</v>
      </c>
      <c r="K69" s="52">
        <f t="shared" si="7"/>
        <v>50.557244496031004</v>
      </c>
      <c r="N69" s="76"/>
    </row>
    <row r="70" spans="2:14" ht="13.5" customHeight="1" outlineLevel="1" x14ac:dyDescent="0.2">
      <c r="B70" s="54" t="s">
        <v>50</v>
      </c>
      <c r="C70" s="59">
        <f>14616031225.11</f>
        <v>14616031225.110001</v>
      </c>
      <c r="D70" s="59">
        <f>7720510029.62</f>
        <v>7720510029.6199999</v>
      </c>
      <c r="E70" s="59">
        <f>10358400079.44</f>
        <v>10358400079.440001</v>
      </c>
      <c r="F70" s="59">
        <f>68528604.16</f>
        <v>68528604.159999996</v>
      </c>
      <c r="G70" s="59">
        <f>11792</f>
        <v>11792</v>
      </c>
      <c r="H70" s="59">
        <f>762650.64</f>
        <v>762650.64</v>
      </c>
      <c r="I70" s="71">
        <f>0</f>
        <v>0</v>
      </c>
      <c r="J70" s="52">
        <f t="shared" si="6"/>
        <v>8.3528179265353746</v>
      </c>
      <c r="K70" s="52">
        <f t="shared" si="7"/>
        <v>52.822205362809733</v>
      </c>
      <c r="N70" s="75"/>
    </row>
    <row r="71" spans="2:14" ht="13.5" customHeight="1" outlineLevel="1" x14ac:dyDescent="0.2">
      <c r="B71" s="54" t="s">
        <v>49</v>
      </c>
      <c r="C71" s="24">
        <f>2675840972.45</f>
        <v>2675840972.4499998</v>
      </c>
      <c r="D71" s="24">
        <f>1246389335.83</f>
        <v>1246389335.8299999</v>
      </c>
      <c r="E71" s="24">
        <f>1565090788.62</f>
        <v>1565090788.6199999</v>
      </c>
      <c r="F71" s="24">
        <f>96764197.03</f>
        <v>96764197.030000001</v>
      </c>
      <c r="G71" s="24">
        <f>0</f>
        <v>0</v>
      </c>
      <c r="H71" s="24">
        <f>1796357.7</f>
        <v>1796357.7</v>
      </c>
      <c r="I71" s="72">
        <f>0</f>
        <v>0</v>
      </c>
      <c r="J71" s="52">
        <f t="shared" si="6"/>
        <v>1.3484683198158813</v>
      </c>
      <c r="K71" s="52">
        <f t="shared" si="7"/>
        <v>46.579350143099347</v>
      </c>
      <c r="N71" s="76"/>
    </row>
    <row r="72" spans="2:14" ht="24" customHeight="1" outlineLevel="1" x14ac:dyDescent="0.2">
      <c r="B72" s="54" t="s">
        <v>68</v>
      </c>
      <c r="C72" s="59">
        <f>96024917.52</f>
        <v>96024917.519999996</v>
      </c>
      <c r="D72" s="59">
        <f>597116.28</f>
        <v>597116.28</v>
      </c>
      <c r="E72" s="59">
        <f>4320123.41</f>
        <v>4320123.41</v>
      </c>
      <c r="F72" s="59">
        <f>0</f>
        <v>0</v>
      </c>
      <c r="G72" s="59">
        <f>0</f>
        <v>0</v>
      </c>
      <c r="H72" s="59">
        <f>0</f>
        <v>0</v>
      </c>
      <c r="I72" s="71">
        <f>0</f>
        <v>0</v>
      </c>
      <c r="J72" s="52">
        <f t="shared" si="6"/>
        <v>6.460199583544357E-4</v>
      </c>
      <c r="K72" s="52">
        <f t="shared" si="7"/>
        <v>0.62183472313385024</v>
      </c>
      <c r="N72" s="75"/>
    </row>
    <row r="73" spans="2:14" ht="22.5" outlineLevel="1" x14ac:dyDescent="0.2">
      <c r="B73" s="54" t="s">
        <v>69</v>
      </c>
      <c r="C73" s="59">
        <f>16483977493.5</f>
        <v>16483977493.5</v>
      </c>
      <c r="D73" s="59">
        <f>9597904304.54</f>
        <v>9597904304.5400009</v>
      </c>
      <c r="E73" s="59">
        <f>13010103957.72</f>
        <v>13010103957.719999</v>
      </c>
      <c r="F73" s="59">
        <f>175436382.25</f>
        <v>175436382.25</v>
      </c>
      <c r="G73" s="59">
        <f>77271.25</f>
        <v>77271.25</v>
      </c>
      <c r="H73" s="59">
        <f>540040.59</f>
        <v>540040.59</v>
      </c>
      <c r="I73" s="73">
        <f>0</f>
        <v>0</v>
      </c>
      <c r="J73" s="52">
        <f t="shared" si="6"/>
        <v>10.383970336747126</v>
      </c>
      <c r="K73" s="52">
        <f t="shared" si="7"/>
        <v>58.225657662567599</v>
      </c>
      <c r="N73" s="75"/>
    </row>
    <row r="74" spans="2:14" ht="13.5" customHeight="1" outlineLevel="1" x14ac:dyDescent="0.2">
      <c r="B74" s="54" t="s">
        <v>48</v>
      </c>
      <c r="C74" s="24">
        <f t="shared" ref="C74:I74" si="9">C68-C69-C70-C71-C72-C73</f>
        <v>47972615517.920097</v>
      </c>
      <c r="D74" s="24">
        <f>D68-D69-D70-D71-D72-D73</f>
        <v>21931807031.559898</v>
      </c>
      <c r="E74" s="24">
        <f>E68-E69-E70-E71-E72-E73</f>
        <v>30764272080.889992</v>
      </c>
      <c r="F74" s="24">
        <f t="shared" si="9"/>
        <v>1417853433.52</v>
      </c>
      <c r="G74" s="24">
        <f t="shared" si="9"/>
        <v>3100875.59</v>
      </c>
      <c r="H74" s="24">
        <f t="shared" si="9"/>
        <v>18381943.850000001</v>
      </c>
      <c r="I74" s="71">
        <f t="shared" si="9"/>
        <v>0</v>
      </c>
      <c r="J74" s="52">
        <f t="shared" si="6"/>
        <v>23.728016702485228</v>
      </c>
      <c r="K74" s="52">
        <f t="shared" si="7"/>
        <v>45.717346854618143</v>
      </c>
      <c r="N74" s="76"/>
    </row>
    <row r="75" spans="2:14" ht="18" customHeight="1" x14ac:dyDescent="0.2">
      <c r="B75" s="84" t="s">
        <v>15</v>
      </c>
      <c r="C75" s="26">
        <f>C6-C65</f>
        <v>-19549406919.329987</v>
      </c>
      <c r="D75" s="26">
        <f>D6-D65</f>
        <v>6566946793.8699951</v>
      </c>
      <c r="E75" s="81"/>
      <c r="F75" s="61"/>
      <c r="G75" s="61"/>
      <c r="H75" s="61"/>
      <c r="I75" s="82"/>
      <c r="J75" s="28"/>
      <c r="K75" s="28"/>
      <c r="L75" s="13"/>
      <c r="N75" s="61"/>
    </row>
    <row r="76" spans="2:14" ht="38.25" x14ac:dyDescent="0.2">
      <c r="B76" s="87" t="s">
        <v>101</v>
      </c>
      <c r="C76" s="26">
        <f>+C56-C68</f>
        <v>1883667346.0699158</v>
      </c>
      <c r="D76" s="26">
        <f>+D56-D68</f>
        <v>10231207559.580002</v>
      </c>
      <c r="E76" s="81"/>
      <c r="F76" s="61"/>
      <c r="G76" s="61"/>
      <c r="H76" s="61"/>
      <c r="I76" s="61"/>
      <c r="J76" s="28"/>
      <c r="K76" s="28"/>
      <c r="L76" s="13"/>
      <c r="N76" s="61"/>
    </row>
    <row r="77" spans="2:14" x14ac:dyDescent="0.2">
      <c r="B77" s="60"/>
      <c r="C77" s="61"/>
      <c r="D77" s="61"/>
      <c r="E77" s="61"/>
      <c r="F77" s="61"/>
      <c r="G77" s="61"/>
      <c r="H77" s="61"/>
      <c r="I77" s="61"/>
      <c r="J77" s="61"/>
      <c r="K77" s="28"/>
      <c r="L77" s="28"/>
      <c r="M77" s="13"/>
    </row>
    <row r="78" spans="2:14" ht="14.25" customHeight="1" x14ac:dyDescent="0.2">
      <c r="B78" s="103" t="s">
        <v>106</v>
      </c>
      <c r="C78" s="104"/>
      <c r="D78" s="104"/>
      <c r="E78" s="104"/>
      <c r="F78" s="104"/>
      <c r="G78" s="61"/>
      <c r="H78" s="61"/>
      <c r="I78" s="61"/>
      <c r="J78" s="61"/>
      <c r="K78" s="28"/>
      <c r="L78" s="28"/>
      <c r="M78" s="13"/>
    </row>
    <row r="79" spans="2:14" ht="27" customHeight="1" x14ac:dyDescent="0.2">
      <c r="B79" s="84" t="s">
        <v>102</v>
      </c>
      <c r="C79" s="41">
        <f>6162347607.05</f>
        <v>6162347607.0500002</v>
      </c>
      <c r="D79" s="41">
        <f>1317137834.19</f>
        <v>1317137834.1900001</v>
      </c>
      <c r="E79" s="41">
        <f>2720119074.6</f>
        <v>2720119074.5999999</v>
      </c>
      <c r="F79" s="41">
        <f>108977342.61</f>
        <v>108977342.61</v>
      </c>
      <c r="G79" s="41">
        <f>9104.58</f>
        <v>9104.58</v>
      </c>
      <c r="H79" s="41">
        <f>0</f>
        <v>0</v>
      </c>
      <c r="I79" s="41">
        <f>0</f>
        <v>0</v>
      </c>
      <c r="J79" s="62">
        <f>IF($D$79=0,"",100*$D79/$D$79)</f>
        <v>100</v>
      </c>
      <c r="K79" s="62">
        <f>IF(C79=0,"",100*D79/C79)</f>
        <v>21.373961973244345</v>
      </c>
      <c r="L79" s="13"/>
    </row>
    <row r="80" spans="2:14" ht="15" customHeight="1" x14ac:dyDescent="0.2">
      <c r="B80" s="88" t="s">
        <v>72</v>
      </c>
      <c r="C80" s="22">
        <f>5319964421.51001</f>
        <v>5319964421.5100098</v>
      </c>
      <c r="D80" s="22">
        <f>1143921977.97</f>
        <v>1143921977.97</v>
      </c>
      <c r="E80" s="22">
        <f>2456027487.26</f>
        <v>2456027487.2600002</v>
      </c>
      <c r="F80" s="22">
        <f>103768738.08</f>
        <v>103768738.08</v>
      </c>
      <c r="G80" s="22">
        <f>9104.58</f>
        <v>9104.58</v>
      </c>
      <c r="H80" s="22">
        <f>0</f>
        <v>0</v>
      </c>
      <c r="I80" s="22">
        <f>0</f>
        <v>0</v>
      </c>
      <c r="J80" s="62">
        <f>IF($D$79=0,"",100*$D80/$D$79)</f>
        <v>86.849071393767787</v>
      </c>
      <c r="K80" s="62">
        <f>IF(C80=0,"",100*D80/C80)</f>
        <v>21.502436620531217</v>
      </c>
      <c r="L80" s="13"/>
    </row>
    <row r="81" spans="2:13" ht="14.25" customHeight="1" x14ac:dyDescent="0.2">
      <c r="B81" s="89" t="s">
        <v>73</v>
      </c>
      <c r="C81" s="22">
        <f>+C79-C80</f>
        <v>842383185.53999043</v>
      </c>
      <c r="D81" s="22">
        <f t="shared" ref="D81:I81" si="10">+D79-D80</f>
        <v>173215856.22000003</v>
      </c>
      <c r="E81" s="22">
        <f t="shared" si="10"/>
        <v>264091587.33999968</v>
      </c>
      <c r="F81" s="22">
        <f t="shared" si="10"/>
        <v>5208604.5300000012</v>
      </c>
      <c r="G81" s="22">
        <f t="shared" si="10"/>
        <v>0</v>
      </c>
      <c r="H81" s="22">
        <f t="shared" si="10"/>
        <v>0</v>
      </c>
      <c r="I81" s="22">
        <f t="shared" si="10"/>
        <v>0</v>
      </c>
      <c r="J81" s="62">
        <f>IF($D$79=0,"",100*$D81/$D$79)</f>
        <v>13.150928606232206</v>
      </c>
      <c r="K81" s="62">
        <f>IF(C81=0,"",100*D81/C81)</f>
        <v>20.562596594204809</v>
      </c>
      <c r="L81" s="10"/>
    </row>
    <row r="82" spans="2:13" ht="15" x14ac:dyDescent="0.2">
      <c r="B82" s="91" t="str">
        <f>CONCATENATE("Informacja z wykonania budżetów gmin za ",$D$118," ",$C$119," rok     ",$C$121,"")</f>
        <v xml:space="preserve">Informacja z wykonania budżetów gmin za II Kwartały 2024 rok     </v>
      </c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</row>
    <row r="84" spans="2:13" ht="18" customHeight="1" x14ac:dyDescent="0.2">
      <c r="B84" s="40" t="s">
        <v>16</v>
      </c>
      <c r="C84" s="67" t="s">
        <v>17</v>
      </c>
      <c r="D84" s="67" t="s">
        <v>1</v>
      </c>
      <c r="E84" s="123" t="s">
        <v>57</v>
      </c>
      <c r="F84" s="124"/>
      <c r="G84" s="124"/>
      <c r="H84" s="124"/>
      <c r="I84" s="125"/>
      <c r="J84" s="19" t="s">
        <v>26</v>
      </c>
      <c r="K84" s="19" t="s">
        <v>27</v>
      </c>
    </row>
    <row r="85" spans="2:13" ht="13.5" customHeight="1" x14ac:dyDescent="0.2">
      <c r="B85" s="40"/>
      <c r="C85" s="107" t="s">
        <v>74</v>
      </c>
      <c r="D85" s="108"/>
      <c r="E85" s="126"/>
      <c r="F85" s="127"/>
      <c r="G85" s="127"/>
      <c r="H85" s="127"/>
      <c r="I85" s="128"/>
      <c r="J85" s="107" t="s">
        <v>4</v>
      </c>
      <c r="K85" s="116"/>
      <c r="M85" s="14"/>
    </row>
    <row r="86" spans="2:13" ht="11.25" customHeight="1" x14ac:dyDescent="0.2">
      <c r="B86" s="39">
        <v>1</v>
      </c>
      <c r="C86" s="42">
        <v>2</v>
      </c>
      <c r="D86" s="42">
        <v>3</v>
      </c>
      <c r="E86" s="129"/>
      <c r="F86" s="130"/>
      <c r="G86" s="130"/>
      <c r="H86" s="130"/>
      <c r="I86" s="131"/>
      <c r="J86" s="31">
        <v>4</v>
      </c>
      <c r="K86" s="31">
        <v>5</v>
      </c>
      <c r="M86" s="10"/>
    </row>
    <row r="87" spans="2:13" ht="27" customHeight="1" x14ac:dyDescent="0.2">
      <c r="B87" s="90" t="s">
        <v>63</v>
      </c>
      <c r="C87" s="43">
        <f>24582926132.89</f>
        <v>24582926132.889999</v>
      </c>
      <c r="D87" s="43">
        <f>19540007869.65</f>
        <v>19540007869.650002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37">
        <f t="shared" ref="J87:J97" si="11">IF($D$87=0,"",100*$D87/$D$87)</f>
        <v>100</v>
      </c>
      <c r="K87" s="36">
        <f t="shared" ref="K87:K102" si="12">IF(C87=0,"",100*D87/C87)</f>
        <v>79.486094389337268</v>
      </c>
    </row>
    <row r="88" spans="2:13" ht="36" customHeight="1" x14ac:dyDescent="0.2">
      <c r="B88" s="98" t="s">
        <v>103</v>
      </c>
      <c r="C88" s="44">
        <f>11547673757.07</f>
        <v>11547673757.07</v>
      </c>
      <c r="D88" s="44">
        <f>824736024.77</f>
        <v>824736024.76999998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50">
        <f t="shared" si="11"/>
        <v>4.2207558475500893</v>
      </c>
      <c r="K88" s="51">
        <f t="shared" si="12"/>
        <v>7.1420100889589122</v>
      </c>
    </row>
    <row r="89" spans="2:13" ht="22.5" x14ac:dyDescent="0.2">
      <c r="B89" s="99" t="s">
        <v>81</v>
      </c>
      <c r="C89" s="63">
        <f>295645755.97</f>
        <v>295645755.97000003</v>
      </c>
      <c r="D89" s="63">
        <f>5030000</f>
        <v>5030000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2.574205718623437E-2</v>
      </c>
      <c r="K89" s="58">
        <f t="shared" si="12"/>
        <v>1.7013604621168341</v>
      </c>
    </row>
    <row r="90" spans="2:13" ht="13.5" customHeight="1" x14ac:dyDescent="0.2">
      <c r="B90" s="100" t="s">
        <v>82</v>
      </c>
      <c r="C90" s="63">
        <f>171014651.94</f>
        <v>171014651.94</v>
      </c>
      <c r="D90" s="63">
        <f>53729537.49</f>
        <v>53729537.490000002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0.27497193372912598</v>
      </c>
      <c r="K90" s="58">
        <f t="shared" si="12"/>
        <v>31.418090134669196</v>
      </c>
    </row>
    <row r="91" spans="2:13" ht="50.1" customHeight="1" x14ac:dyDescent="0.2">
      <c r="B91" s="100" t="s">
        <v>97</v>
      </c>
      <c r="C91" s="63">
        <f>3635741600.53</f>
        <v>3635741600.5300002</v>
      </c>
      <c r="D91" s="63">
        <f>5995805579.61</f>
        <v>5995805579.6099997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30.684765428998755</v>
      </c>
      <c r="K91" s="58">
        <f t="shared" si="12"/>
        <v>164.9128634096538</v>
      </c>
    </row>
    <row r="92" spans="2:13" ht="35.1" customHeight="1" x14ac:dyDescent="0.2">
      <c r="B92" s="100" t="s">
        <v>113</v>
      </c>
      <c r="C92" s="63">
        <f>2391486074.01</f>
        <v>2391486074.0100002</v>
      </c>
      <c r="D92" s="63">
        <f>2841298020.23</f>
        <v>2841298020.23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14.540925669959277</v>
      </c>
      <c r="K92" s="58">
        <f t="shared" si="12"/>
        <v>118.80888837733282</v>
      </c>
    </row>
    <row r="93" spans="2:13" ht="13.5" customHeight="1" x14ac:dyDescent="0.2">
      <c r="B93" s="100" t="s">
        <v>83</v>
      </c>
      <c r="C93" s="63">
        <f>0</f>
        <v>0</v>
      </c>
      <c r="D93" s="63">
        <f>0</f>
        <v>0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0</v>
      </c>
      <c r="K93" s="58" t="str">
        <f t="shared" si="12"/>
        <v/>
      </c>
    </row>
    <row r="94" spans="2:13" ht="35.1" customHeight="1" x14ac:dyDescent="0.2">
      <c r="B94" s="100" t="s">
        <v>91</v>
      </c>
      <c r="C94" s="63">
        <f>6399203053.19</f>
        <v>6399203053.1899996</v>
      </c>
      <c r="D94" s="63">
        <f>8983186285.18</f>
        <v>8983186285.1800003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>
        <f t="shared" si="11"/>
        <v>45.973299218230594</v>
      </c>
      <c r="K94" s="58">
        <f t="shared" si="12"/>
        <v>140.3797662070105</v>
      </c>
    </row>
    <row r="95" spans="2:13" ht="56.25" x14ac:dyDescent="0.2">
      <c r="B95" s="100" t="s">
        <v>114</v>
      </c>
      <c r="C95" s="63">
        <f>0</f>
        <v>0</v>
      </c>
      <c r="D95" s="63">
        <f>383751227.25</f>
        <v>383751227.25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x14ac:dyDescent="0.2">
      <c r="B96" s="100" t="s">
        <v>108</v>
      </c>
      <c r="C96" s="63">
        <f>437806996.15</f>
        <v>437806996.14999998</v>
      </c>
      <c r="D96" s="63">
        <f>457501195.12</f>
        <v>457501195.12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/>
      <c r="K96" s="58"/>
    </row>
    <row r="97" spans="2:11" ht="22.5" x14ac:dyDescent="0.2">
      <c r="B97" s="99" t="s">
        <v>109</v>
      </c>
      <c r="C97" s="63">
        <f>434806996.15</f>
        <v>434806996.14999998</v>
      </c>
      <c r="D97" s="63">
        <f>428831891.69</f>
        <v>428831891.69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64">
        <f t="shared" si="11"/>
        <v>2.1946352046053765</v>
      </c>
      <c r="K97" s="58">
        <f t="shared" si="12"/>
        <v>98.62580305448013</v>
      </c>
    </row>
    <row r="98" spans="2:11" ht="27" customHeight="1" x14ac:dyDescent="0.2">
      <c r="B98" s="90" t="s">
        <v>64</v>
      </c>
      <c r="C98" s="49">
        <f>5032777922.55</f>
        <v>5032777922.5500002</v>
      </c>
      <c r="D98" s="49">
        <f>2922071188.87</f>
        <v>2922071188.8699999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37">
        <f t="shared" ref="J98:J103" si="13">IF($D$98=0,"",100*$D98/$D$98)</f>
        <v>100</v>
      </c>
      <c r="K98" s="36">
        <f t="shared" si="12"/>
        <v>58.060801287839247</v>
      </c>
    </row>
    <row r="99" spans="2:11" ht="36" customHeight="1" x14ac:dyDescent="0.2">
      <c r="B99" s="98" t="s">
        <v>99</v>
      </c>
      <c r="C99" s="44">
        <f>4460207359.89</f>
        <v>4460207359.8900003</v>
      </c>
      <c r="D99" s="48">
        <f>1911724899.51</f>
        <v>1911724899.51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50">
        <f t="shared" si="13"/>
        <v>65.423625091395778</v>
      </c>
      <c r="K99" s="51">
        <f t="shared" si="12"/>
        <v>42.861794200463983</v>
      </c>
    </row>
    <row r="100" spans="2:11" ht="13.5" customHeight="1" x14ac:dyDescent="0.2">
      <c r="B100" s="99" t="s">
        <v>84</v>
      </c>
      <c r="C100" s="63">
        <f>105679520.2</f>
        <v>105679520.2</v>
      </c>
      <c r="D100" s="63">
        <f>21739712.16</f>
        <v>21739712.16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0.74398297491194965</v>
      </c>
      <c r="K100" s="58">
        <f t="shared" si="12"/>
        <v>20.571357741648793</v>
      </c>
    </row>
    <row r="101" spans="2:11" ht="13.5" customHeight="1" x14ac:dyDescent="0.2">
      <c r="B101" s="100" t="s">
        <v>85</v>
      </c>
      <c r="C101" s="63">
        <f>124869728.71</f>
        <v>124869728.70999999</v>
      </c>
      <c r="D101" s="63">
        <f>76458104.97</f>
        <v>76458104.969999999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2.6165722882188667</v>
      </c>
      <c r="K101" s="58">
        <f t="shared" si="12"/>
        <v>61.230296373565338</v>
      </c>
    </row>
    <row r="102" spans="2:11" ht="13.5" customHeight="1" x14ac:dyDescent="0.2">
      <c r="B102" s="100" t="s">
        <v>112</v>
      </c>
      <c r="C102" s="63">
        <f>447700833.95</f>
        <v>447700833.94999999</v>
      </c>
      <c r="D102" s="63">
        <f>933888184.39</f>
        <v>933888184.38999999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31.959802620385364</v>
      </c>
      <c r="K102" s="58">
        <f t="shared" si="12"/>
        <v>208.59648085763857</v>
      </c>
    </row>
    <row r="103" spans="2:11" ht="22.5" x14ac:dyDescent="0.2">
      <c r="B103" s="99" t="s">
        <v>110</v>
      </c>
      <c r="C103" s="63">
        <f>77657750.94</f>
        <v>77657750.939999998</v>
      </c>
      <c r="D103" s="63">
        <f>63819538.18</f>
        <v>63819538.18</v>
      </c>
      <c r="E103" s="43" t="s">
        <v>57</v>
      </c>
      <c r="F103" s="43" t="s">
        <v>57</v>
      </c>
      <c r="G103" s="43" t="s">
        <v>57</v>
      </c>
      <c r="H103" s="43" t="s">
        <v>57</v>
      </c>
      <c r="I103" s="43" t="s">
        <v>57</v>
      </c>
      <c r="J103" s="64">
        <f t="shared" si="13"/>
        <v>2.1840514503234871</v>
      </c>
      <c r="K103" s="58">
        <f>IF(C103=0,"",100*D103/C103)</f>
        <v>82.18051309431857</v>
      </c>
    </row>
    <row r="104" spans="2:11" ht="7.5" customHeight="1" x14ac:dyDescent="0.2"/>
    <row r="105" spans="2:11" x14ac:dyDescent="0.2">
      <c r="B105" s="40" t="s">
        <v>16</v>
      </c>
      <c r="C105" s="67" t="s">
        <v>17</v>
      </c>
      <c r="D105" s="19" t="s">
        <v>1</v>
      </c>
    </row>
    <row r="106" spans="2:11" x14ac:dyDescent="0.2">
      <c r="B106" s="40"/>
      <c r="C106" s="107" t="s">
        <v>74</v>
      </c>
      <c r="D106" s="108"/>
    </row>
    <row r="107" spans="2:11" x14ac:dyDescent="0.2">
      <c r="B107" s="39">
        <v>1</v>
      </c>
      <c r="C107" s="42">
        <v>2</v>
      </c>
      <c r="D107" s="31">
        <v>3</v>
      </c>
    </row>
    <row r="108" spans="2:11" ht="37.5" customHeight="1" x14ac:dyDescent="0.2">
      <c r="B108" s="101" t="s">
        <v>111</v>
      </c>
      <c r="C108" s="47">
        <f>19748355559.88</f>
        <v>19748355559.880001</v>
      </c>
      <c r="D108" s="27">
        <f>0</f>
        <v>0</v>
      </c>
    </row>
    <row r="109" spans="2:11" ht="36" customHeight="1" x14ac:dyDescent="0.2">
      <c r="B109" s="102" t="s">
        <v>76</v>
      </c>
      <c r="C109" s="48">
        <f>260559216.66</f>
        <v>260559216.66</v>
      </c>
      <c r="D109" s="74">
        <f>0</f>
        <v>0</v>
      </c>
    </row>
    <row r="110" spans="2:11" ht="13.5" customHeight="1" x14ac:dyDescent="0.2">
      <c r="B110" s="102" t="s">
        <v>77</v>
      </c>
      <c r="C110" s="48">
        <f>8640011822.96</f>
        <v>8640011822.9599991</v>
      </c>
      <c r="D110" s="74">
        <f>0</f>
        <v>0</v>
      </c>
    </row>
    <row r="111" spans="2:11" ht="25.5" customHeight="1" x14ac:dyDescent="0.2">
      <c r="B111" s="102" t="s">
        <v>78</v>
      </c>
      <c r="C111" s="48">
        <f>0</f>
        <v>0</v>
      </c>
      <c r="D111" s="74">
        <f>0</f>
        <v>0</v>
      </c>
    </row>
    <row r="112" spans="2:11" ht="57.95" customHeight="1" x14ac:dyDescent="0.2">
      <c r="B112" s="102" t="s">
        <v>95</v>
      </c>
      <c r="C112" s="48">
        <f>3044265006.98</f>
        <v>3044265006.98</v>
      </c>
      <c r="D112" s="74">
        <f>0</f>
        <v>0</v>
      </c>
    </row>
    <row r="113" spans="2:4" ht="81.95" customHeight="1" x14ac:dyDescent="0.2">
      <c r="B113" s="102" t="s">
        <v>79</v>
      </c>
      <c r="C113" s="48">
        <f>5142623299.69</f>
        <v>5142623299.6899996</v>
      </c>
      <c r="D113" s="74">
        <f>0</f>
        <v>0</v>
      </c>
    </row>
    <row r="114" spans="2:4" ht="150.94999999999999" customHeight="1" x14ac:dyDescent="0.2">
      <c r="B114" s="97" t="s">
        <v>100</v>
      </c>
      <c r="C114" s="48">
        <f>2250174336.59</f>
        <v>2250174336.5900002</v>
      </c>
      <c r="D114" s="74">
        <f>0</f>
        <v>0</v>
      </c>
    </row>
    <row r="115" spans="2:4" ht="22.5" x14ac:dyDescent="0.2">
      <c r="B115" s="97" t="s">
        <v>94</v>
      </c>
      <c r="C115" s="48">
        <f>56775573.16</f>
        <v>56775573.159999996</v>
      </c>
      <c r="D115" s="74">
        <f>0</f>
        <v>0</v>
      </c>
    </row>
    <row r="116" spans="2:4" ht="22.5" x14ac:dyDescent="0.2">
      <c r="B116" s="97" t="s">
        <v>109</v>
      </c>
      <c r="C116" s="48">
        <f>353946303.84</f>
        <v>353946303.83999997</v>
      </c>
      <c r="D116" s="74">
        <f>0</f>
        <v>0</v>
      </c>
    </row>
    <row r="117" spans="2:4" ht="28.5" customHeight="1" x14ac:dyDescent="0.2"/>
    <row r="118" spans="2:4" x14ac:dyDescent="0.2">
      <c r="B118" s="65" t="s">
        <v>65</v>
      </c>
      <c r="C118" s="33">
        <f>2</f>
        <v>2</v>
      </c>
      <c r="D118" s="33" t="str">
        <f>IF(C118=1,"I Kwartał",IF(C118=2,"II Kwartały",IF(C118=3,"III Kwartały",IF(C118=4,"IV Kwartały",IF(C118="M1","Styczeń",IF(C118="M11","Listopad",IF(C118="M12","Grudzień","-")))))))</f>
        <v>II Kwartały</v>
      </c>
    </row>
    <row r="119" spans="2:4" x14ac:dyDescent="0.2">
      <c r="B119" s="65" t="s">
        <v>66</v>
      </c>
      <c r="C119" s="92">
        <f>2024</f>
        <v>2024</v>
      </c>
    </row>
    <row r="120" spans="2:4" x14ac:dyDescent="0.2">
      <c r="B120" s="65" t="s">
        <v>67</v>
      </c>
      <c r="C120" s="119" t="str">
        <f>"Aug 14 2024 12:00AM"</f>
        <v>Aug 14 2024 12:00AM</v>
      </c>
      <c r="D120" s="120"/>
    </row>
    <row r="121" spans="2:4" hidden="1" x14ac:dyDescent="0.2">
      <c r="B121" s="1" t="s">
        <v>107</v>
      </c>
      <c r="C121" s="1" t="str">
        <f>""</f>
        <v/>
      </c>
    </row>
  </sheetData>
  <mergeCells count="20">
    <mergeCell ref="K60:K62"/>
    <mergeCell ref="C120:D120"/>
    <mergeCell ref="D60:D62"/>
    <mergeCell ref="E60:E62"/>
    <mergeCell ref="F61:F62"/>
    <mergeCell ref="F60:H60"/>
    <mergeCell ref="G61:H61"/>
    <mergeCell ref="E84:I86"/>
    <mergeCell ref="C60:C62"/>
    <mergeCell ref="C63:I63"/>
    <mergeCell ref="B3:B4"/>
    <mergeCell ref="C106:D106"/>
    <mergeCell ref="B60:B63"/>
    <mergeCell ref="C85:D85"/>
    <mergeCell ref="J4:L4"/>
    <mergeCell ref="I60:I62"/>
    <mergeCell ref="J63:K63"/>
    <mergeCell ref="C4:I4"/>
    <mergeCell ref="J85:K85"/>
    <mergeCell ref="J60:J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7" max="16383" man="1"/>
    <brk id="81" max="16383" man="1"/>
    <brk id="10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2024-08-26T09:38:31Z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