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II kwartał\2024.11.14 dane ostateczne\Zbiorówki_2024_k3_20241114\Publikacja\"/>
    </mc:Choice>
  </mc:AlternateContent>
  <xr:revisionPtr revIDLastSave="0" documentId="13_ncr:1_{763B5A67-5518-4DE8-95E1-2C1266CF45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doch_wyd!$A$1:$M$141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1" i="4" l="1"/>
  <c r="C140" i="4"/>
  <c r="C139" i="4"/>
  <c r="C138" i="4"/>
  <c r="D136" i="4"/>
  <c r="C136" i="4"/>
  <c r="D135" i="4"/>
  <c r="C135" i="4"/>
  <c r="D134" i="4"/>
  <c r="C134" i="4"/>
  <c r="D133" i="4"/>
  <c r="C133" i="4"/>
  <c r="D132" i="4"/>
  <c r="C132" i="4"/>
  <c r="D131" i="4"/>
  <c r="C131" i="4"/>
  <c r="D130" i="4"/>
  <c r="C130" i="4"/>
  <c r="D129" i="4"/>
  <c r="C129" i="4"/>
  <c r="D128" i="4"/>
  <c r="C128" i="4"/>
  <c r="D123" i="4"/>
  <c r="C123" i="4"/>
  <c r="F123" i="4" s="1"/>
  <c r="D122" i="4"/>
  <c r="C122" i="4"/>
  <c r="F122" i="4" s="1"/>
  <c r="D121" i="4"/>
  <c r="C121" i="4"/>
  <c r="D120" i="4"/>
  <c r="F120" i="4" s="1"/>
  <c r="C120" i="4"/>
  <c r="D119" i="4"/>
  <c r="C119" i="4"/>
  <c r="D118" i="4"/>
  <c r="C118" i="4"/>
  <c r="F118" i="4" s="1"/>
  <c r="D117" i="4"/>
  <c r="E117" i="4" s="1"/>
  <c r="C117" i="4"/>
  <c r="D116" i="4"/>
  <c r="C116" i="4"/>
  <c r="D115" i="4"/>
  <c r="E115" i="4" s="1"/>
  <c r="C115" i="4"/>
  <c r="D114" i="4"/>
  <c r="C114" i="4"/>
  <c r="D113" i="4"/>
  <c r="C113" i="4"/>
  <c r="D112" i="4"/>
  <c r="C112" i="4"/>
  <c r="F112" i="4" s="1"/>
  <c r="D111" i="4"/>
  <c r="C111" i="4"/>
  <c r="D110" i="4"/>
  <c r="C110" i="4"/>
  <c r="D109" i="4"/>
  <c r="C109" i="4"/>
  <c r="D108" i="4"/>
  <c r="E108" i="4" s="1"/>
  <c r="C108" i="4"/>
  <c r="D107" i="4"/>
  <c r="C107" i="4"/>
  <c r="I99" i="4"/>
  <c r="H99" i="4"/>
  <c r="G99" i="4"/>
  <c r="G100" i="4" s="1"/>
  <c r="F99" i="4"/>
  <c r="E99" i="4"/>
  <c r="D99" i="4"/>
  <c r="J99" i="4" s="1"/>
  <c r="C99" i="4"/>
  <c r="I98" i="4"/>
  <c r="H98" i="4"/>
  <c r="G98" i="4"/>
  <c r="F98" i="4"/>
  <c r="E98" i="4"/>
  <c r="E100" i="4" s="1"/>
  <c r="D98" i="4"/>
  <c r="C98" i="4"/>
  <c r="I92" i="4"/>
  <c r="H92" i="4"/>
  <c r="G92" i="4"/>
  <c r="F92" i="4"/>
  <c r="E92" i="4"/>
  <c r="D92" i="4"/>
  <c r="C92" i="4"/>
  <c r="I91" i="4"/>
  <c r="H91" i="4"/>
  <c r="G91" i="4"/>
  <c r="F91" i="4"/>
  <c r="E91" i="4"/>
  <c r="D91" i="4"/>
  <c r="J91" i="4" s="1"/>
  <c r="C91" i="4"/>
  <c r="K91" i="4" s="1"/>
  <c r="I90" i="4"/>
  <c r="H90" i="4"/>
  <c r="G90" i="4"/>
  <c r="F90" i="4"/>
  <c r="E90" i="4"/>
  <c r="D90" i="4"/>
  <c r="K90" i="4" s="1"/>
  <c r="C90" i="4"/>
  <c r="I89" i="4"/>
  <c r="H89" i="4"/>
  <c r="G89" i="4"/>
  <c r="F89" i="4"/>
  <c r="E89" i="4"/>
  <c r="D89" i="4"/>
  <c r="C89" i="4"/>
  <c r="I88" i="4"/>
  <c r="H88" i="4"/>
  <c r="G88" i="4"/>
  <c r="F88" i="4"/>
  <c r="E88" i="4"/>
  <c r="D88" i="4"/>
  <c r="K88" i="4" s="1"/>
  <c r="C88" i="4"/>
  <c r="I86" i="4"/>
  <c r="H86" i="4"/>
  <c r="G86" i="4"/>
  <c r="F86" i="4"/>
  <c r="E86" i="4"/>
  <c r="D86" i="4"/>
  <c r="C86" i="4"/>
  <c r="I85" i="4"/>
  <c r="H85" i="4"/>
  <c r="G85" i="4"/>
  <c r="G87" i="4" s="1"/>
  <c r="F85" i="4"/>
  <c r="E85" i="4"/>
  <c r="D85" i="4"/>
  <c r="C85" i="4"/>
  <c r="I84" i="4"/>
  <c r="I87" i="4" s="1"/>
  <c r="H84" i="4"/>
  <c r="G84" i="4"/>
  <c r="F84" i="4"/>
  <c r="E84" i="4"/>
  <c r="E87" i="4" s="1"/>
  <c r="D84" i="4"/>
  <c r="C84" i="4"/>
  <c r="I73" i="4"/>
  <c r="H73" i="4"/>
  <c r="G73" i="4"/>
  <c r="F73" i="4"/>
  <c r="E73" i="4"/>
  <c r="D73" i="4"/>
  <c r="C73" i="4"/>
  <c r="K73" i="4" s="1"/>
  <c r="D70" i="4"/>
  <c r="J70" i="4" s="1"/>
  <c r="C70" i="4"/>
  <c r="D69" i="4"/>
  <c r="C69" i="4"/>
  <c r="D67" i="4"/>
  <c r="C67" i="4"/>
  <c r="D66" i="4"/>
  <c r="J66" i="4" s="1"/>
  <c r="C66" i="4"/>
  <c r="D65" i="4"/>
  <c r="C65" i="4"/>
  <c r="K65" i="4" s="1"/>
  <c r="D63" i="4"/>
  <c r="J63" i="4" s="1"/>
  <c r="C63" i="4"/>
  <c r="D62" i="4"/>
  <c r="C62" i="4"/>
  <c r="D61" i="4"/>
  <c r="J61" i="4" s="1"/>
  <c r="C61" i="4"/>
  <c r="D59" i="4"/>
  <c r="C59" i="4"/>
  <c r="D58" i="4"/>
  <c r="C58" i="4"/>
  <c r="K58" i="4" s="1"/>
  <c r="D57" i="4"/>
  <c r="K57" i="4" s="1"/>
  <c r="C57" i="4"/>
  <c r="D56" i="4"/>
  <c r="C56" i="4"/>
  <c r="D55" i="4"/>
  <c r="J55" i="4" s="1"/>
  <c r="C55" i="4"/>
  <c r="D54" i="4"/>
  <c r="J54" i="4" s="1"/>
  <c r="C54" i="4"/>
  <c r="D53" i="4"/>
  <c r="C53" i="4"/>
  <c r="D52" i="4"/>
  <c r="C52" i="4"/>
  <c r="D51" i="4"/>
  <c r="J51" i="4" s="1"/>
  <c r="C51" i="4"/>
  <c r="D50" i="4"/>
  <c r="C50" i="4"/>
  <c r="K50" i="4" s="1"/>
  <c r="D49" i="4"/>
  <c r="C49" i="4"/>
  <c r="D48" i="4"/>
  <c r="J48" i="4" s="1"/>
  <c r="C48" i="4"/>
  <c r="D47" i="4"/>
  <c r="J47" i="4" s="1"/>
  <c r="C47" i="4"/>
  <c r="D46" i="4"/>
  <c r="C46" i="4"/>
  <c r="K46" i="4" s="1"/>
  <c r="D45" i="4"/>
  <c r="J45" i="4" s="1"/>
  <c r="C45" i="4"/>
  <c r="D44" i="4"/>
  <c r="C44" i="4"/>
  <c r="D43" i="4"/>
  <c r="C43" i="4"/>
  <c r="K43" i="4" s="1"/>
  <c r="D42" i="4"/>
  <c r="J42" i="4" s="1"/>
  <c r="C42" i="4"/>
  <c r="K42" i="4" s="1"/>
  <c r="D41" i="4"/>
  <c r="C41" i="4"/>
  <c r="D40" i="4"/>
  <c r="C40" i="4"/>
  <c r="D38" i="4"/>
  <c r="C38" i="4"/>
  <c r="D37" i="4"/>
  <c r="C37" i="4"/>
  <c r="D36" i="4"/>
  <c r="C36" i="4"/>
  <c r="D35" i="4"/>
  <c r="C35" i="4"/>
  <c r="D34" i="4"/>
  <c r="C34" i="4"/>
  <c r="D33" i="4"/>
  <c r="C33" i="4"/>
  <c r="D31" i="4"/>
  <c r="C31" i="4"/>
  <c r="D30" i="4"/>
  <c r="C30" i="4"/>
  <c r="D29" i="4"/>
  <c r="C29" i="4"/>
  <c r="D28" i="4"/>
  <c r="C28" i="4"/>
  <c r="K28" i="4" s="1"/>
  <c r="D27" i="4"/>
  <c r="C27" i="4"/>
  <c r="D26" i="4"/>
  <c r="C26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J18" i="4" s="1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K13" i="4" s="1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7" i="4"/>
  <c r="H7" i="4"/>
  <c r="G7" i="4"/>
  <c r="F7" i="4"/>
  <c r="E7" i="4"/>
  <c r="D7" i="4"/>
  <c r="C7" i="4"/>
  <c r="I5" i="4"/>
  <c r="H5" i="4"/>
  <c r="G5" i="4"/>
  <c r="F5" i="4"/>
  <c r="F72" i="4" s="1"/>
  <c r="F74" i="4" s="1"/>
  <c r="E5" i="4"/>
  <c r="E72" i="4" s="1"/>
  <c r="E74" i="4" s="1"/>
  <c r="D5" i="4"/>
  <c r="C5" i="4"/>
  <c r="K10" i="4"/>
  <c r="K85" i="4"/>
  <c r="K38" i="4"/>
  <c r="K20" i="4"/>
  <c r="K40" i="4"/>
  <c r="F110" i="4"/>
  <c r="K15" i="4"/>
  <c r="F121" i="4"/>
  <c r="K30" i="4"/>
  <c r="K86" i="4"/>
  <c r="E123" i="4"/>
  <c r="E119" i="4"/>
  <c r="E121" i="4"/>
  <c r="E122" i="4"/>
  <c r="E118" i="4"/>
  <c r="K21" i="4"/>
  <c r="K29" i="4"/>
  <c r="K8" i="4"/>
  <c r="K16" i="4"/>
  <c r="K51" i="4"/>
  <c r="F111" i="4"/>
  <c r="K11" i="4"/>
  <c r="K98" i="4"/>
  <c r="J12" i="4"/>
  <c r="J17" i="4"/>
  <c r="J8" i="4"/>
  <c r="J7" i="4"/>
  <c r="J38" i="4"/>
  <c r="J5" i="4"/>
  <c r="J32" i="4"/>
  <c r="J31" i="4"/>
  <c r="J13" i="4"/>
  <c r="J44" i="4"/>
  <c r="J37" i="4"/>
  <c r="J58" i="4"/>
  <c r="J19" i="4"/>
  <c r="J65" i="4"/>
  <c r="J62" i="4"/>
  <c r="J30" i="4"/>
  <c r="J35" i="4"/>
  <c r="J16" i="4"/>
  <c r="J33" i="4"/>
  <c r="J43" i="4"/>
  <c r="J49" i="4"/>
  <c r="J36" i="4"/>
  <c r="J14" i="4"/>
  <c r="J34" i="4"/>
  <c r="J59" i="4"/>
  <c r="J10" i="4"/>
  <c r="J56" i="4"/>
  <c r="J53" i="4"/>
  <c r="J72" i="4"/>
  <c r="J11" i="4"/>
  <c r="J73" i="4"/>
  <c r="J41" i="4"/>
  <c r="J26" i="4"/>
  <c r="J40" i="4"/>
  <c r="J21" i="4"/>
  <c r="D72" i="4"/>
  <c r="D74" i="4"/>
  <c r="J74" i="4"/>
  <c r="J67" i="4"/>
  <c r="J50" i="4"/>
  <c r="J52" i="4"/>
  <c r="J20" i="4"/>
  <c r="J9" i="4"/>
  <c r="J28" i="4"/>
  <c r="J27" i="4"/>
  <c r="J46" i="4"/>
  <c r="J69" i="4"/>
  <c r="J29" i="4"/>
  <c r="J15" i="4"/>
  <c r="K33" i="4"/>
  <c r="C32" i="4"/>
  <c r="K32" i="4"/>
  <c r="K44" i="4"/>
  <c r="K52" i="4"/>
  <c r="J98" i="4"/>
  <c r="K31" i="4"/>
  <c r="K9" i="4"/>
  <c r="F115" i="4"/>
  <c r="K36" i="4"/>
  <c r="K62" i="4"/>
  <c r="G6" i="4"/>
  <c r="G72" i="4"/>
  <c r="G74" i="4"/>
  <c r="H6" i="4"/>
  <c r="H72" i="4"/>
  <c r="H74" i="4"/>
  <c r="K26" i="4"/>
  <c r="K37" i="4"/>
  <c r="K56" i="4"/>
  <c r="H87" i="4"/>
  <c r="K17" i="4"/>
  <c r="D25" i="4"/>
  <c r="J25" i="4" s="1"/>
  <c r="D32" i="4"/>
  <c r="F107" i="4"/>
  <c r="F113" i="4"/>
  <c r="F119" i="4"/>
  <c r="K34" i="4"/>
  <c r="K53" i="4"/>
  <c r="E111" i="4"/>
  <c r="E112" i="4"/>
  <c r="E110" i="4"/>
  <c r="E113" i="4"/>
  <c r="E107" i="4"/>
  <c r="E109" i="4"/>
  <c r="E114" i="4"/>
  <c r="K27" i="4"/>
  <c r="C87" i="4"/>
  <c r="F114" i="4"/>
  <c r="I72" i="4"/>
  <c r="I74" i="4"/>
  <c r="I6" i="4"/>
  <c r="I22" i="4"/>
  <c r="K12" i="4"/>
  <c r="K41" i="4"/>
  <c r="K59" i="4"/>
  <c r="K67" i="4"/>
  <c r="D138" i="4"/>
  <c r="B77" i="4" s="1"/>
  <c r="K7" i="4"/>
  <c r="K19" i="4"/>
  <c r="K14" i="4"/>
  <c r="K35" i="4"/>
  <c r="K92" i="4"/>
  <c r="H100" i="4"/>
  <c r="H22" i="4" l="1"/>
  <c r="G22" i="4"/>
  <c r="B102" i="4"/>
  <c r="B1" i="4"/>
  <c r="E120" i="4"/>
  <c r="F117" i="4"/>
  <c r="E116" i="4"/>
  <c r="F116" i="4"/>
  <c r="F109" i="4"/>
  <c r="F108" i="4"/>
  <c r="I100" i="4"/>
  <c r="F100" i="4"/>
  <c r="D100" i="4"/>
  <c r="J100" i="4" s="1"/>
  <c r="K99" i="4"/>
  <c r="C100" i="4"/>
  <c r="K100" i="4" s="1"/>
  <c r="E93" i="4"/>
  <c r="H93" i="4"/>
  <c r="K89" i="4"/>
  <c r="C93" i="4"/>
  <c r="I93" i="4"/>
  <c r="G93" i="4"/>
  <c r="J88" i="4"/>
  <c r="F87" i="4"/>
  <c r="F93" i="4" s="1"/>
  <c r="J86" i="4"/>
  <c r="J92" i="4"/>
  <c r="J85" i="4"/>
  <c r="J84" i="4"/>
  <c r="K84" i="4"/>
  <c r="J89" i="4"/>
  <c r="D94" i="4"/>
  <c r="J90" i="4"/>
  <c r="D87" i="4"/>
  <c r="J87" i="4"/>
  <c r="D68" i="4"/>
  <c r="J68" i="4" s="1"/>
  <c r="K70" i="4"/>
  <c r="C68" i="4"/>
  <c r="K69" i="4"/>
  <c r="K66" i="4"/>
  <c r="D64" i="4"/>
  <c r="J64" i="4" s="1"/>
  <c r="C64" i="4"/>
  <c r="K64" i="4" s="1"/>
  <c r="K63" i="4"/>
  <c r="K61" i="4"/>
  <c r="J57" i="4"/>
  <c r="K55" i="4"/>
  <c r="K54" i="4"/>
  <c r="K49" i="4"/>
  <c r="K48" i="4"/>
  <c r="K47" i="4"/>
  <c r="K45" i="4"/>
  <c r="D39" i="4"/>
  <c r="J39" i="4" s="1"/>
  <c r="C39" i="4"/>
  <c r="K39" i="4" s="1"/>
  <c r="C25" i="4"/>
  <c r="K25" i="4"/>
  <c r="D24" i="4"/>
  <c r="K18" i="4"/>
  <c r="F6" i="4"/>
  <c r="F22" i="4" s="1"/>
  <c r="E6" i="4"/>
  <c r="E22" i="4" s="1"/>
  <c r="K5" i="4"/>
  <c r="C94" i="4"/>
  <c r="C72" i="4"/>
  <c r="D60" i="4" l="1"/>
  <c r="J60" i="4" s="1"/>
  <c r="K68" i="4"/>
  <c r="D93" i="4"/>
  <c r="D95" i="4"/>
  <c r="K87" i="4"/>
  <c r="C60" i="4"/>
  <c r="C24" i="4"/>
  <c r="C23" i="4" s="1"/>
  <c r="C6" i="4" s="1"/>
  <c r="C22" i="4" s="1"/>
  <c r="J24" i="4"/>
  <c r="D23" i="4"/>
  <c r="C74" i="4"/>
  <c r="K72" i="4"/>
  <c r="K60" i="4" l="1"/>
  <c r="K93" i="4"/>
  <c r="J93" i="4"/>
  <c r="K24" i="4"/>
  <c r="J23" i="4"/>
  <c r="D6" i="4"/>
  <c r="K23" i="4"/>
  <c r="K74" i="4"/>
  <c r="C95" i="4"/>
  <c r="L7" i="4" l="1"/>
  <c r="L11" i="4"/>
  <c r="L10" i="4"/>
  <c r="J6" i="4"/>
  <c r="L6" i="4"/>
  <c r="L18" i="4"/>
  <c r="L13" i="4"/>
  <c r="L19" i="4"/>
  <c r="L8" i="4"/>
  <c r="L21" i="4"/>
  <c r="L9" i="4"/>
  <c r="L17" i="4"/>
  <c r="L16" i="4"/>
  <c r="L15" i="4"/>
  <c r="K6" i="4"/>
  <c r="L12" i="4"/>
  <c r="L14" i="4"/>
  <c r="L20" i="4"/>
  <c r="D22" i="4"/>
  <c r="L22" i="4" s="1"/>
  <c r="J22" i="4" l="1"/>
  <c r="K22" i="4"/>
</calcChain>
</file>

<file path=xl/sharedStrings.xml><?xml version="1.0" encoding="utf-8"?>
<sst xmlns="http://schemas.openxmlformats.org/spreadsheetml/2006/main" count="395" uniqueCount="126">
  <si>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</si>
  <si>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</si>
  <si>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</si>
  <si>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</si>
  <si>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</si>
  <si>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</si>
  <si>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</si>
  <si>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>otrzymane z funduszy celowych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</si>
  <si>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</si>
  <si>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</si>
  <si>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</si>
  <si>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</si>
  <si>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</si>
  <si>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</si>
  <si>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</si>
  <si>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</si>
  <si>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</si>
  <si>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</si>
  <si>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</si>
  <si>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</si>
  <si>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</si>
  <si>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</si>
  <si>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</si>
  <si>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</si>
  <si>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</si>
  <si>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</si>
  <si>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</si>
  <si>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</si>
  <si>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</si>
  <si>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</si>
  <si>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</si>
  <si>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</si>
  <si>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</si>
  <si>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</si>
  <si>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</si>
  <si>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</si>
  <si>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</si>
  <si>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</si>
  <si>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</si>
  <si>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</si>
  <si>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</si>
  <si>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</si>
  <si>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</si>
  <si>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</si>
  <si>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</si>
  <si>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</si>
  <si>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</si>
  <si>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</si>
  <si>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</si>
  <si>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</si>
  <si>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opłata skarbowa</t>
  </si>
  <si>
    <t>opłata eksploatacyjna</t>
  </si>
  <si>
    <t>opłata targowa</t>
  </si>
  <si>
    <t>- część gminna</t>
  </si>
  <si>
    <t>- część powiatowa</t>
  </si>
  <si>
    <t>- pozostałe</t>
  </si>
  <si>
    <t>#</t>
  </si>
  <si>
    <t>Razem dochody własne 
z tego:</t>
  </si>
  <si>
    <t>podatek dochodowy od osób prawnych - 
część gminna</t>
  </si>
  <si>
    <t>podatek dochodowy od osób prawnych - 
część powiatowa</t>
  </si>
  <si>
    <t>podatek dochodowy od osób fizycznych - 
część gminna</t>
  </si>
  <si>
    <t>podatek dochodowy od osób fizycznych - 
część powiatowa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</si>
  <si>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</si>
  <si>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</si>
  <si>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</si>
  <si>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</si>
  <si>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</si>
  <si>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</si>
  <si>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</si>
  <si>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</si>
  <si>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</si>
  <si>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</si>
  <si>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</si>
  <si>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</si>
  <si>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</si>
  <si>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</si>
  <si>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</si>
  <si>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</si>
  <si>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</si>
  <si>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</si>
  <si>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</si>
  <si>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</si>
  <si>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</si>
  <si>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</si>
  <si>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</si>
  <si>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</si>
  <si>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w tym: inwestycyjne § 620</t>
  </si>
  <si>
    <t>Dotacje §§ 205 i 625</t>
  </si>
  <si>
    <t>w tym: inwestycyjne § 625</t>
  </si>
  <si>
    <t>WYDATKI OGÓŁEM UE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</si>
  <si>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</si>
  <si>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</si>
  <si>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</si>
  <si>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</si>
  <si>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</si>
  <si>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</si>
  <si>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</si>
  <si>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niewykorzystane środki pieniężne o których mowa w art.217 ust.2 pkt.8 ustawy o finansach publicznych</t>
  </si>
  <si>
    <t xml:space="preserve">otrzymane ze środków z Funduszu Przeciwdziałania COVID-19 (m.in. z Rządowego Funduszu Inwestycji Lokalnych) </t>
  </si>
  <si>
    <t>w tym: inwestycyjne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</si>
  <si>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</si>
  <si>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</si>
  <si>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</si>
  <si>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</si>
  <si>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</si>
  <si>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</si>
  <si>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Dotacje ogółem 
z tego:</t>
  </si>
  <si>
    <t>Subwencja ogólna dla gmin 
z tego:</t>
  </si>
  <si>
    <t>Subwencja ogólna dla powiatów 
z tego:</t>
  </si>
  <si>
    <t>Dochody bieżące 
minus 
Wydatki bieżące</t>
  </si>
  <si>
    <t>udzielone pożyczki</t>
  </si>
  <si>
    <t>WYDATKI Z UDZIAŁEM ŚRODKÓW, O KTÓRYCH MOWA W ART. 5 UST. 1 pkt 2</t>
  </si>
  <si>
    <t>na zadania z zakresu adm. Rządowej (*)</t>
  </si>
  <si>
    <t>na zadania własne (*)</t>
  </si>
  <si>
    <t>otrzymane z Funduszu Pomocy lub z innych środków (**)</t>
  </si>
  <si>
    <t>(**) na finansowanie lub dofinansowanie realizacji zadań w zakresie pomocy obywatelom Ukrainy</t>
  </si>
  <si>
    <t xml:space="preserve">(*) nie obejmuje zadań w zakresie pomocy obywatelom Ukrainy </t>
  </si>
  <si>
    <t>na zadania z zakresu adm. rządowej w zakresie pomocy obywatelom Ukrainy</t>
  </si>
  <si>
    <t>na zadania własne w zakresie pomocy obywatelom Ukrainy</t>
  </si>
  <si>
    <t>inne źródła, w tym:</t>
  </si>
  <si>
    <t>środki z lokat dokonanych w latach ubiegłych</t>
  </si>
  <si>
    <t>inne cele, w tym:</t>
  </si>
  <si>
    <t>lokaty na okres wykraczający poza rok budżetowy</t>
  </si>
  <si>
    <t>stan niespłaconych na koniec okresu sprawozdawczego zobowiązań przeznaczonych na cel , o którym mowa w art. 89 ust. 1 pkt 1 ustawy o finansach publicznych</t>
  </si>
  <si>
    <t>FINANSOWANIE DEFICYTU (E1+E2+E3+E4+E5+E6+E7+E8) 
z tego:</t>
  </si>
  <si>
    <t>część rozwojowa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</si>
</sst>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3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2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1" applyNumberFormat="0" applyAlignment="0" applyProtection="0"/>
    <xf numFmtId="0" fontId="23" fillId="0" borderId="7" applyNumberFormat="0" applyFill="0" applyAlignment="0" applyProtection="0"/>
    <xf numFmtId="0" fontId="24" fillId="8" borderId="0" applyNumberFormat="0" applyBorder="0" applyAlignment="0" applyProtection="0"/>
    <xf numFmtId="0" fontId="35" fillId="0" borderId="0"/>
    <xf numFmtId="0" fontId="35" fillId="0" borderId="0"/>
    <xf numFmtId="0" fontId="1" fillId="4" borderId="8" applyNumberFormat="0" applyFont="0" applyAlignment="0" applyProtection="0"/>
    <xf numFmtId="0" fontId="29" fillId="4" borderId="8" applyNumberFormat="0" applyFont="0" applyAlignment="0" applyProtection="0"/>
    <xf numFmtId="0" fontId="25" fillId="16" borderId="3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132">
    <xf numFmtId="0" fontId="0" fillId="0" borderId="0" xfId="0"/>
    <xf numFmtId="165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 indent="2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5" fontId="31" fillId="21" borderId="10" xfId="0" applyNumberFormat="1" applyFont="1" applyFill="1" applyBorder="1" applyAlignment="1">
      <alignment horizontal="center" vertical="center"/>
    </xf>
    <xf numFmtId="4" fontId="32" fillId="0" borderId="10" xfId="0" applyNumberFormat="1" applyFont="1" applyBorder="1" applyAlignment="1">
      <alignment horizontal="center" vertical="center"/>
    </xf>
    <xf numFmtId="165" fontId="32" fillId="0" borderId="10" xfId="0" applyNumberFormat="1" applyFont="1" applyFill="1" applyBorder="1" applyAlignment="1">
      <alignment horizontal="center" vertical="center"/>
    </xf>
    <xf numFmtId="4" fontId="32" fillId="0" borderId="10" xfId="0" applyNumberFormat="1" applyFont="1" applyFill="1" applyBorder="1" applyAlignment="1">
      <alignment horizontal="center" vertical="center"/>
    </xf>
    <xf numFmtId="4" fontId="32" fillId="21" borderId="10" xfId="0" applyNumberFormat="1" applyFont="1" applyFill="1" applyBorder="1" applyAlignment="1">
      <alignment horizontal="center" vertical="center"/>
    </xf>
    <xf numFmtId="165" fontId="32" fillId="0" borderId="0" xfId="0" applyNumberFormat="1" applyFont="1" applyFill="1" applyBorder="1" applyAlignment="1">
      <alignment horizontal="center" vertical="center"/>
    </xf>
    <xf numFmtId="165" fontId="33" fillId="0" borderId="0" xfId="0" applyNumberFormat="1" applyFont="1" applyAlignment="1">
      <alignment horizontal="center" vertical="center"/>
    </xf>
    <xf numFmtId="165" fontId="32" fillId="20" borderId="10" xfId="0" applyNumberFormat="1" applyFont="1" applyFill="1" applyBorder="1" applyAlignment="1">
      <alignment horizontal="center" vertical="center"/>
    </xf>
    <xf numFmtId="4" fontId="32" fillId="22" borderId="10" xfId="0" applyNumberFormat="1" applyFont="1" applyFill="1" applyBorder="1" applyAlignment="1">
      <alignment horizontal="center" vertical="center"/>
    </xf>
    <xf numFmtId="165" fontId="32" fillId="22" borderId="1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65" fontId="3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center" vertical="center"/>
    </xf>
    <xf numFmtId="165" fontId="33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165" fontId="34" fillId="21" borderId="10" xfId="0" applyNumberFormat="1" applyFont="1" applyFill="1" applyBorder="1" applyAlignment="1">
      <alignment horizontal="center" vertical="center"/>
    </xf>
    <xf numFmtId="4" fontId="33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3" fontId="31" fillId="0" borderId="0" xfId="0" applyNumberFormat="1" applyFont="1" applyBorder="1" applyAlignment="1">
      <alignment horizontal="center" vertical="center"/>
    </xf>
    <xf numFmtId="165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165" fontId="34" fillId="0" borderId="10" xfId="0" applyNumberFormat="1" applyFont="1" applyFill="1" applyBorder="1" applyAlignment="1">
      <alignment horizontal="center" vertical="center"/>
    </xf>
    <xf numFmtId="165" fontId="34" fillId="20" borderId="10" xfId="28" applyNumberFormat="1" applyFont="1" applyFill="1" applyBorder="1" applyAlignment="1">
      <alignment horizontal="center" vertical="center"/>
    </xf>
    <xf numFmtId="165" fontId="34" fillId="22" borderId="10" xfId="28" applyNumberFormat="1" applyFont="1" applyFill="1" applyBorder="1" applyAlignment="1">
      <alignment horizontal="center" vertical="center"/>
    </xf>
    <xf numFmtId="165" fontId="34" fillId="22" borderId="10" xfId="0" applyNumberFormat="1" applyFont="1" applyFill="1" applyBorder="1" applyAlignment="1">
      <alignment horizontal="center" vertical="center"/>
    </xf>
    <xf numFmtId="165" fontId="34" fillId="0" borderId="10" xfId="28" applyNumberFormat="1" applyFont="1" applyFill="1" applyBorder="1" applyAlignment="1">
      <alignment horizontal="center" vertical="center"/>
    </xf>
    <xf numFmtId="165" fontId="34" fillId="21" borderId="10" xfId="28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19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" fontId="3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" fontId="31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center" vertical="center" wrapText="1"/>
    </xf>
    <xf numFmtId="3" fontId="31" fillId="0" borderId="14" xfId="0" applyNumberFormat="1" applyFont="1" applyBorder="1" applyAlignment="1">
      <alignment horizontal="center" vertical="center"/>
    </xf>
    <xf numFmtId="165" fontId="33" fillId="0" borderId="14" xfId="0" applyNumberFormat="1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31" fillId="0" borderId="12" xfId="0" applyNumberFormat="1" applyFont="1" applyFill="1" applyBorder="1" applyAlignment="1">
      <alignment horizontal="center" vertical="center" wrapText="1"/>
    </xf>
    <xf numFmtId="165" fontId="34" fillId="0" borderId="11" xfId="0" applyNumberFormat="1" applyFont="1" applyFill="1" applyBorder="1" applyAlignment="1">
      <alignment horizontal="center" vertical="center"/>
    </xf>
    <xf numFmtId="0" fontId="10" fillId="20" borderId="10" xfId="0" applyFont="1" applyFill="1" applyBorder="1" applyAlignment="1">
      <alignment horizontal="left" vertical="center" wrapText="1"/>
    </xf>
    <xf numFmtId="0" fontId="36" fillId="0" borderId="10" xfId="45" applyFont="1" applyFill="1" applyBorder="1" applyAlignment="1">
      <alignment horizontal="left" vertical="center" wrapText="1"/>
    </xf>
    <xf numFmtId="0" fontId="7" fillId="21" borderId="10" xfId="0" applyFont="1" applyFill="1" applyBorder="1" applyAlignment="1">
      <alignment horizontal="left" vertical="center" wrapText="1"/>
    </xf>
    <xf numFmtId="0" fontId="10" fillId="21" borderId="10" xfId="0" applyFont="1" applyFill="1" applyBorder="1" applyAlignment="1">
      <alignment horizontal="left" vertical="center" wrapText="1"/>
    </xf>
    <xf numFmtId="4" fontId="31" fillId="21" borderId="10" xfId="0" applyNumberFormat="1" applyFont="1" applyFill="1" applyBorder="1" applyAlignment="1">
      <alignment horizontal="right" vertical="center"/>
    </xf>
    <xf numFmtId="4" fontId="32" fillId="0" borderId="10" xfId="0" applyNumberFormat="1" applyFont="1" applyBorder="1" applyAlignment="1">
      <alignment horizontal="right" vertical="center"/>
    </xf>
    <xf numFmtId="4" fontId="32" fillId="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Border="1" applyAlignment="1">
      <alignment horizontal="right" vertical="center"/>
    </xf>
    <xf numFmtId="4" fontId="32" fillId="22" borderId="10" xfId="0" applyNumberFormat="1" applyFont="1" applyFill="1" applyBorder="1" applyAlignment="1">
      <alignment horizontal="right" vertical="center"/>
    </xf>
    <xf numFmtId="4" fontId="32" fillId="21" borderId="10" xfId="0" applyNumberFormat="1" applyFont="1" applyFill="1" applyBorder="1" applyAlignment="1">
      <alignment horizontal="right" vertical="center"/>
    </xf>
    <xf numFmtId="4" fontId="34" fillId="21" borderId="10" xfId="0" applyNumberFormat="1" applyFont="1" applyFill="1" applyBorder="1" applyAlignment="1">
      <alignment horizontal="right" vertical="center"/>
    </xf>
    <xf numFmtId="4" fontId="31" fillId="21" borderId="10" xfId="0" applyNumberFormat="1" applyFont="1" applyFill="1" applyBorder="1" applyAlignment="1">
      <alignment horizontal="right" vertical="center" wrapText="1"/>
    </xf>
    <xf numFmtId="4" fontId="32" fillId="0" borderId="10" xfId="0" applyNumberFormat="1" applyFont="1" applyFill="1" applyBorder="1" applyAlignment="1">
      <alignment horizontal="right" vertical="center" wrapText="1"/>
    </xf>
    <xf numFmtId="4" fontId="32" fillId="0" borderId="13" xfId="0" applyNumberFormat="1" applyFont="1" applyFill="1" applyBorder="1" applyAlignment="1">
      <alignment horizontal="right" vertical="center" wrapText="1"/>
    </xf>
    <xf numFmtId="4" fontId="32" fillId="21" borderId="15" xfId="0" applyNumberFormat="1" applyFont="1" applyFill="1" applyBorder="1" applyAlignment="1">
      <alignment horizontal="right" vertical="center" wrapText="1"/>
    </xf>
    <xf numFmtId="4" fontId="32" fillId="21" borderId="11" xfId="0" applyNumberFormat="1" applyFont="1" applyFill="1" applyBorder="1" applyAlignment="1">
      <alignment horizontal="right" vertical="center" wrapText="1"/>
    </xf>
    <xf numFmtId="4" fontId="32" fillId="0" borderId="16" xfId="0" applyNumberFormat="1" applyFont="1" applyFill="1" applyBorder="1" applyAlignment="1">
      <alignment horizontal="right" vertical="center" wrapText="1"/>
    </xf>
    <xf numFmtId="4" fontId="34" fillId="20" borderId="13" xfId="0" applyNumberFormat="1" applyFont="1" applyFill="1" applyBorder="1" applyAlignment="1">
      <alignment horizontal="right" vertical="center"/>
    </xf>
    <xf numFmtId="4" fontId="33" fillId="0" borderId="13" xfId="0" applyNumberFormat="1" applyFont="1" applyBorder="1" applyAlignment="1">
      <alignment horizontal="right" vertical="center"/>
    </xf>
    <xf numFmtId="4" fontId="33" fillId="0" borderId="13" xfId="0" applyNumberFormat="1" applyFont="1" applyFill="1" applyBorder="1" applyAlignment="1">
      <alignment horizontal="right" vertical="center"/>
    </xf>
    <xf numFmtId="4" fontId="34" fillId="21" borderId="13" xfId="0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/>
    </xf>
    <xf numFmtId="166" fontId="6" fillId="0" borderId="11" xfId="0" applyNumberFormat="1" applyFont="1" applyBorder="1" applyAlignment="1">
      <alignment horizontal="center"/>
    </xf>
    <xf numFmtId="0" fontId="30" fillId="0" borderId="0" xfId="0" applyFont="1" applyAlignment="1">
      <alignment vertical="center"/>
    </xf>
    <xf numFmtId="0" fontId="7" fillId="21" borderId="10" xfId="0" applyFont="1" applyFill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2"/>
    </xf>
    <xf numFmtId="0" fontId="7" fillId="21" borderId="10" xfId="0" applyFont="1" applyFill="1" applyBorder="1" applyAlignment="1">
      <alignment horizontal="left" vertical="center" wrapText="1" indent="2"/>
    </xf>
    <xf numFmtId="0" fontId="7" fillId="20" borderId="10" xfId="0" quotePrefix="1" applyFont="1" applyFill="1" applyBorder="1" applyAlignment="1">
      <alignment horizontal="left" vertical="center" wrapText="1" indent="2"/>
    </xf>
    <xf numFmtId="0" fontId="7" fillId="21" borderId="10" xfId="0" quotePrefix="1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7" fillId="21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2"/>
    </xf>
    <xf numFmtId="0" fontId="7" fillId="0" borderId="10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/>
    </xf>
    <xf numFmtId="0" fontId="36" fillId="0" borderId="10" xfId="45" applyFont="1" applyFill="1" applyBorder="1" applyAlignment="1">
      <alignment horizontal="left" vertical="center" wrapText="1" indent="1"/>
    </xf>
    <xf numFmtId="0" fontId="10" fillId="0" borderId="14" xfId="45" applyFont="1" applyFill="1" applyBorder="1" applyAlignment="1">
      <alignment horizontal="left" vertical="center"/>
    </xf>
    <xf numFmtId="0" fontId="37" fillId="0" borderId="0" xfId="0" applyFont="1"/>
    <xf numFmtId="0" fontId="37" fillId="0" borderId="0" xfId="0" applyFont="1"/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6" fillId="0" borderId="10" xfId="46" applyFont="1" applyBorder="1" applyAlignment="1">
      <alignment horizontal="left" vertical="center" wrapText="1" inden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11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 wrapText="1"/>
    </xf>
    <xf numFmtId="0" fontId="6" fillId="19" borderId="18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3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 wrapText="1"/>
    </xf>
    <xf numFmtId="0" fontId="6" fillId="19" borderId="13" xfId="0" applyNumberFormat="1" applyFont="1" applyFill="1" applyBorder="1" applyAlignment="1">
      <alignment horizontal="center" vertical="center" wrapText="1"/>
    </xf>
    <xf numFmtId="0" fontId="6" fillId="19" borderId="16" xfId="0" applyNumberFormat="1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0" xfId="0" applyFont="1" applyFill="1" applyBorder="1" applyAlignment="1">
      <alignment horizontal="center" vertical="center"/>
    </xf>
    <xf numFmtId="166" fontId="6" fillId="0" borderId="13" xfId="0" applyNumberFormat="1" applyFont="1" applyBorder="1" applyAlignment="1">
      <alignment horizontal="center"/>
    </xf>
    <xf numFmtId="166" fontId="6" fillId="0" borderId="16" xfId="0" applyNumberFormat="1" applyFont="1" applyBorder="1" applyAlignment="1">
      <alignment horizontal="center"/>
    </xf>
    <xf numFmtId="0" fontId="6" fillId="19" borderId="16" xfId="0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 vertical="center" wrapText="1"/>
    </xf>
  </cellXfs>
  <cellStyles count="5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2 2" xfId="29" xr:uid="{00000000-0005-0000-0000-00001C000000}"/>
    <cellStyle name="Dziesiętny 3" xfId="30" xr:uid="{00000000-0005-0000-0000-00001D000000}"/>
    <cellStyle name="Dziesiętny 3 2" xfId="31" xr:uid="{00000000-0005-0000-0000-00001E000000}"/>
    <cellStyle name="Dziesiętny 3 3" xfId="32" xr:uid="{00000000-0005-0000-0000-00001F000000}"/>
    <cellStyle name="Dziesiętny 3 4" xfId="33" xr:uid="{00000000-0005-0000-0000-000020000000}"/>
    <cellStyle name="Dziesiętny 4" xfId="34" xr:uid="{00000000-0005-0000-0000-000021000000}"/>
    <cellStyle name="Dziesiętny 5" xfId="35" xr:uid="{00000000-0005-0000-0000-000022000000}"/>
    <cellStyle name="Explanatory Text" xfId="36" xr:uid="{00000000-0005-0000-0000-000023000000}"/>
    <cellStyle name="Good" xfId="37" xr:uid="{00000000-0005-0000-0000-000024000000}"/>
    <cellStyle name="Heading 1" xfId="38" xr:uid="{00000000-0005-0000-0000-000025000000}"/>
    <cellStyle name="Heading 2" xfId="39" xr:uid="{00000000-0005-0000-0000-000026000000}"/>
    <cellStyle name="Heading 3" xfId="40" xr:uid="{00000000-0005-0000-0000-000027000000}"/>
    <cellStyle name="Heading 4" xfId="41" xr:uid="{00000000-0005-0000-0000-000028000000}"/>
    <cellStyle name="Input" xfId="42" xr:uid="{00000000-0005-0000-0000-000029000000}"/>
    <cellStyle name="Linked Cell" xfId="43" xr:uid="{00000000-0005-0000-0000-00002A000000}"/>
    <cellStyle name="Neutral" xfId="44" xr:uid="{00000000-0005-0000-0000-00002B000000}"/>
    <cellStyle name="Normalny" xfId="0" builtinId="0"/>
    <cellStyle name="Normalny 2" xfId="45" xr:uid="{00000000-0005-0000-0000-00002D000000}"/>
    <cellStyle name="Normalny 2 2" xfId="46" xr:uid="{00000000-0005-0000-0000-00002E000000}"/>
    <cellStyle name="Note" xfId="47" xr:uid="{00000000-0005-0000-0000-00002F000000}"/>
    <cellStyle name="Note 2" xfId="48" xr:uid="{00000000-0005-0000-0000-000030000000}"/>
    <cellStyle name="Output" xfId="49" xr:uid="{00000000-0005-0000-0000-000031000000}"/>
    <cellStyle name="Title" xfId="50" xr:uid="{00000000-0005-0000-0000-000032000000}"/>
    <cellStyle name="Total" xfId="51" xr:uid="{00000000-0005-0000-0000-000033000000}"/>
    <cellStyle name="Warning Text" xfId="52" xr:uid="{00000000-0005-0000-0000-00003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41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5" hidden="1" customWidth="1"/>
    <col min="2" max="2" width="30.7109375" style="15" customWidth="1"/>
    <col min="3" max="4" width="14.5703125" style="15" customWidth="1"/>
    <col min="5" max="5" width="14.5703125" style="15" customWidth="1" outlineLevel="1"/>
    <col min="6" max="6" width="13.85546875" style="15" customWidth="1" outlineLevel="1"/>
    <col min="7" max="7" width="13" style="15" customWidth="1" outlineLevel="1"/>
    <col min="8" max="9" width="12.28515625" style="15" customWidth="1" outlineLevel="1"/>
    <col min="10" max="10" width="13" style="15" customWidth="1"/>
    <col min="11" max="11" width="7.42578125" style="15" customWidth="1"/>
    <col min="12" max="12" width="8.85546875" style="15" customWidth="1"/>
    <col min="13" max="13" width="8.140625" style="15" customWidth="1"/>
    <col min="14" max="16384" width="9.140625" style="15"/>
  </cols>
  <sheetData>
    <row r="1" spans="2:13" ht="27.75" customHeight="1" x14ac:dyDescent="0.2">
      <c r="B1" s="87" t="str">
        <f>CONCATENATE("Informacja z wykonania budżetów miast na prawach powiatu za ",$D$138," ",$C$139," rok    ",$C$141,"")</f>
        <v xml:space="preserve">Informacja z wykonania budżetów miast na prawach powiatu za III Kwartały 2024 rok    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 ht="63" customHeight="1" x14ac:dyDescent="0.2">
      <c r="B2" s="112" t="s">
        <v>0</v>
      </c>
      <c r="C2" s="5" t="s">
        <v>28</v>
      </c>
      <c r="D2" s="5" t="s">
        <v>29</v>
      </c>
      <c r="E2" s="5" t="s">
        <v>30</v>
      </c>
      <c r="F2" s="5" t="s">
        <v>31</v>
      </c>
      <c r="G2" s="5" t="s">
        <v>32</v>
      </c>
      <c r="H2" s="5" t="s">
        <v>33</v>
      </c>
      <c r="I2" s="5" t="s">
        <v>34</v>
      </c>
      <c r="J2" s="6" t="s">
        <v>2</v>
      </c>
      <c r="K2" s="5" t="s">
        <v>16</v>
      </c>
      <c r="L2" s="5" t="s">
        <v>3</v>
      </c>
    </row>
    <row r="3" spans="2:13" x14ac:dyDescent="0.2">
      <c r="B3" s="112"/>
      <c r="C3" s="119" t="s">
        <v>78</v>
      </c>
      <c r="D3" s="120"/>
      <c r="E3" s="120"/>
      <c r="F3" s="120"/>
      <c r="G3" s="120"/>
      <c r="H3" s="120"/>
      <c r="I3" s="121"/>
      <c r="J3" s="127" t="s">
        <v>4</v>
      </c>
      <c r="K3" s="127"/>
      <c r="L3" s="127"/>
    </row>
    <row r="4" spans="2:13" x14ac:dyDescent="0.2">
      <c r="B4" s="6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</row>
    <row r="5" spans="2:13" ht="12.95" customHeight="1" x14ac:dyDescent="0.2">
      <c r="B5" s="65" t="s">
        <v>5</v>
      </c>
      <c r="C5" s="67">
        <f>133785440832.63</f>
        <v>133785440832.63</v>
      </c>
      <c r="D5" s="67">
        <f>104046012985.39</f>
        <v>104046012985.39</v>
      </c>
      <c r="E5" s="67">
        <f>730835160.9</f>
        <v>730835160.89999998</v>
      </c>
      <c r="F5" s="67">
        <f>184985507.36</f>
        <v>184985507.36000001</v>
      </c>
      <c r="G5" s="67">
        <f>17188250.3</f>
        <v>17188250.300000001</v>
      </c>
      <c r="H5" s="67">
        <f>71859240.96</f>
        <v>71859240.959999993</v>
      </c>
      <c r="I5" s="67">
        <f>2986052.27</f>
        <v>2986052.27</v>
      </c>
      <c r="J5" s="16">
        <f t="shared" ref="J5:J74" si="0">IF($D$5=0,"",100*$D5/$D$5)</f>
        <v>100</v>
      </c>
      <c r="K5" s="16">
        <f t="shared" ref="K5:K49" si="1">IF(C5=0,"",100*D5/C5)</f>
        <v>77.770804011144222</v>
      </c>
      <c r="L5" s="16"/>
    </row>
    <row r="6" spans="2:13" ht="25.5" customHeight="1" x14ac:dyDescent="0.2">
      <c r="B6" s="88" t="s">
        <v>57</v>
      </c>
      <c r="C6" s="67">
        <f>C5-C23-C60</f>
        <v>80479946956.800018</v>
      </c>
      <c r="D6" s="67">
        <f>D5-D23-D60</f>
        <v>61123166610.48999</v>
      </c>
      <c r="E6" s="67">
        <f>E5</f>
        <v>730835160.89999998</v>
      </c>
      <c r="F6" s="67">
        <f>F5</f>
        <v>184985507.36000001</v>
      </c>
      <c r="G6" s="67">
        <f>G5</f>
        <v>17188250.300000001</v>
      </c>
      <c r="H6" s="67">
        <f>H5</f>
        <v>71859240.959999993</v>
      </c>
      <c r="I6" s="67">
        <f>I5</f>
        <v>2986052.27</v>
      </c>
      <c r="J6" s="16">
        <f t="shared" si="0"/>
        <v>58.746284318528211</v>
      </c>
      <c r="K6" s="16">
        <f t="shared" si="1"/>
        <v>75.948318707639871</v>
      </c>
      <c r="L6" s="16">
        <f t="shared" ref="L6:L22" si="2">IF($D$6=0,"",100*$D6/$D$6)</f>
        <v>100</v>
      </c>
    </row>
    <row r="7" spans="2:13" ht="33.75" outlineLevel="1" x14ac:dyDescent="0.2">
      <c r="B7" s="89" t="s">
        <v>58</v>
      </c>
      <c r="C7" s="68">
        <f>5294432179</f>
        <v>5294432179</v>
      </c>
      <c r="D7" s="68">
        <f>3970823868</f>
        <v>3970823868</v>
      </c>
      <c r="E7" s="68">
        <f>0</f>
        <v>0</v>
      </c>
      <c r="F7" s="68">
        <f>0</f>
        <v>0</v>
      </c>
      <c r="G7" s="68">
        <f>0</f>
        <v>0</v>
      </c>
      <c r="H7" s="68">
        <f>0</f>
        <v>0</v>
      </c>
      <c r="I7" s="68">
        <f>0</f>
        <v>0</v>
      </c>
      <c r="J7" s="18">
        <f t="shared" si="0"/>
        <v>3.8164113684563556</v>
      </c>
      <c r="K7" s="18">
        <f t="shared" si="1"/>
        <v>74.999994971132111</v>
      </c>
      <c r="L7" s="18">
        <f t="shared" si="2"/>
        <v>6.4964302214645491</v>
      </c>
    </row>
    <row r="8" spans="2:13" ht="33.75" outlineLevel="1" x14ac:dyDescent="0.2">
      <c r="B8" s="10" t="s">
        <v>59</v>
      </c>
      <c r="C8" s="69">
        <f>1105433584</f>
        <v>1105433584</v>
      </c>
      <c r="D8" s="69">
        <f>829074897</f>
        <v>829074897</v>
      </c>
      <c r="E8" s="69">
        <f>0</f>
        <v>0</v>
      </c>
      <c r="F8" s="69">
        <f>0</f>
        <v>0</v>
      </c>
      <c r="G8" s="69">
        <f>0</f>
        <v>0</v>
      </c>
      <c r="H8" s="69">
        <f>0</f>
        <v>0</v>
      </c>
      <c r="I8" s="69">
        <f>0</f>
        <v>0</v>
      </c>
      <c r="J8" s="18">
        <f t="shared" si="0"/>
        <v>0.79683485528313092</v>
      </c>
      <c r="K8" s="18">
        <f t="shared" si="1"/>
        <v>74.999973675487681</v>
      </c>
      <c r="L8" s="18">
        <f t="shared" si="2"/>
        <v>1.3564004337067734</v>
      </c>
    </row>
    <row r="9" spans="2:13" ht="33.75" outlineLevel="1" x14ac:dyDescent="0.2">
      <c r="B9" s="10" t="s">
        <v>60</v>
      </c>
      <c r="C9" s="69">
        <f>25282663771</f>
        <v>25282663771</v>
      </c>
      <c r="D9" s="69">
        <f>18961997571</f>
        <v>18961997571</v>
      </c>
      <c r="E9" s="69">
        <f>0</f>
        <v>0</v>
      </c>
      <c r="F9" s="69">
        <f>0</f>
        <v>0</v>
      </c>
      <c r="G9" s="69">
        <f>0</f>
        <v>0</v>
      </c>
      <c r="H9" s="69">
        <f>0</f>
        <v>0</v>
      </c>
      <c r="I9" s="69">
        <f>0</f>
        <v>0</v>
      </c>
      <c r="J9" s="18">
        <f t="shared" si="0"/>
        <v>18.224626803972409</v>
      </c>
      <c r="K9" s="18">
        <f t="shared" si="1"/>
        <v>74.999998982504366</v>
      </c>
      <c r="L9" s="18">
        <f t="shared" si="2"/>
        <v>31.022603412935304</v>
      </c>
    </row>
    <row r="10" spans="2:13" ht="33.75" outlineLevel="1" x14ac:dyDescent="0.2">
      <c r="B10" s="10" t="s">
        <v>61</v>
      </c>
      <c r="C10" s="69">
        <f>6738549300</f>
        <v>6738549300</v>
      </c>
      <c r="D10" s="69">
        <f>5053911696</f>
        <v>5053911696</v>
      </c>
      <c r="E10" s="69">
        <f>0</f>
        <v>0</v>
      </c>
      <c r="F10" s="69">
        <f>0</f>
        <v>0</v>
      </c>
      <c r="G10" s="69">
        <f>0</f>
        <v>0</v>
      </c>
      <c r="H10" s="69">
        <f>0</f>
        <v>0</v>
      </c>
      <c r="I10" s="69">
        <f>0</f>
        <v>0</v>
      </c>
      <c r="J10" s="18">
        <f t="shared" si="0"/>
        <v>4.8573814132692075</v>
      </c>
      <c r="K10" s="18">
        <f t="shared" si="1"/>
        <v>74.999995859642965</v>
      </c>
      <c r="L10" s="18">
        <f t="shared" si="2"/>
        <v>8.2684061972873071</v>
      </c>
    </row>
    <row r="11" spans="2:13" ht="12.95" customHeight="1" outlineLevel="1" x14ac:dyDescent="0.2">
      <c r="B11" s="10" t="s">
        <v>17</v>
      </c>
      <c r="C11" s="69">
        <f>30303427</f>
        <v>30303427</v>
      </c>
      <c r="D11" s="69">
        <f>28678475.82</f>
        <v>28678475.82</v>
      </c>
      <c r="E11" s="69">
        <f>861763.2</f>
        <v>861763.2</v>
      </c>
      <c r="F11" s="69">
        <f>9667.43</f>
        <v>9667.43</v>
      </c>
      <c r="G11" s="69">
        <f>15584.09</f>
        <v>15584.09</v>
      </c>
      <c r="H11" s="69">
        <f>17714.25</f>
        <v>17714.25</v>
      </c>
      <c r="I11" s="69">
        <f>0</f>
        <v>0</v>
      </c>
      <c r="J11" s="18">
        <f t="shared" si="0"/>
        <v>2.7563262634606664E-2</v>
      </c>
      <c r="K11" s="18">
        <f t="shared" si="1"/>
        <v>94.637731303459503</v>
      </c>
      <c r="L11" s="18">
        <f t="shared" si="2"/>
        <v>4.6919159150825451E-2</v>
      </c>
    </row>
    <row r="12" spans="2:13" ht="12.95" customHeight="1" outlineLevel="1" x14ac:dyDescent="0.2">
      <c r="B12" s="10" t="s">
        <v>18</v>
      </c>
      <c r="C12" s="69">
        <f>12932078435.75</f>
        <v>12932078435.75</v>
      </c>
      <c r="D12" s="70">
        <f>10061575068.53</f>
        <v>10061575068.530001</v>
      </c>
      <c r="E12" s="69">
        <f>324208251.21</f>
        <v>324208251.20999998</v>
      </c>
      <c r="F12" s="69">
        <f>184455586.15</f>
        <v>184455586.15000001</v>
      </c>
      <c r="G12" s="69">
        <f>12664367.2</f>
        <v>12664367.199999999</v>
      </c>
      <c r="H12" s="69">
        <f>57987972.14</f>
        <v>57987972.140000001</v>
      </c>
      <c r="I12" s="69">
        <f>2948121.08</f>
        <v>2948121.08</v>
      </c>
      <c r="J12" s="18">
        <f t="shared" si="0"/>
        <v>9.6703129508122849</v>
      </c>
      <c r="K12" s="18">
        <f t="shared" si="1"/>
        <v>77.803232624350201</v>
      </c>
      <c r="L12" s="18">
        <f t="shared" si="2"/>
        <v>16.461148246208875</v>
      </c>
    </row>
    <row r="13" spans="2:13" ht="12.95" customHeight="1" outlineLevel="1" x14ac:dyDescent="0.2">
      <c r="B13" s="10" t="s">
        <v>19</v>
      </c>
      <c r="C13" s="69">
        <f>7562082</f>
        <v>7562082</v>
      </c>
      <c r="D13" s="70">
        <f>6024109.07</f>
        <v>6024109.0700000003</v>
      </c>
      <c r="E13" s="69">
        <f>0</f>
        <v>0</v>
      </c>
      <c r="F13" s="69">
        <f>33477.78</f>
        <v>33477.78</v>
      </c>
      <c r="G13" s="69">
        <f>181.59</f>
        <v>181.59</v>
      </c>
      <c r="H13" s="69">
        <f>2155.17</f>
        <v>2155.17</v>
      </c>
      <c r="I13" s="69">
        <f>0</f>
        <v>0</v>
      </c>
      <c r="J13" s="18">
        <f t="shared" si="0"/>
        <v>5.7898509487777274E-3</v>
      </c>
      <c r="K13" s="18">
        <f t="shared" si="1"/>
        <v>79.662043733458589</v>
      </c>
      <c r="L13" s="18">
        <f t="shared" si="2"/>
        <v>9.8556887740926351E-3</v>
      </c>
    </row>
    <row r="14" spans="2:13" ht="12.95" customHeight="1" outlineLevel="1" x14ac:dyDescent="0.2">
      <c r="B14" s="10" t="s">
        <v>20</v>
      </c>
      <c r="C14" s="69">
        <f>418946339</f>
        <v>418946339</v>
      </c>
      <c r="D14" s="70">
        <f>377627337.99</f>
        <v>377627337.99000001</v>
      </c>
      <c r="E14" s="69">
        <f>405585370.45</f>
        <v>405585370.44999999</v>
      </c>
      <c r="F14" s="69">
        <f>486776</f>
        <v>486776</v>
      </c>
      <c r="G14" s="69">
        <f>145903.56</f>
        <v>145903.56</v>
      </c>
      <c r="H14" s="69">
        <f>1432483.02</f>
        <v>1432483.02</v>
      </c>
      <c r="I14" s="69">
        <f>0</f>
        <v>0</v>
      </c>
      <c r="J14" s="18">
        <f t="shared" si="0"/>
        <v>0.36294263197093957</v>
      </c>
      <c r="K14" s="18">
        <f t="shared" si="1"/>
        <v>90.137400148041394</v>
      </c>
      <c r="L14" s="18">
        <f t="shared" si="2"/>
        <v>0.61781376674485222</v>
      </c>
    </row>
    <row r="15" spans="2:13" ht="33.75" outlineLevel="1" x14ac:dyDescent="0.2">
      <c r="B15" s="10" t="s">
        <v>36</v>
      </c>
      <c r="C15" s="69">
        <f>91723710</f>
        <v>91723710</v>
      </c>
      <c r="D15" s="70">
        <f>66490412.7</f>
        <v>66490412.700000003</v>
      </c>
      <c r="E15" s="69">
        <f>0</f>
        <v>0</v>
      </c>
      <c r="F15" s="69">
        <f>0</f>
        <v>0</v>
      </c>
      <c r="G15" s="69">
        <f>39673.31</f>
        <v>39673.31</v>
      </c>
      <c r="H15" s="69">
        <f>187049.51</f>
        <v>187049.51</v>
      </c>
      <c r="I15" s="69">
        <f>0</f>
        <v>0</v>
      </c>
      <c r="J15" s="18">
        <f t="shared" si="0"/>
        <v>6.3904815563991385E-2</v>
      </c>
      <c r="K15" s="18">
        <f t="shared" si="1"/>
        <v>72.489885875745756</v>
      </c>
      <c r="L15" s="18">
        <f t="shared" si="2"/>
        <v>0.1087810340778203</v>
      </c>
    </row>
    <row r="16" spans="2:13" ht="12.95" customHeight="1" outlineLevel="1" x14ac:dyDescent="0.2">
      <c r="B16" s="10" t="s">
        <v>25</v>
      </c>
      <c r="C16" s="69">
        <f>280956564</f>
        <v>280956564</v>
      </c>
      <c r="D16" s="70">
        <f>242296953.18</f>
        <v>242296953.18000001</v>
      </c>
      <c r="E16" s="69">
        <f>0</f>
        <v>0</v>
      </c>
      <c r="F16" s="69">
        <f>0</f>
        <v>0</v>
      </c>
      <c r="G16" s="69">
        <f>1092780.68</f>
        <v>1092780.68</v>
      </c>
      <c r="H16" s="69">
        <f>5730563.34</f>
        <v>5730563.3399999999</v>
      </c>
      <c r="I16" s="69">
        <f>0</f>
        <v>0</v>
      </c>
      <c r="J16" s="18">
        <f t="shared" si="0"/>
        <v>0.23287480820050549</v>
      </c>
      <c r="K16" s="18">
        <f t="shared" si="1"/>
        <v>86.240004408653007</v>
      </c>
      <c r="L16" s="18">
        <f t="shared" si="2"/>
        <v>0.39640772331716345</v>
      </c>
    </row>
    <row r="17" spans="2:12" ht="22.5" customHeight="1" outlineLevel="1" x14ac:dyDescent="0.2">
      <c r="B17" s="10" t="s">
        <v>26</v>
      </c>
      <c r="C17" s="69">
        <f>1859303556.35</f>
        <v>1859303556.3499999</v>
      </c>
      <c r="D17" s="70">
        <f>1504573156.14</f>
        <v>1504573156.1400001</v>
      </c>
      <c r="E17" s="69">
        <f>0</f>
        <v>0</v>
      </c>
      <c r="F17" s="69">
        <f>0</f>
        <v>0</v>
      </c>
      <c r="G17" s="69">
        <f>15708.51</f>
        <v>15708.51</v>
      </c>
      <c r="H17" s="69">
        <f>306067.31</f>
        <v>306067.31</v>
      </c>
      <c r="I17" s="69">
        <f>0</f>
        <v>0</v>
      </c>
      <c r="J17" s="18">
        <f t="shared" si="0"/>
        <v>1.4460651715229782</v>
      </c>
      <c r="K17" s="18">
        <f t="shared" si="1"/>
        <v>80.92132944088101</v>
      </c>
      <c r="L17" s="18">
        <f t="shared" si="2"/>
        <v>2.4615432078772312</v>
      </c>
    </row>
    <row r="18" spans="2:12" ht="12.95" customHeight="1" outlineLevel="1" x14ac:dyDescent="0.2">
      <c r="B18" s="10" t="s">
        <v>50</v>
      </c>
      <c r="C18" s="69">
        <f>412983194</f>
        <v>412983194</v>
      </c>
      <c r="D18" s="70">
        <f>352653851.33</f>
        <v>352653851.32999998</v>
      </c>
      <c r="E18" s="69">
        <f>0</f>
        <v>0</v>
      </c>
      <c r="F18" s="69">
        <f>0</f>
        <v>0</v>
      </c>
      <c r="G18" s="69">
        <f>2892.64</f>
        <v>2892.64</v>
      </c>
      <c r="H18" s="69">
        <f>111</f>
        <v>111</v>
      </c>
      <c r="I18" s="69">
        <f>0</f>
        <v>0</v>
      </c>
      <c r="J18" s="18">
        <f t="shared" si="0"/>
        <v>0.33894028344893828</v>
      </c>
      <c r="K18" s="18">
        <f t="shared" si="1"/>
        <v>85.391816532369589</v>
      </c>
      <c r="L18" s="18">
        <f t="shared" si="2"/>
        <v>0.57695612136279173</v>
      </c>
    </row>
    <row r="19" spans="2:12" ht="12.95" customHeight="1" outlineLevel="1" x14ac:dyDescent="0.2">
      <c r="B19" s="10" t="s">
        <v>51</v>
      </c>
      <c r="C19" s="69">
        <f>9657504</f>
        <v>9657504</v>
      </c>
      <c r="D19" s="70">
        <f>9898372.88</f>
        <v>9898372.8800000008</v>
      </c>
      <c r="E19" s="69">
        <f>0</f>
        <v>0</v>
      </c>
      <c r="F19" s="69">
        <f>0</f>
        <v>0</v>
      </c>
      <c r="G19" s="69">
        <f>0</f>
        <v>0</v>
      </c>
      <c r="H19" s="69">
        <f>0</f>
        <v>0</v>
      </c>
      <c r="I19" s="69">
        <f>0</f>
        <v>0</v>
      </c>
      <c r="J19" s="18">
        <f t="shared" si="0"/>
        <v>9.5134571676378579E-3</v>
      </c>
      <c r="K19" s="18">
        <f t="shared" si="1"/>
        <v>102.49411110779764</v>
      </c>
      <c r="L19" s="18">
        <f t="shared" si="2"/>
        <v>1.6194142792172087E-2</v>
      </c>
    </row>
    <row r="20" spans="2:12" ht="12.95" customHeight="1" outlineLevel="1" x14ac:dyDescent="0.2">
      <c r="B20" s="10" t="s">
        <v>52</v>
      </c>
      <c r="C20" s="69">
        <f>13179000</f>
        <v>13179000</v>
      </c>
      <c r="D20" s="70">
        <f>9709551.56</f>
        <v>9709551.5600000005</v>
      </c>
      <c r="E20" s="69">
        <f>0</f>
        <v>0</v>
      </c>
      <c r="F20" s="69">
        <f>0</f>
        <v>0</v>
      </c>
      <c r="G20" s="69">
        <f>389.81</f>
        <v>389.81</v>
      </c>
      <c r="H20" s="69">
        <f>30932</f>
        <v>30932</v>
      </c>
      <c r="I20" s="69">
        <f>0</f>
        <v>0</v>
      </c>
      <c r="J20" s="18">
        <f t="shared" si="0"/>
        <v>9.3319784981702302E-3</v>
      </c>
      <c r="K20" s="18">
        <f t="shared" si="1"/>
        <v>73.674418089384631</v>
      </c>
      <c r="L20" s="18">
        <f t="shared" si="2"/>
        <v>1.5885223391442618E-2</v>
      </c>
    </row>
    <row r="21" spans="2:12" ht="12.95" customHeight="1" outlineLevel="1" x14ac:dyDescent="0.2">
      <c r="B21" s="10" t="s">
        <v>21</v>
      </c>
      <c r="C21" s="69">
        <f>5758620828.31</f>
        <v>5758620828.3100004</v>
      </c>
      <c r="D21" s="70">
        <f>4106333433.4</f>
        <v>4106333433.4000001</v>
      </c>
      <c r="E21" s="69">
        <f>0</f>
        <v>0</v>
      </c>
      <c r="F21" s="69">
        <f>0</f>
        <v>0</v>
      </c>
      <c r="G21" s="69">
        <f>0</f>
        <v>0</v>
      </c>
      <c r="H21" s="69">
        <f>0</f>
        <v>0</v>
      </c>
      <c r="I21" s="69">
        <f>0</f>
        <v>0</v>
      </c>
      <c r="J21" s="18">
        <f t="shared" si="0"/>
        <v>3.9466514050630712</v>
      </c>
      <c r="K21" s="18">
        <f t="shared" si="1"/>
        <v>71.307584851095285</v>
      </c>
      <c r="L21" s="18">
        <f t="shared" si="2"/>
        <v>6.7181294116644619</v>
      </c>
    </row>
    <row r="22" spans="2:12" ht="12.95" customHeight="1" outlineLevel="1" x14ac:dyDescent="0.2">
      <c r="B22" s="10" t="s">
        <v>22</v>
      </c>
      <c r="C22" s="69">
        <f>C6-SUM(C7:C21)</f>
        <v>20243553482.390022</v>
      </c>
      <c r="D22" s="69">
        <f t="shared" ref="D22:I22" si="3">D6-SUM(D7:D21)</f>
        <v>15541497855.889999</v>
      </c>
      <c r="E22" s="69">
        <f t="shared" si="3"/>
        <v>179776.04000008106</v>
      </c>
      <c r="F22" s="69">
        <f t="shared" si="3"/>
        <v>0</v>
      </c>
      <c r="G22" s="69">
        <f t="shared" si="3"/>
        <v>3210768.91</v>
      </c>
      <c r="H22" s="69">
        <f t="shared" si="3"/>
        <v>6164193.2199999839</v>
      </c>
      <c r="I22" s="69">
        <f t="shared" si="3"/>
        <v>37931.189999999944</v>
      </c>
      <c r="J22" s="18">
        <f t="shared" si="0"/>
        <v>14.937139261715215</v>
      </c>
      <c r="K22" s="18">
        <f t="shared" si="1"/>
        <v>76.772577845137874</v>
      </c>
      <c r="L22" s="18">
        <f t="shared" si="2"/>
        <v>25.426526009244359</v>
      </c>
    </row>
    <row r="23" spans="2:12" ht="26.25" customHeight="1" x14ac:dyDescent="0.2">
      <c r="B23" s="88" t="s">
        <v>106</v>
      </c>
      <c r="C23" s="67">
        <f>C24+C56+C58</f>
        <v>18774096577.739998</v>
      </c>
      <c r="D23" s="67">
        <f>D24+D56+D58</f>
        <v>14009616750.900002</v>
      </c>
      <c r="E23" s="20" t="s">
        <v>56</v>
      </c>
      <c r="F23" s="20" t="s">
        <v>56</v>
      </c>
      <c r="G23" s="20" t="s">
        <v>56</v>
      </c>
      <c r="H23" s="20" t="s">
        <v>56</v>
      </c>
      <c r="I23" s="20" t="s">
        <v>56</v>
      </c>
      <c r="J23" s="16">
        <f t="shared" si="0"/>
        <v>13.464828059165722</v>
      </c>
      <c r="K23" s="16">
        <f t="shared" si="1"/>
        <v>74.622055409637525</v>
      </c>
      <c r="L23" s="21"/>
    </row>
    <row r="24" spans="2:12" ht="25.5" customHeight="1" outlineLevel="1" x14ac:dyDescent="0.2">
      <c r="B24" s="90" t="s">
        <v>62</v>
      </c>
      <c r="C24" s="67">
        <f>C25+C32+C39</f>
        <v>15786316134.149998</v>
      </c>
      <c r="D24" s="67">
        <f>D25+D32+D39</f>
        <v>11842795427.070002</v>
      </c>
      <c r="E24" s="20" t="s">
        <v>56</v>
      </c>
      <c r="F24" s="20" t="s">
        <v>56</v>
      </c>
      <c r="G24" s="20" t="s">
        <v>56</v>
      </c>
      <c r="H24" s="20" t="s">
        <v>56</v>
      </c>
      <c r="I24" s="20" t="s">
        <v>56</v>
      </c>
      <c r="J24" s="16">
        <f t="shared" si="0"/>
        <v>11.382267409643992</v>
      </c>
      <c r="K24" s="16">
        <f t="shared" si="1"/>
        <v>75.019373275129638</v>
      </c>
      <c r="L24" s="22"/>
    </row>
    <row r="25" spans="2:12" ht="13.5" customHeight="1" outlineLevel="1" x14ac:dyDescent="0.2">
      <c r="B25" s="91" t="s">
        <v>53</v>
      </c>
      <c r="C25" s="67">
        <f>C26+C28+C30</f>
        <v>7427561824.6999998</v>
      </c>
      <c r="D25" s="67">
        <f>D26+D28+D30</f>
        <v>6123194389.5200005</v>
      </c>
      <c r="E25" s="20" t="s">
        <v>56</v>
      </c>
      <c r="F25" s="20" t="s">
        <v>56</v>
      </c>
      <c r="G25" s="20" t="s">
        <v>56</v>
      </c>
      <c r="H25" s="20" t="s">
        <v>56</v>
      </c>
      <c r="I25" s="20" t="s">
        <v>56</v>
      </c>
      <c r="J25" s="16">
        <f t="shared" si="0"/>
        <v>5.8850831606395246</v>
      </c>
      <c r="K25" s="16">
        <f t="shared" si="1"/>
        <v>82.438820894867703</v>
      </c>
      <c r="L25" s="22"/>
    </row>
    <row r="26" spans="2:12" ht="22.5" customHeight="1" outlineLevel="1" x14ac:dyDescent="0.2">
      <c r="B26" s="93" t="s">
        <v>112</v>
      </c>
      <c r="C26" s="68">
        <f>4710756667.51</f>
        <v>4710756667.5100002</v>
      </c>
      <c r="D26" s="71">
        <f>4170684271.53</f>
        <v>4170684271.5300002</v>
      </c>
      <c r="E26" s="17" t="s">
        <v>56</v>
      </c>
      <c r="F26" s="17" t="s">
        <v>56</v>
      </c>
      <c r="G26" s="17" t="s">
        <v>56</v>
      </c>
      <c r="H26" s="17" t="s">
        <v>56</v>
      </c>
      <c r="I26" s="17" t="s">
        <v>56</v>
      </c>
      <c r="J26" s="18">
        <f t="shared" si="0"/>
        <v>4.0084998471932236</v>
      </c>
      <c r="K26" s="18">
        <f t="shared" si="1"/>
        <v>88.53533659030046</v>
      </c>
      <c r="L26" s="22"/>
    </row>
    <row r="27" spans="2:12" ht="12.95" customHeight="1" outlineLevel="1" x14ac:dyDescent="0.2">
      <c r="B27" s="95" t="s">
        <v>6</v>
      </c>
      <c r="C27" s="69">
        <f>3171401</f>
        <v>3171401</v>
      </c>
      <c r="D27" s="69">
        <f>2320031</f>
        <v>2320031</v>
      </c>
      <c r="E27" s="19" t="s">
        <v>56</v>
      </c>
      <c r="F27" s="19" t="s">
        <v>56</v>
      </c>
      <c r="G27" s="19" t="s">
        <v>56</v>
      </c>
      <c r="H27" s="19" t="s">
        <v>56</v>
      </c>
      <c r="I27" s="19" t="s">
        <v>56</v>
      </c>
      <c r="J27" s="18">
        <f t="shared" si="0"/>
        <v>2.229812496828471E-3</v>
      </c>
      <c r="K27" s="18">
        <f t="shared" si="1"/>
        <v>73.154766615763819</v>
      </c>
      <c r="L27" s="22"/>
    </row>
    <row r="28" spans="2:12" ht="13.5" customHeight="1" outlineLevel="1" x14ac:dyDescent="0.2">
      <c r="B28" s="93" t="s">
        <v>113</v>
      </c>
      <c r="C28" s="69">
        <f>2692338238.31</f>
        <v>2692338238.3099999</v>
      </c>
      <c r="D28" s="70">
        <f>1938522120.53</f>
        <v>1938522120.53</v>
      </c>
      <c r="E28" s="19" t="s">
        <v>56</v>
      </c>
      <c r="F28" s="19" t="s">
        <v>56</v>
      </c>
      <c r="G28" s="19" t="s">
        <v>56</v>
      </c>
      <c r="H28" s="19" t="s">
        <v>56</v>
      </c>
      <c r="I28" s="19" t="s">
        <v>56</v>
      </c>
      <c r="J28" s="18">
        <f t="shared" si="0"/>
        <v>1.8631392639737234</v>
      </c>
      <c r="K28" s="18">
        <f t="shared" si="1"/>
        <v>72.001433287476701</v>
      </c>
      <c r="L28" s="22"/>
    </row>
    <row r="29" spans="2:12" ht="12.95" customHeight="1" outlineLevel="1" x14ac:dyDescent="0.2">
      <c r="B29" s="95" t="s">
        <v>6</v>
      </c>
      <c r="C29" s="69">
        <f>163643907.21</f>
        <v>163643907.21000001</v>
      </c>
      <c r="D29" s="69">
        <f>51376930.18</f>
        <v>51376930.18</v>
      </c>
      <c r="E29" s="19" t="s">
        <v>56</v>
      </c>
      <c r="F29" s="19" t="s">
        <v>56</v>
      </c>
      <c r="G29" s="19" t="s">
        <v>56</v>
      </c>
      <c r="H29" s="19" t="s">
        <v>56</v>
      </c>
      <c r="I29" s="19" t="s">
        <v>56</v>
      </c>
      <c r="J29" s="18">
        <f t="shared" si="0"/>
        <v>4.9379047505851356E-2</v>
      </c>
      <c r="K29" s="18">
        <f t="shared" si="1"/>
        <v>31.395565564240233</v>
      </c>
      <c r="L29" s="22"/>
    </row>
    <row r="30" spans="2:12" ht="33.75" outlineLevel="1" x14ac:dyDescent="0.2">
      <c r="B30" s="93" t="s">
        <v>8</v>
      </c>
      <c r="C30" s="69">
        <f>24466918.88</f>
        <v>24466918.879999999</v>
      </c>
      <c r="D30" s="70">
        <f>13987997.46</f>
        <v>13987997.460000001</v>
      </c>
      <c r="E30" s="19" t="s">
        <v>56</v>
      </c>
      <c r="F30" s="19" t="s">
        <v>56</v>
      </c>
      <c r="G30" s="19" t="s">
        <v>56</v>
      </c>
      <c r="H30" s="19" t="s">
        <v>56</v>
      </c>
      <c r="I30" s="19" t="s">
        <v>56</v>
      </c>
      <c r="J30" s="18">
        <f t="shared" si="0"/>
        <v>1.3444049472577269E-2</v>
      </c>
      <c r="K30" s="18">
        <f t="shared" si="1"/>
        <v>57.171062399010168</v>
      </c>
      <c r="L30" s="22"/>
    </row>
    <row r="31" spans="2:12" ht="12.95" customHeight="1" outlineLevel="1" x14ac:dyDescent="0.2">
      <c r="B31" s="95" t="s">
        <v>6</v>
      </c>
      <c r="C31" s="69">
        <f>8138459</f>
        <v>8138459</v>
      </c>
      <c r="D31" s="69">
        <f>1256339</f>
        <v>1256339</v>
      </c>
      <c r="E31" s="19" t="s">
        <v>56</v>
      </c>
      <c r="F31" s="19" t="s">
        <v>56</v>
      </c>
      <c r="G31" s="19" t="s">
        <v>56</v>
      </c>
      <c r="H31" s="19" t="s">
        <v>56</v>
      </c>
      <c r="I31" s="19" t="s">
        <v>56</v>
      </c>
      <c r="J31" s="18">
        <f t="shared" si="0"/>
        <v>1.2074840389861103E-3</v>
      </c>
      <c r="K31" s="18">
        <f t="shared" si="1"/>
        <v>15.437062470917406</v>
      </c>
      <c r="L31" s="22"/>
    </row>
    <row r="32" spans="2:12" ht="13.5" customHeight="1" outlineLevel="1" x14ac:dyDescent="0.2">
      <c r="B32" s="92" t="s">
        <v>54</v>
      </c>
      <c r="C32" s="67">
        <f>C33+C35+C37</f>
        <v>2726955693.6700001</v>
      </c>
      <c r="D32" s="67">
        <f>D33+D35+D37</f>
        <v>2177718629.6900001</v>
      </c>
      <c r="E32" s="20" t="s">
        <v>56</v>
      </c>
      <c r="F32" s="20" t="s">
        <v>56</v>
      </c>
      <c r="G32" s="20" t="s">
        <v>56</v>
      </c>
      <c r="H32" s="20" t="s">
        <v>56</v>
      </c>
      <c r="I32" s="20" t="s">
        <v>56</v>
      </c>
      <c r="J32" s="16">
        <f t="shared" si="0"/>
        <v>2.0930341943960817</v>
      </c>
      <c r="K32" s="16">
        <f t="shared" si="1"/>
        <v>79.858966346430662</v>
      </c>
      <c r="L32" s="22"/>
    </row>
    <row r="33" spans="2:12" ht="22.5" outlineLevel="1" x14ac:dyDescent="0.2">
      <c r="B33" s="93" t="s">
        <v>112</v>
      </c>
      <c r="C33" s="69">
        <f>2322354626.14</f>
        <v>2322354626.1399999</v>
      </c>
      <c r="D33" s="69">
        <f>1923536786.35</f>
        <v>1923536786.3499999</v>
      </c>
      <c r="E33" s="19" t="s">
        <v>56</v>
      </c>
      <c r="F33" s="19" t="s">
        <v>56</v>
      </c>
      <c r="G33" s="19" t="s">
        <v>56</v>
      </c>
      <c r="H33" s="19" t="s">
        <v>56</v>
      </c>
      <c r="I33" s="19" t="s">
        <v>56</v>
      </c>
      <c r="J33" s="18">
        <f t="shared" si="0"/>
        <v>1.8487366609810416</v>
      </c>
      <c r="K33" s="18">
        <f t="shared" si="1"/>
        <v>82.827005173930843</v>
      </c>
      <c r="L33" s="22"/>
    </row>
    <row r="34" spans="2:12" ht="12.95" customHeight="1" outlineLevel="1" x14ac:dyDescent="0.2">
      <c r="B34" s="95" t="s">
        <v>6</v>
      </c>
      <c r="C34" s="69">
        <f>92607438.58</f>
        <v>92607438.579999998</v>
      </c>
      <c r="D34" s="70">
        <f>35632006</f>
        <v>35632006</v>
      </c>
      <c r="E34" s="19" t="s">
        <v>56</v>
      </c>
      <c r="F34" s="19" t="s">
        <v>56</v>
      </c>
      <c r="G34" s="19" t="s">
        <v>56</v>
      </c>
      <c r="H34" s="19" t="s">
        <v>56</v>
      </c>
      <c r="I34" s="19" t="s">
        <v>56</v>
      </c>
      <c r="J34" s="18">
        <f t="shared" si="0"/>
        <v>3.4246392511939304E-2</v>
      </c>
      <c r="K34" s="18">
        <f t="shared" si="1"/>
        <v>38.47639730281373</v>
      </c>
      <c r="L34" s="22"/>
    </row>
    <row r="35" spans="2:12" ht="12.95" customHeight="1" outlineLevel="1" x14ac:dyDescent="0.2">
      <c r="B35" s="93" t="s">
        <v>113</v>
      </c>
      <c r="C35" s="69">
        <f>326956966.5</f>
        <v>326956966.5</v>
      </c>
      <c r="D35" s="69">
        <f>187836868.82</f>
        <v>187836868.81999999</v>
      </c>
      <c r="E35" s="19" t="s">
        <v>56</v>
      </c>
      <c r="F35" s="19" t="s">
        <v>56</v>
      </c>
      <c r="G35" s="19" t="s">
        <v>56</v>
      </c>
      <c r="H35" s="19" t="s">
        <v>56</v>
      </c>
      <c r="I35" s="19" t="s">
        <v>56</v>
      </c>
      <c r="J35" s="18">
        <f t="shared" si="0"/>
        <v>0.18053250041054028</v>
      </c>
      <c r="K35" s="18">
        <f t="shared" si="1"/>
        <v>57.450028005443954</v>
      </c>
      <c r="L35" s="22"/>
    </row>
    <row r="36" spans="2:12" ht="12.95" customHeight="1" outlineLevel="1" x14ac:dyDescent="0.2">
      <c r="B36" s="95" t="s">
        <v>6</v>
      </c>
      <c r="C36" s="69">
        <f>24394617.15</f>
        <v>24394617.149999999</v>
      </c>
      <c r="D36" s="70">
        <f>4426070.34</f>
        <v>4426070.34</v>
      </c>
      <c r="E36" s="19" t="s">
        <v>56</v>
      </c>
      <c r="F36" s="19" t="s">
        <v>56</v>
      </c>
      <c r="G36" s="19" t="s">
        <v>56</v>
      </c>
      <c r="H36" s="19" t="s">
        <v>56</v>
      </c>
      <c r="I36" s="19" t="s">
        <v>56</v>
      </c>
      <c r="J36" s="18">
        <f t="shared" si="0"/>
        <v>4.2539547773171307E-3</v>
      </c>
      <c r="K36" s="18">
        <f t="shared" si="1"/>
        <v>18.143635183059228</v>
      </c>
      <c r="L36" s="22"/>
    </row>
    <row r="37" spans="2:12" ht="33.75" outlineLevel="1" x14ac:dyDescent="0.2">
      <c r="B37" s="93" t="s">
        <v>8</v>
      </c>
      <c r="C37" s="69">
        <f>77644101.03</f>
        <v>77644101.030000001</v>
      </c>
      <c r="D37" s="69">
        <f>66344974.52</f>
        <v>66344974.520000003</v>
      </c>
      <c r="E37" s="19" t="s">
        <v>56</v>
      </c>
      <c r="F37" s="19" t="s">
        <v>56</v>
      </c>
      <c r="G37" s="19" t="s">
        <v>56</v>
      </c>
      <c r="H37" s="19" t="s">
        <v>56</v>
      </c>
      <c r="I37" s="19" t="s">
        <v>56</v>
      </c>
      <c r="J37" s="18">
        <f t="shared" si="0"/>
        <v>6.3765033004499719E-2</v>
      </c>
      <c r="K37" s="18">
        <f t="shared" si="1"/>
        <v>85.447540302341494</v>
      </c>
      <c r="L37" s="22"/>
    </row>
    <row r="38" spans="2:12" ht="12.95" customHeight="1" outlineLevel="1" x14ac:dyDescent="0.2">
      <c r="B38" s="95" t="s">
        <v>6</v>
      </c>
      <c r="C38" s="69">
        <f>6187542.38</f>
        <v>6187542.3799999999</v>
      </c>
      <c r="D38" s="70">
        <f>1378951.68</f>
        <v>1378951.68</v>
      </c>
      <c r="E38" s="19" t="s">
        <v>56</v>
      </c>
      <c r="F38" s="19" t="s">
        <v>56</v>
      </c>
      <c r="G38" s="19" t="s">
        <v>56</v>
      </c>
      <c r="H38" s="19" t="s">
        <v>56</v>
      </c>
      <c r="I38" s="19" t="s">
        <v>56</v>
      </c>
      <c r="J38" s="18">
        <f t="shared" si="0"/>
        <v>1.3253287083606275E-3</v>
      </c>
      <c r="K38" s="18">
        <f t="shared" si="1"/>
        <v>22.285935114677955</v>
      </c>
      <c r="L38" s="22"/>
    </row>
    <row r="39" spans="2:12" ht="13.5" customHeight="1" outlineLevel="1" x14ac:dyDescent="0.2">
      <c r="B39" s="91" t="s">
        <v>55</v>
      </c>
      <c r="C39" s="67">
        <f>C40+C42+C44+C48+C50+C46+C52+C54</f>
        <v>5631798615.7799997</v>
      </c>
      <c r="D39" s="67">
        <f>D40+D42+D44+D48+D50+D46+D52+D54</f>
        <v>3541882407.8600001</v>
      </c>
      <c r="E39" s="20" t="s">
        <v>56</v>
      </c>
      <c r="F39" s="20" t="s">
        <v>56</v>
      </c>
      <c r="G39" s="20" t="s">
        <v>56</v>
      </c>
      <c r="H39" s="20" t="s">
        <v>56</v>
      </c>
      <c r="I39" s="20" t="s">
        <v>56</v>
      </c>
      <c r="J39" s="16">
        <f t="shared" si="0"/>
        <v>3.404150054608384</v>
      </c>
      <c r="K39" s="16">
        <f t="shared" si="1"/>
        <v>62.890785866096742</v>
      </c>
      <c r="L39" s="22"/>
    </row>
    <row r="40" spans="2:12" ht="33.75" outlineLevel="1" x14ac:dyDescent="0.2">
      <c r="B40" s="93" t="s">
        <v>117</v>
      </c>
      <c r="C40" s="68">
        <f>0</f>
        <v>0</v>
      </c>
      <c r="D40" s="71">
        <f>0</f>
        <v>0</v>
      </c>
      <c r="E40" s="19" t="s">
        <v>56</v>
      </c>
      <c r="F40" s="19" t="s">
        <v>56</v>
      </c>
      <c r="G40" s="19" t="s">
        <v>56</v>
      </c>
      <c r="H40" s="19" t="s">
        <v>56</v>
      </c>
      <c r="I40" s="19" t="s">
        <v>56</v>
      </c>
      <c r="J40" s="18">
        <f t="shared" si="0"/>
        <v>0</v>
      </c>
      <c r="K40" s="18" t="str">
        <f t="shared" si="1"/>
        <v/>
      </c>
      <c r="L40" s="22"/>
    </row>
    <row r="41" spans="2:12" ht="13.5" customHeight="1" outlineLevel="1" x14ac:dyDescent="0.2">
      <c r="B41" s="95" t="s">
        <v>6</v>
      </c>
      <c r="C41" s="68">
        <f>0</f>
        <v>0</v>
      </c>
      <c r="D41" s="71">
        <f>0</f>
        <v>0</v>
      </c>
      <c r="E41" s="19" t="s">
        <v>56</v>
      </c>
      <c r="F41" s="19" t="s">
        <v>56</v>
      </c>
      <c r="G41" s="19" t="s">
        <v>56</v>
      </c>
      <c r="H41" s="19" t="s">
        <v>56</v>
      </c>
      <c r="I41" s="19" t="s">
        <v>56</v>
      </c>
      <c r="J41" s="18">
        <f t="shared" si="0"/>
        <v>0</v>
      </c>
      <c r="K41" s="18" t="str">
        <f t="shared" si="1"/>
        <v/>
      </c>
      <c r="L41" s="22"/>
    </row>
    <row r="42" spans="2:12" ht="22.5" outlineLevel="1" x14ac:dyDescent="0.2">
      <c r="B42" s="93" t="s">
        <v>118</v>
      </c>
      <c r="C42" s="68">
        <f>0</f>
        <v>0</v>
      </c>
      <c r="D42" s="71">
        <f>202763.2</f>
        <v>202763.2</v>
      </c>
      <c r="E42" s="19" t="s">
        <v>56</v>
      </c>
      <c r="F42" s="19" t="s">
        <v>56</v>
      </c>
      <c r="G42" s="19" t="s">
        <v>56</v>
      </c>
      <c r="H42" s="19" t="s">
        <v>56</v>
      </c>
      <c r="I42" s="19" t="s">
        <v>56</v>
      </c>
      <c r="J42" s="18">
        <f t="shared" si="0"/>
        <v>1.9487839483909078E-4</v>
      </c>
      <c r="K42" s="18" t="str">
        <f t="shared" si="1"/>
        <v/>
      </c>
      <c r="L42" s="22"/>
    </row>
    <row r="43" spans="2:12" ht="13.5" customHeight="1" outlineLevel="1" x14ac:dyDescent="0.2">
      <c r="B43" s="95" t="s">
        <v>6</v>
      </c>
      <c r="C43" s="68">
        <f>0</f>
        <v>0</v>
      </c>
      <c r="D43" s="71">
        <f>0</f>
        <v>0</v>
      </c>
      <c r="E43" s="19" t="s">
        <v>56</v>
      </c>
      <c r="F43" s="19" t="s">
        <v>56</v>
      </c>
      <c r="G43" s="19" t="s">
        <v>56</v>
      </c>
      <c r="H43" s="19" t="s">
        <v>56</v>
      </c>
      <c r="I43" s="19" t="s">
        <v>56</v>
      </c>
      <c r="J43" s="18">
        <f t="shared" si="0"/>
        <v>0</v>
      </c>
      <c r="K43" s="18" t="str">
        <f t="shared" si="1"/>
        <v/>
      </c>
      <c r="L43" s="22"/>
    </row>
    <row r="44" spans="2:12" ht="22.5" outlineLevel="1" x14ac:dyDescent="0.2">
      <c r="B44" s="93" t="s">
        <v>9</v>
      </c>
      <c r="C44" s="68">
        <f>797966311.86</f>
        <v>797966311.86000001</v>
      </c>
      <c r="D44" s="71">
        <f>593662621.35</f>
        <v>593662621.35000002</v>
      </c>
      <c r="E44" s="17" t="s">
        <v>56</v>
      </c>
      <c r="F44" s="17" t="s">
        <v>56</v>
      </c>
      <c r="G44" s="17" t="s">
        <v>56</v>
      </c>
      <c r="H44" s="17" t="s">
        <v>56</v>
      </c>
      <c r="I44" s="17" t="s">
        <v>56</v>
      </c>
      <c r="J44" s="18">
        <f t="shared" si="0"/>
        <v>0.57057700176686377</v>
      </c>
      <c r="K44" s="18">
        <f t="shared" si="1"/>
        <v>74.396952919756302</v>
      </c>
      <c r="L44" s="22"/>
    </row>
    <row r="45" spans="2:12" ht="12.95" customHeight="1" outlineLevel="1" x14ac:dyDescent="0.2">
      <c r="B45" s="95" t="s">
        <v>6</v>
      </c>
      <c r="C45" s="69">
        <f>3051367.96</f>
        <v>3051367.96</v>
      </c>
      <c r="D45" s="69">
        <f>2578259.21</f>
        <v>2578259.21</v>
      </c>
      <c r="E45" s="19" t="s">
        <v>56</v>
      </c>
      <c r="F45" s="19" t="s">
        <v>56</v>
      </c>
      <c r="G45" s="19" t="s">
        <v>56</v>
      </c>
      <c r="H45" s="19" t="s">
        <v>56</v>
      </c>
      <c r="I45" s="19" t="s">
        <v>56</v>
      </c>
      <c r="J45" s="18">
        <f t="shared" si="0"/>
        <v>2.4779990467890737E-3</v>
      </c>
      <c r="K45" s="18">
        <f t="shared" si="1"/>
        <v>84.495191789324551</v>
      </c>
      <c r="L45" s="22"/>
    </row>
    <row r="46" spans="2:12" ht="33.75" outlineLevel="1" x14ac:dyDescent="0.2">
      <c r="B46" s="93" t="s">
        <v>79</v>
      </c>
      <c r="C46" s="69">
        <f>440805644.76</f>
        <v>440805644.75999999</v>
      </c>
      <c r="D46" s="69">
        <f>315303845.58</f>
        <v>315303845.57999998</v>
      </c>
      <c r="E46" s="19" t="s">
        <v>56</v>
      </c>
      <c r="F46" s="19" t="s">
        <v>56</v>
      </c>
      <c r="G46" s="19" t="s">
        <v>56</v>
      </c>
      <c r="H46" s="19" t="s">
        <v>56</v>
      </c>
      <c r="I46" s="19" t="s">
        <v>56</v>
      </c>
      <c r="J46" s="18">
        <f>IF($D$5=0,"",100*$D46/$D$5)</f>
        <v>0.30304269864168132</v>
      </c>
      <c r="K46" s="18">
        <f>IF(C46=0,"",100*D46/C46)</f>
        <v>71.528994541725893</v>
      </c>
      <c r="L46" s="22"/>
    </row>
    <row r="47" spans="2:12" ht="12.95" customHeight="1" outlineLevel="1" x14ac:dyDescent="0.2">
      <c r="B47" s="95" t="s">
        <v>6</v>
      </c>
      <c r="C47" s="69">
        <f>323896260.03</f>
        <v>323896260.02999997</v>
      </c>
      <c r="D47" s="69">
        <f>205051673.03</f>
        <v>205051673.03</v>
      </c>
      <c r="E47" s="19" t="s">
        <v>56</v>
      </c>
      <c r="F47" s="19" t="s">
        <v>56</v>
      </c>
      <c r="G47" s="19" t="s">
        <v>56</v>
      </c>
      <c r="H47" s="19" t="s">
        <v>56</v>
      </c>
      <c r="I47" s="19" t="s">
        <v>56</v>
      </c>
      <c r="J47" s="18">
        <f>IF($D$5=0,"",100*$D47/$D$5)</f>
        <v>0.19707787655332173</v>
      </c>
      <c r="K47" s="18">
        <f>IF(C47=0,"",100*D47/C47)</f>
        <v>63.307823625690418</v>
      </c>
      <c r="L47" s="22"/>
    </row>
    <row r="48" spans="2:12" ht="12.95" customHeight="1" outlineLevel="1" x14ac:dyDescent="0.2">
      <c r="B48" s="93" t="s">
        <v>7</v>
      </c>
      <c r="C48" s="69">
        <f>245423103.92</f>
        <v>245423103.91999999</v>
      </c>
      <c r="D48" s="70">
        <f>47245296.72</f>
        <v>47245296.719999999</v>
      </c>
      <c r="E48" s="19" t="s">
        <v>56</v>
      </c>
      <c r="F48" s="19" t="s">
        <v>56</v>
      </c>
      <c r="G48" s="19" t="s">
        <v>56</v>
      </c>
      <c r="H48" s="19" t="s">
        <v>56</v>
      </c>
      <c r="I48" s="19" t="s">
        <v>56</v>
      </c>
      <c r="J48" s="18">
        <f t="shared" si="0"/>
        <v>4.54080799104086E-2</v>
      </c>
      <c r="K48" s="18">
        <f t="shared" si="1"/>
        <v>19.250549750768553</v>
      </c>
      <c r="L48" s="22"/>
    </row>
    <row r="49" spans="2:12" ht="12.95" customHeight="1" outlineLevel="1" x14ac:dyDescent="0.2">
      <c r="B49" s="95" t="s">
        <v>6</v>
      </c>
      <c r="C49" s="69">
        <f>221577819.97</f>
        <v>221577819.97</v>
      </c>
      <c r="D49" s="69">
        <f>28501316.56</f>
        <v>28501316.559999999</v>
      </c>
      <c r="E49" s="19" t="s">
        <v>56</v>
      </c>
      <c r="F49" s="19" t="s">
        <v>56</v>
      </c>
      <c r="G49" s="19" t="s">
        <v>56</v>
      </c>
      <c r="H49" s="19" t="s">
        <v>56</v>
      </c>
      <c r="I49" s="19" t="s">
        <v>56</v>
      </c>
      <c r="J49" s="18">
        <f t="shared" si="0"/>
        <v>2.7392992525337917E-2</v>
      </c>
      <c r="K49" s="18">
        <f t="shared" si="1"/>
        <v>12.862892397740382</v>
      </c>
      <c r="L49" s="22"/>
    </row>
    <row r="50" spans="2:12" ht="67.5" outlineLevel="1" x14ac:dyDescent="0.2">
      <c r="B50" s="93" t="s">
        <v>100</v>
      </c>
      <c r="C50" s="69">
        <f>3641542</f>
        <v>3641542</v>
      </c>
      <c r="D50" s="69">
        <f>379901.2</f>
        <v>379901.2</v>
      </c>
      <c r="E50" s="19" t="s">
        <v>56</v>
      </c>
      <c r="F50" s="19" t="s">
        <v>56</v>
      </c>
      <c r="G50" s="19" t="s">
        <v>56</v>
      </c>
      <c r="H50" s="19" t="s">
        <v>56</v>
      </c>
      <c r="I50" s="19" t="s">
        <v>56</v>
      </c>
      <c r="J50" s="18">
        <f t="shared" si="0"/>
        <v>3.6512807084048977E-4</v>
      </c>
      <c r="K50" s="18">
        <f>IF(C50=0,"",100*D50/C50)</f>
        <v>10.432426702753943</v>
      </c>
      <c r="L50" s="22"/>
    </row>
    <row r="51" spans="2:12" ht="12.95" customHeight="1" outlineLevel="1" x14ac:dyDescent="0.2">
      <c r="B51" s="95" t="s">
        <v>99</v>
      </c>
      <c r="C51" s="69">
        <f>2044000</f>
        <v>2044000</v>
      </c>
      <c r="D51" s="69">
        <f>220901.2</f>
        <v>220901.2</v>
      </c>
      <c r="E51" s="19" t="s">
        <v>56</v>
      </c>
      <c r="F51" s="19" t="s">
        <v>56</v>
      </c>
      <c r="G51" s="19" t="s">
        <v>56</v>
      </c>
      <c r="H51" s="19" t="s">
        <v>56</v>
      </c>
      <c r="I51" s="19" t="s">
        <v>56</v>
      </c>
      <c r="J51" s="18">
        <f t="shared" si="0"/>
        <v>2.1231106667299077E-4</v>
      </c>
      <c r="K51" s="18">
        <f>IF(C51=0,"",100*D51/C51)</f>
        <v>10.807299412915851</v>
      </c>
      <c r="L51" s="22"/>
    </row>
    <row r="52" spans="2:12" ht="45" outlineLevel="1" x14ac:dyDescent="0.2">
      <c r="B52" s="94" t="s">
        <v>98</v>
      </c>
      <c r="C52" s="72">
        <f>2604952010.31</f>
        <v>2604952010.3099999</v>
      </c>
      <c r="D52" s="72">
        <f>1075620074.33</f>
        <v>1075620074.3299999</v>
      </c>
      <c r="E52" s="24" t="s">
        <v>56</v>
      </c>
      <c r="F52" s="24" t="s">
        <v>56</v>
      </c>
      <c r="G52" s="24" t="s">
        <v>56</v>
      </c>
      <c r="H52" s="24" t="s">
        <v>56</v>
      </c>
      <c r="I52" s="24" t="s">
        <v>56</v>
      </c>
      <c r="J52" s="25">
        <f>IF($D$5=0,"",100*$D52/$D$5)</f>
        <v>1.0337926879341712</v>
      </c>
      <c r="K52" s="25">
        <f>IF(C52=0,"",100*D52/C52)</f>
        <v>41.291358538386156</v>
      </c>
      <c r="L52" s="22"/>
    </row>
    <row r="53" spans="2:12" ht="12.95" customHeight="1" outlineLevel="1" x14ac:dyDescent="0.2">
      <c r="B53" s="95" t="s">
        <v>99</v>
      </c>
      <c r="C53" s="69">
        <f>2559411768.11</f>
        <v>2559411768.1100001</v>
      </c>
      <c r="D53" s="69">
        <f>1037194264.8</f>
        <v>1037194264.8</v>
      </c>
      <c r="E53" s="19" t="s">
        <v>56</v>
      </c>
      <c r="F53" s="19" t="s">
        <v>56</v>
      </c>
      <c r="G53" s="19" t="s">
        <v>56</v>
      </c>
      <c r="H53" s="19" t="s">
        <v>56</v>
      </c>
      <c r="I53" s="19" t="s">
        <v>56</v>
      </c>
      <c r="J53" s="18">
        <f t="shared" si="0"/>
        <v>0.99686113387702946</v>
      </c>
      <c r="K53" s="18">
        <f t="shared" ref="K53:K69" si="4">IF(C53=0,"",100*D53/C53)</f>
        <v>40.524712659499762</v>
      </c>
      <c r="L53" s="22"/>
    </row>
    <row r="54" spans="2:12" ht="22.5" outlineLevel="1" x14ac:dyDescent="0.2">
      <c r="B54" s="94" t="s">
        <v>114</v>
      </c>
      <c r="C54" s="69">
        <f>1539010002.93</f>
        <v>1539010002.9300001</v>
      </c>
      <c r="D54" s="69">
        <f>1509467905.48</f>
        <v>1509467905.48</v>
      </c>
      <c r="E54" s="19" t="s">
        <v>56</v>
      </c>
      <c r="F54" s="19" t="s">
        <v>56</v>
      </c>
      <c r="G54" s="19" t="s">
        <v>56</v>
      </c>
      <c r="H54" s="19" t="s">
        <v>56</v>
      </c>
      <c r="I54" s="19" t="s">
        <v>56</v>
      </c>
      <c r="J54" s="18">
        <f t="shared" si="0"/>
        <v>1.4507695798895797</v>
      </c>
      <c r="K54" s="18">
        <f t="shared" si="4"/>
        <v>98.080447989697461</v>
      </c>
      <c r="L54" s="22"/>
    </row>
    <row r="55" spans="2:12" ht="12.95" customHeight="1" outlineLevel="1" x14ac:dyDescent="0.2">
      <c r="B55" s="95" t="s">
        <v>6</v>
      </c>
      <c r="C55" s="69">
        <f>862000</f>
        <v>862000</v>
      </c>
      <c r="D55" s="69">
        <f>2388401.03</f>
        <v>2388401.0299999998</v>
      </c>
      <c r="E55" s="19" t="s">
        <v>56</v>
      </c>
      <c r="F55" s="19" t="s">
        <v>56</v>
      </c>
      <c r="G55" s="19" t="s">
        <v>56</v>
      </c>
      <c r="H55" s="19" t="s">
        <v>56</v>
      </c>
      <c r="I55" s="19" t="s">
        <v>56</v>
      </c>
      <c r="J55" s="18">
        <f t="shared" si="0"/>
        <v>2.2955238374538925E-3</v>
      </c>
      <c r="K55" s="18">
        <f t="shared" si="4"/>
        <v>277.07668561484917</v>
      </c>
      <c r="L55" s="22"/>
    </row>
    <row r="56" spans="2:12" ht="13.5" customHeight="1" outlineLevel="1" x14ac:dyDescent="0.2">
      <c r="B56" s="90" t="s">
        <v>85</v>
      </c>
      <c r="C56" s="67">
        <f>95728779.69</f>
        <v>95728779.689999998</v>
      </c>
      <c r="D56" s="67">
        <f>61373883.97</f>
        <v>61373883.969999999</v>
      </c>
      <c r="E56" s="20" t="s">
        <v>56</v>
      </c>
      <c r="F56" s="20" t="s">
        <v>56</v>
      </c>
      <c r="G56" s="20" t="s">
        <v>56</v>
      </c>
      <c r="H56" s="20" t="s">
        <v>56</v>
      </c>
      <c r="I56" s="20" t="s">
        <v>56</v>
      </c>
      <c r="J56" s="16">
        <f t="shared" si="0"/>
        <v>5.8987252090686108E-2</v>
      </c>
      <c r="K56" s="16">
        <f t="shared" si="4"/>
        <v>64.112259833195409</v>
      </c>
      <c r="L56" s="22"/>
    </row>
    <row r="57" spans="2:12" ht="12.95" customHeight="1" outlineLevel="1" x14ac:dyDescent="0.2">
      <c r="B57" s="93" t="s">
        <v>86</v>
      </c>
      <c r="C57" s="69">
        <f>54054474.09</f>
        <v>54054474.090000004</v>
      </c>
      <c r="D57" s="69">
        <f>30852461.27</f>
        <v>30852461.27</v>
      </c>
      <c r="E57" s="19" t="s">
        <v>56</v>
      </c>
      <c r="F57" s="19" t="s">
        <v>56</v>
      </c>
      <c r="G57" s="19" t="s">
        <v>56</v>
      </c>
      <c r="H57" s="19" t="s">
        <v>56</v>
      </c>
      <c r="I57" s="19" t="s">
        <v>56</v>
      </c>
      <c r="J57" s="18">
        <f t="shared" si="0"/>
        <v>2.965270882059869E-2</v>
      </c>
      <c r="K57" s="18">
        <f t="shared" si="4"/>
        <v>57.076609826285697</v>
      </c>
      <c r="L57" s="22"/>
    </row>
    <row r="58" spans="2:12" ht="13.5" customHeight="1" outlineLevel="1" x14ac:dyDescent="0.2">
      <c r="B58" s="90" t="s">
        <v>87</v>
      </c>
      <c r="C58" s="73">
        <f>2892051663.9</f>
        <v>2892051663.9000001</v>
      </c>
      <c r="D58" s="73">
        <f>2105447439.86</f>
        <v>2105447439.8599999</v>
      </c>
      <c r="E58" s="20" t="s">
        <v>56</v>
      </c>
      <c r="F58" s="20" t="s">
        <v>56</v>
      </c>
      <c r="G58" s="20" t="s">
        <v>56</v>
      </c>
      <c r="H58" s="20" t="s">
        <v>56</v>
      </c>
      <c r="I58" s="20" t="s">
        <v>56</v>
      </c>
      <c r="J58" s="23">
        <f t="shared" si="0"/>
        <v>2.0235733974310426</v>
      </c>
      <c r="K58" s="23">
        <f t="shared" si="4"/>
        <v>72.801169707347285</v>
      </c>
      <c r="L58" s="22"/>
    </row>
    <row r="59" spans="2:12" ht="12.95" customHeight="1" outlineLevel="1" x14ac:dyDescent="0.2">
      <c r="B59" s="94" t="s">
        <v>88</v>
      </c>
      <c r="C59" s="72">
        <f>2454756742.52</f>
        <v>2454756742.52</v>
      </c>
      <c r="D59" s="72">
        <f>1891718783.28</f>
        <v>1891718783.28</v>
      </c>
      <c r="E59" s="24" t="s">
        <v>56</v>
      </c>
      <c r="F59" s="24" t="s">
        <v>56</v>
      </c>
      <c r="G59" s="24" t="s">
        <v>56</v>
      </c>
      <c r="H59" s="24" t="s">
        <v>56</v>
      </c>
      <c r="I59" s="24" t="s">
        <v>56</v>
      </c>
      <c r="J59" s="25">
        <f t="shared" si="0"/>
        <v>1.8181559571587165</v>
      </c>
      <c r="K59" s="25">
        <f t="shared" si="4"/>
        <v>77.063390865279899</v>
      </c>
      <c r="L59" s="22"/>
    </row>
    <row r="60" spans="2:12" s="26" customFormat="1" ht="25.5" customHeight="1" x14ac:dyDescent="0.2">
      <c r="B60" s="88" t="s">
        <v>63</v>
      </c>
      <c r="C60" s="67">
        <f>C61+C62+C63+C64+C68</f>
        <v>34531397298.089996</v>
      </c>
      <c r="D60" s="67">
        <f>D61+D62+D63+D64+D68</f>
        <v>28913229624</v>
      </c>
      <c r="E60" s="20" t="s">
        <v>56</v>
      </c>
      <c r="F60" s="20" t="s">
        <v>56</v>
      </c>
      <c r="G60" s="20" t="s">
        <v>56</v>
      </c>
      <c r="H60" s="20" t="s">
        <v>56</v>
      </c>
      <c r="I60" s="20" t="s">
        <v>56</v>
      </c>
      <c r="J60" s="16">
        <f t="shared" si="0"/>
        <v>27.788887622306063</v>
      </c>
      <c r="K60" s="16">
        <f t="shared" si="4"/>
        <v>83.730262561947498</v>
      </c>
      <c r="L60" s="27"/>
    </row>
    <row r="61" spans="2:12" ht="12.95" customHeight="1" outlineLevel="1" x14ac:dyDescent="0.2">
      <c r="B61" s="10" t="s">
        <v>39</v>
      </c>
      <c r="C61" s="69">
        <f>31221419446</f>
        <v>31221419446</v>
      </c>
      <c r="D61" s="69">
        <f>26422308143</f>
        <v>26422308143</v>
      </c>
      <c r="E61" s="19" t="s">
        <v>56</v>
      </c>
      <c r="F61" s="19" t="s">
        <v>56</v>
      </c>
      <c r="G61" s="19" t="s">
        <v>56</v>
      </c>
      <c r="H61" s="19" t="s">
        <v>56</v>
      </c>
      <c r="I61" s="19" t="s">
        <v>56</v>
      </c>
      <c r="J61" s="18">
        <f t="shared" si="0"/>
        <v>25.394830022665246</v>
      </c>
      <c r="K61" s="18">
        <f t="shared" si="4"/>
        <v>84.628785660112428</v>
      </c>
      <c r="L61" s="22"/>
    </row>
    <row r="62" spans="2:12" ht="12.95" customHeight="1" outlineLevel="1" x14ac:dyDescent="0.2">
      <c r="B62" s="10" t="s">
        <v>125</v>
      </c>
      <c r="C62" s="69">
        <f>1086282721.81</f>
        <v>1086282721.8099999</v>
      </c>
      <c r="D62" s="69">
        <f>848671974</f>
        <v>848671974</v>
      </c>
      <c r="E62" s="19" t="s">
        <v>56</v>
      </c>
      <c r="F62" s="19" t="s">
        <v>56</v>
      </c>
      <c r="G62" s="19" t="s">
        <v>56</v>
      </c>
      <c r="H62" s="19" t="s">
        <v>56</v>
      </c>
      <c r="I62" s="19" t="s">
        <v>56</v>
      </c>
      <c r="J62" s="18">
        <f t="shared" si="0"/>
        <v>0.81566986533080266</v>
      </c>
      <c r="K62" s="18">
        <f>IF(C62=0,"",100*D62/C62)</f>
        <v>78.126251753863386</v>
      </c>
      <c r="L62" s="22"/>
    </row>
    <row r="63" spans="2:12" s="26" customFormat="1" ht="12.95" customHeight="1" outlineLevel="1" x14ac:dyDescent="0.2">
      <c r="B63" s="10" t="s">
        <v>35</v>
      </c>
      <c r="C63" s="69">
        <f>160222998.28</f>
        <v>160222998.28</v>
      </c>
      <c r="D63" s="69">
        <f>97040668</f>
        <v>97040668</v>
      </c>
      <c r="E63" s="19" t="s">
        <v>56</v>
      </c>
      <c r="F63" s="19" t="s">
        <v>56</v>
      </c>
      <c r="G63" s="19" t="s">
        <v>56</v>
      </c>
      <c r="H63" s="19" t="s">
        <v>56</v>
      </c>
      <c r="I63" s="19" t="s">
        <v>56</v>
      </c>
      <c r="J63" s="18">
        <f t="shared" si="0"/>
        <v>9.3267070227502441E-2</v>
      </c>
      <c r="K63" s="18">
        <f>IF(C63=0,"",100*D63/C63)</f>
        <v>60.566004282615651</v>
      </c>
      <c r="L63" s="27"/>
    </row>
    <row r="64" spans="2:12" s="26" customFormat="1" ht="25.5" customHeight="1" outlineLevel="1" x14ac:dyDescent="0.2">
      <c r="B64" s="90" t="s">
        <v>107</v>
      </c>
      <c r="C64" s="67">
        <f>C65+C66+C67</f>
        <v>495532317</v>
      </c>
      <c r="D64" s="67">
        <f>D65+D66+D67</f>
        <v>369253926</v>
      </c>
      <c r="E64" s="20" t="s">
        <v>56</v>
      </c>
      <c r="F64" s="20" t="s">
        <v>56</v>
      </c>
      <c r="G64" s="20" t="s">
        <v>56</v>
      </c>
      <c r="H64" s="20" t="s">
        <v>56</v>
      </c>
      <c r="I64" s="20" t="s">
        <v>56</v>
      </c>
      <c r="J64" s="16">
        <f t="shared" si="0"/>
        <v>0.35489483489564383</v>
      </c>
      <c r="K64" s="16">
        <f t="shared" si="4"/>
        <v>74.516618459013642</v>
      </c>
      <c r="L64" s="27"/>
    </row>
    <row r="65" spans="1:26" ht="12.95" customHeight="1" outlineLevel="1" x14ac:dyDescent="0.2">
      <c r="B65" s="93" t="s">
        <v>40</v>
      </c>
      <c r="C65" s="68">
        <f>381048734</f>
        <v>381048734</v>
      </c>
      <c r="D65" s="71">
        <f>285786549</f>
        <v>285786549</v>
      </c>
      <c r="E65" s="17" t="s">
        <v>56</v>
      </c>
      <c r="F65" s="17" t="s">
        <v>56</v>
      </c>
      <c r="G65" s="17" t="s">
        <v>56</v>
      </c>
      <c r="H65" s="17" t="s">
        <v>56</v>
      </c>
      <c r="I65" s="17" t="s">
        <v>56</v>
      </c>
      <c r="J65" s="18">
        <f t="shared" si="0"/>
        <v>0.27467323427388779</v>
      </c>
      <c r="K65" s="18">
        <f t="shared" si="4"/>
        <v>74.999999606349562</v>
      </c>
      <c r="L65" s="22"/>
    </row>
    <row r="66" spans="1:26" ht="12.95" customHeight="1" outlineLevel="1" x14ac:dyDescent="0.2">
      <c r="B66" s="93" t="s">
        <v>38</v>
      </c>
      <c r="C66" s="69">
        <f>3193822</f>
        <v>3193822</v>
      </c>
      <c r="D66" s="69">
        <f>0</f>
        <v>0</v>
      </c>
      <c r="E66" s="19" t="s">
        <v>56</v>
      </c>
      <c r="F66" s="19" t="s">
        <v>56</v>
      </c>
      <c r="G66" s="19" t="s">
        <v>56</v>
      </c>
      <c r="H66" s="19" t="s">
        <v>56</v>
      </c>
      <c r="I66" s="19" t="s">
        <v>56</v>
      </c>
      <c r="J66" s="18">
        <f t="shared" si="0"/>
        <v>0</v>
      </c>
      <c r="K66" s="18">
        <f t="shared" si="4"/>
        <v>0</v>
      </c>
      <c r="L66" s="22"/>
    </row>
    <row r="67" spans="1:26" ht="12.95" customHeight="1" outlineLevel="1" x14ac:dyDescent="0.2">
      <c r="B67" s="93" t="s">
        <v>37</v>
      </c>
      <c r="C67" s="69">
        <f>111289761</f>
        <v>111289761</v>
      </c>
      <c r="D67" s="69">
        <f>83467377</f>
        <v>83467377</v>
      </c>
      <c r="E67" s="19" t="s">
        <v>56</v>
      </c>
      <c r="F67" s="19" t="s">
        <v>56</v>
      </c>
      <c r="G67" s="19" t="s">
        <v>56</v>
      </c>
      <c r="H67" s="19" t="s">
        <v>56</v>
      </c>
      <c r="I67" s="19" t="s">
        <v>56</v>
      </c>
      <c r="J67" s="18">
        <f t="shared" si="0"/>
        <v>8.022160062175604E-2</v>
      </c>
      <c r="K67" s="18">
        <f>IF(C67=0,"",100*D67/C67)</f>
        <v>75.000050543733309</v>
      </c>
      <c r="L67" s="22"/>
    </row>
    <row r="68" spans="1:26" s="26" customFormat="1" ht="40.5" customHeight="1" outlineLevel="1" x14ac:dyDescent="0.2">
      <c r="B68" s="90" t="s">
        <v>108</v>
      </c>
      <c r="C68" s="67">
        <f>C69+C70</f>
        <v>1567939815</v>
      </c>
      <c r="D68" s="67">
        <f>D69+D70</f>
        <v>1175954913</v>
      </c>
      <c r="E68" s="20" t="s">
        <v>56</v>
      </c>
      <c r="F68" s="20" t="s">
        <v>56</v>
      </c>
      <c r="G68" s="20" t="s">
        <v>56</v>
      </c>
      <c r="H68" s="20" t="s">
        <v>56</v>
      </c>
      <c r="I68" s="20" t="s">
        <v>56</v>
      </c>
      <c r="J68" s="16">
        <f t="shared" si="0"/>
        <v>1.1302258291868676</v>
      </c>
      <c r="K68" s="16">
        <f t="shared" si="4"/>
        <v>75.000003300509334</v>
      </c>
      <c r="L68" s="27"/>
    </row>
    <row r="69" spans="1:26" ht="12.95" customHeight="1" outlineLevel="1" x14ac:dyDescent="0.2">
      <c r="B69" s="93" t="s">
        <v>37</v>
      </c>
      <c r="C69" s="68">
        <f>1380938821</f>
        <v>1380938821</v>
      </c>
      <c r="D69" s="71">
        <f>1035704160</f>
        <v>1035704160</v>
      </c>
      <c r="E69" s="17" t="s">
        <v>56</v>
      </c>
      <c r="F69" s="17" t="s">
        <v>56</v>
      </c>
      <c r="G69" s="17" t="s">
        <v>56</v>
      </c>
      <c r="H69" s="17" t="s">
        <v>56</v>
      </c>
      <c r="I69" s="17" t="s">
        <v>56</v>
      </c>
      <c r="J69" s="18">
        <f t="shared" si="0"/>
        <v>0.99542897443406331</v>
      </c>
      <c r="K69" s="18">
        <f t="shared" si="4"/>
        <v>75.000003204341809</v>
      </c>
      <c r="L69" s="22"/>
    </row>
    <row r="70" spans="1:26" ht="12.95" customHeight="1" outlineLevel="1" x14ac:dyDescent="0.2">
      <c r="B70" s="93" t="s">
        <v>40</v>
      </c>
      <c r="C70" s="68">
        <f>187000994</f>
        <v>187000994</v>
      </c>
      <c r="D70" s="71">
        <f>140250753</f>
        <v>140250753</v>
      </c>
      <c r="E70" s="17" t="s">
        <v>56</v>
      </c>
      <c r="F70" s="17" t="s">
        <v>56</v>
      </c>
      <c r="G70" s="17" t="s">
        <v>56</v>
      </c>
      <c r="H70" s="17" t="s">
        <v>56</v>
      </c>
      <c r="I70" s="17" t="s">
        <v>56</v>
      </c>
      <c r="J70" s="18">
        <f t="shared" si="0"/>
        <v>0.13479685475280426</v>
      </c>
      <c r="K70" s="18">
        <f>IF(C70=0,"",100*D70/C70)</f>
        <v>75.000004010673862</v>
      </c>
      <c r="L70" s="22"/>
    </row>
    <row r="71" spans="1:26" ht="11.25" customHeight="1" x14ac:dyDescent="0.2">
      <c r="B71" s="28"/>
      <c r="C71" s="29"/>
      <c r="D71" s="29"/>
      <c r="E71" s="29"/>
      <c r="F71" s="29"/>
      <c r="G71" s="29"/>
      <c r="H71" s="29"/>
      <c r="I71" s="29"/>
      <c r="J71" s="21"/>
      <c r="K71" s="21"/>
      <c r="L71" s="22"/>
    </row>
    <row r="72" spans="1:26" ht="13.5" customHeight="1" x14ac:dyDescent="0.2">
      <c r="B72" s="65" t="s">
        <v>5</v>
      </c>
      <c r="C72" s="20">
        <f t="shared" ref="C72:I72" si="5">+C5</f>
        <v>133785440832.63</v>
      </c>
      <c r="D72" s="20">
        <f t="shared" si="5"/>
        <v>104046012985.39</v>
      </c>
      <c r="E72" s="20">
        <f t="shared" si="5"/>
        <v>730835160.89999998</v>
      </c>
      <c r="F72" s="20">
        <f t="shared" si="5"/>
        <v>184985507.36000001</v>
      </c>
      <c r="G72" s="20">
        <f t="shared" si="5"/>
        <v>17188250.300000001</v>
      </c>
      <c r="H72" s="20">
        <f t="shared" si="5"/>
        <v>71859240.959999993</v>
      </c>
      <c r="I72" s="20">
        <f t="shared" si="5"/>
        <v>2986052.27</v>
      </c>
      <c r="J72" s="16">
        <f t="shared" si="0"/>
        <v>100</v>
      </c>
      <c r="K72" s="16">
        <f>IF(C72=0,"",100*D72/C72)</f>
        <v>77.770804011144222</v>
      </c>
      <c r="L72" s="22"/>
    </row>
    <row r="73" spans="1:26" x14ac:dyDescent="0.2">
      <c r="B73" s="100" t="s">
        <v>74</v>
      </c>
      <c r="C73" s="19">
        <f>10297836000.83</f>
        <v>10297836000.83</v>
      </c>
      <c r="D73" s="19">
        <f>6094765220.69</f>
        <v>6094765220.6899996</v>
      </c>
      <c r="E73" s="19">
        <f>0</f>
        <v>0</v>
      </c>
      <c r="F73" s="19">
        <f>0</f>
        <v>0</v>
      </c>
      <c r="G73" s="19">
        <f>0</f>
        <v>0</v>
      </c>
      <c r="H73" s="19">
        <f>0</f>
        <v>0</v>
      </c>
      <c r="I73" s="19">
        <f>0</f>
        <v>0</v>
      </c>
      <c r="J73" s="18">
        <f t="shared" si="0"/>
        <v>5.8577595102522757</v>
      </c>
      <c r="K73" s="18">
        <f>IF(C73=0,"",100*D73/C73)</f>
        <v>59.184912443728614</v>
      </c>
      <c r="L73" s="22"/>
    </row>
    <row r="74" spans="1:26" s="26" customFormat="1" x14ac:dyDescent="0.2">
      <c r="A74" s="9"/>
      <c r="B74" s="100" t="s">
        <v>75</v>
      </c>
      <c r="C74" s="19">
        <f>C72-C73</f>
        <v>123487604831.8</v>
      </c>
      <c r="D74" s="19">
        <f t="shared" ref="D74:I74" si="6">D72-D73</f>
        <v>97951247764.699997</v>
      </c>
      <c r="E74" s="19">
        <f t="shared" si="6"/>
        <v>730835160.89999998</v>
      </c>
      <c r="F74" s="19">
        <f t="shared" si="6"/>
        <v>184985507.36000001</v>
      </c>
      <c r="G74" s="19">
        <f t="shared" si="6"/>
        <v>17188250.300000001</v>
      </c>
      <c r="H74" s="19">
        <f t="shared" si="6"/>
        <v>71859240.959999993</v>
      </c>
      <c r="I74" s="19">
        <f t="shared" si="6"/>
        <v>2986052.27</v>
      </c>
      <c r="J74" s="18">
        <f t="shared" si="0"/>
        <v>94.142240489747721</v>
      </c>
      <c r="K74" s="18">
        <f>IF(C74=0,"",100*D74/C74)</f>
        <v>79.320712308022678</v>
      </c>
      <c r="L74" s="30"/>
    </row>
    <row r="75" spans="1:26" s="26" customFormat="1" x14ac:dyDescent="0.2">
      <c r="A75" s="9"/>
      <c r="B75" s="106" t="s">
        <v>116</v>
      </c>
      <c r="C75" s="29"/>
      <c r="D75" s="29"/>
      <c r="E75" s="29"/>
      <c r="F75" s="29"/>
      <c r="G75" s="29"/>
      <c r="H75" s="29"/>
      <c r="I75" s="29"/>
      <c r="J75" s="21"/>
      <c r="K75" s="21"/>
      <c r="L75" s="30"/>
    </row>
    <row r="76" spans="1:26" s="26" customFormat="1" x14ac:dyDescent="0.2">
      <c r="A76" s="9"/>
      <c r="B76" s="105" t="s">
        <v>115</v>
      </c>
      <c r="C76" s="29"/>
      <c r="D76" s="29"/>
      <c r="E76" s="29"/>
      <c r="F76" s="29"/>
      <c r="G76" s="29"/>
      <c r="H76" s="29"/>
      <c r="I76" s="29"/>
      <c r="J76" s="21"/>
      <c r="K76" s="21"/>
      <c r="L76" s="30"/>
    </row>
    <row r="77" spans="1:26" ht="18" x14ac:dyDescent="0.2">
      <c r="B77" s="87" t="str">
        <f>CONCATENATE("Informacja z wykonania budżetów miast na prawach powiatu za ",$D$138," ",$C$139," rok    ",$C$141,"")</f>
        <v xml:space="preserve">Informacja z wykonania budżetów miast na prawach powiatu za III Kwartały 2024 rok    </v>
      </c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</row>
    <row r="78" spans="1:26" s="26" customFormat="1" x14ac:dyDescent="0.2">
      <c r="B78" s="31"/>
      <c r="C78" s="32"/>
      <c r="D78" s="32"/>
      <c r="E78" s="32"/>
      <c r="F78" s="33"/>
      <c r="G78" s="33"/>
      <c r="H78" s="33"/>
      <c r="I78" s="33"/>
      <c r="J78" s="33"/>
      <c r="K78" s="1"/>
      <c r="L78" s="1"/>
      <c r="M78" s="34"/>
    </row>
    <row r="79" spans="1:26" ht="29.25" customHeight="1" x14ac:dyDescent="0.2">
      <c r="B79" s="113" t="s">
        <v>0</v>
      </c>
      <c r="C79" s="110" t="s">
        <v>46</v>
      </c>
      <c r="D79" s="110" t="s">
        <v>48</v>
      </c>
      <c r="E79" s="110" t="s">
        <v>47</v>
      </c>
      <c r="F79" s="110" t="s">
        <v>10</v>
      </c>
      <c r="G79" s="110"/>
      <c r="H79" s="110"/>
      <c r="I79" s="116" t="s">
        <v>84</v>
      </c>
      <c r="J79" s="110" t="s">
        <v>2</v>
      </c>
      <c r="K79" s="114" t="s">
        <v>16</v>
      </c>
      <c r="M79" s="35"/>
      <c r="N79" s="52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18" customHeight="1" x14ac:dyDescent="0.2">
      <c r="B80" s="113"/>
      <c r="C80" s="110"/>
      <c r="D80" s="110"/>
      <c r="E80" s="111"/>
      <c r="F80" s="115" t="s">
        <v>49</v>
      </c>
      <c r="G80" s="130" t="s">
        <v>27</v>
      </c>
      <c r="H80" s="111"/>
      <c r="I80" s="117"/>
      <c r="J80" s="110"/>
      <c r="K80" s="114"/>
      <c r="L80" s="2"/>
      <c r="M80" s="3"/>
      <c r="N80" s="52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2:26" ht="58.5" customHeight="1" x14ac:dyDescent="0.2">
      <c r="B81" s="113"/>
      <c r="C81" s="110"/>
      <c r="D81" s="110"/>
      <c r="E81" s="111"/>
      <c r="F81" s="111"/>
      <c r="G81" s="7" t="s">
        <v>44</v>
      </c>
      <c r="H81" s="7" t="s">
        <v>45</v>
      </c>
      <c r="I81" s="118"/>
      <c r="J81" s="110"/>
      <c r="K81" s="114"/>
      <c r="L81" s="2"/>
      <c r="M81" s="35"/>
      <c r="N81" s="52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2:26" ht="13.5" customHeight="1" x14ac:dyDescent="0.2">
      <c r="B82" s="113"/>
      <c r="C82" s="119" t="s">
        <v>78</v>
      </c>
      <c r="D82" s="120"/>
      <c r="E82" s="120"/>
      <c r="F82" s="120"/>
      <c r="G82" s="120"/>
      <c r="H82" s="120"/>
      <c r="I82" s="121"/>
      <c r="J82" s="127" t="s">
        <v>4</v>
      </c>
      <c r="K82" s="127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2:26" ht="11.25" customHeight="1" x14ac:dyDescent="0.2">
      <c r="B83" s="6">
        <v>1</v>
      </c>
      <c r="C83" s="8">
        <v>2</v>
      </c>
      <c r="D83" s="8">
        <v>3</v>
      </c>
      <c r="E83" s="8">
        <v>4</v>
      </c>
      <c r="F83" s="6">
        <v>5</v>
      </c>
      <c r="G83" s="6">
        <v>6</v>
      </c>
      <c r="H83" s="8">
        <v>7</v>
      </c>
      <c r="I83" s="8">
        <v>8</v>
      </c>
      <c r="J83" s="6">
        <v>9</v>
      </c>
      <c r="K83" s="8">
        <v>10</v>
      </c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2:26" ht="25.5" customHeight="1" x14ac:dyDescent="0.2">
      <c r="B84" s="65" t="s">
        <v>64</v>
      </c>
      <c r="C84" s="74">
        <f>146221898510.82</f>
        <v>146221898510.82001</v>
      </c>
      <c r="D84" s="74">
        <f>98523327079.68</f>
        <v>98523327079.679993</v>
      </c>
      <c r="E84" s="74">
        <f>129000737901.75</f>
        <v>129000737901.75</v>
      </c>
      <c r="F84" s="74">
        <f>4370282477.39</f>
        <v>4370282477.3900003</v>
      </c>
      <c r="G84" s="74">
        <f>6501895.24</f>
        <v>6501895.2400000002</v>
      </c>
      <c r="H84" s="74">
        <f>18474371.98</f>
        <v>18474371.98</v>
      </c>
      <c r="I84" s="74">
        <f>0</f>
        <v>0</v>
      </c>
      <c r="J84" s="43">
        <f>IF($D$84=0,"",100*$D84/$D$84)</f>
        <v>100.00000000000001</v>
      </c>
      <c r="K84" s="43">
        <f>IF(C84=0,"",100*D84/C84)</f>
        <v>67.379324220981545</v>
      </c>
      <c r="N84" s="53"/>
      <c r="O84" s="54"/>
    </row>
    <row r="85" spans="2:26" x14ac:dyDescent="0.2">
      <c r="B85" s="88" t="s">
        <v>12</v>
      </c>
      <c r="C85" s="75">
        <f>22189777800.89</f>
        <v>22189777800.889999</v>
      </c>
      <c r="D85" s="75">
        <f>9214044106.41001</f>
        <v>9214044106.4100094</v>
      </c>
      <c r="E85" s="75">
        <f>16356232947.6</f>
        <v>16356232947.6</v>
      </c>
      <c r="F85" s="75">
        <f>784369069.25</f>
        <v>784369069.25</v>
      </c>
      <c r="G85" s="75">
        <f>567.01</f>
        <v>567.01</v>
      </c>
      <c r="H85" s="75">
        <f>1850134.01</f>
        <v>1850134.01</v>
      </c>
      <c r="I85" s="75">
        <f>0</f>
        <v>0</v>
      </c>
      <c r="J85" s="43">
        <f t="shared" ref="J85:J93" si="7">IF($D$84=0,"",100*$D85/$D$84)</f>
        <v>9.3521446945840765</v>
      </c>
      <c r="K85" s="43">
        <f t="shared" ref="K85:K93" si="8">IF(C85=0,"",100*D85/C85)</f>
        <v>41.523823217555822</v>
      </c>
      <c r="N85" s="55"/>
      <c r="O85" s="54"/>
    </row>
    <row r="86" spans="2:26" ht="12.95" customHeight="1" outlineLevel="1" x14ac:dyDescent="0.2">
      <c r="B86" s="10" t="s">
        <v>11</v>
      </c>
      <c r="C86" s="69">
        <f>20011427750.99</f>
        <v>20011427750.990002</v>
      </c>
      <c r="D86" s="69">
        <f>7816086769.48</f>
        <v>7816086769.4799995</v>
      </c>
      <c r="E86" s="69">
        <f>14733720191.74</f>
        <v>14733720191.74</v>
      </c>
      <c r="F86" s="69">
        <f>762564674.48</f>
        <v>762564674.48000002</v>
      </c>
      <c r="G86" s="69">
        <f>567.01</f>
        <v>567.01</v>
      </c>
      <c r="H86" s="69">
        <f>1850134.01</f>
        <v>1850134.01</v>
      </c>
      <c r="I86" s="69">
        <f>0</f>
        <v>0</v>
      </c>
      <c r="J86" s="43">
        <f t="shared" si="7"/>
        <v>7.9332346979703594</v>
      </c>
      <c r="K86" s="43">
        <f t="shared" si="8"/>
        <v>39.058116525910172</v>
      </c>
      <c r="N86" s="29"/>
      <c r="O86" s="54"/>
    </row>
    <row r="87" spans="2:26" ht="25.5" customHeight="1" x14ac:dyDescent="0.2">
      <c r="B87" s="88" t="s">
        <v>65</v>
      </c>
      <c r="C87" s="75">
        <f t="shared" ref="C87:I87" si="9">C84-C85</f>
        <v>124032120709.93001</v>
      </c>
      <c r="D87" s="75">
        <f t="shared" si="9"/>
        <v>89309282973.269989</v>
      </c>
      <c r="E87" s="75">
        <f>E84-E85</f>
        <v>112644504954.14999</v>
      </c>
      <c r="F87" s="75">
        <f t="shared" si="9"/>
        <v>3585913408.1400003</v>
      </c>
      <c r="G87" s="75">
        <f t="shared" si="9"/>
        <v>6501328.2300000004</v>
      </c>
      <c r="H87" s="75">
        <f t="shared" si="9"/>
        <v>16624237.970000001</v>
      </c>
      <c r="I87" s="75">
        <f t="shared" si="9"/>
        <v>0</v>
      </c>
      <c r="J87" s="43">
        <f t="shared" si="7"/>
        <v>90.647855305415916</v>
      </c>
      <c r="K87" s="43">
        <f t="shared" si="8"/>
        <v>72.004963280547926</v>
      </c>
      <c r="N87" s="55"/>
      <c r="O87" s="54"/>
    </row>
    <row r="88" spans="2:26" ht="24" customHeight="1" outlineLevel="1" x14ac:dyDescent="0.2">
      <c r="B88" s="10" t="s">
        <v>105</v>
      </c>
      <c r="C88" s="69">
        <f>51617771181.86</f>
        <v>51617771181.860001</v>
      </c>
      <c r="D88" s="69">
        <f>38926094595.19</f>
        <v>38926094595.190002</v>
      </c>
      <c r="E88" s="69">
        <f>49424944609.17</f>
        <v>49424944609.169998</v>
      </c>
      <c r="F88" s="69">
        <f>1641832434.63</f>
        <v>1641832434.6300001</v>
      </c>
      <c r="G88" s="69">
        <f>11865.88</f>
        <v>11865.88</v>
      </c>
      <c r="H88" s="69">
        <f>1325683.05</f>
        <v>1325683.05</v>
      </c>
      <c r="I88" s="69">
        <f>0</f>
        <v>0</v>
      </c>
      <c r="J88" s="43">
        <f t="shared" si="7"/>
        <v>39.509520992636411</v>
      </c>
      <c r="K88" s="43">
        <f t="shared" si="8"/>
        <v>75.412195652627815</v>
      </c>
      <c r="N88" s="29"/>
      <c r="O88" s="54"/>
    </row>
    <row r="89" spans="2:26" ht="12.95" customHeight="1" outlineLevel="1" x14ac:dyDescent="0.2">
      <c r="B89" s="10" t="s">
        <v>43</v>
      </c>
      <c r="C89" s="76">
        <f>17146011228.76</f>
        <v>17146011228.76</v>
      </c>
      <c r="D89" s="76">
        <f>13708498871.83</f>
        <v>13708498871.83</v>
      </c>
      <c r="E89" s="76">
        <f>15634159244.75</f>
        <v>15634159244.75</v>
      </c>
      <c r="F89" s="76">
        <f>189643113.98</f>
        <v>189643113.97999999</v>
      </c>
      <c r="G89" s="76">
        <f>0</f>
        <v>0</v>
      </c>
      <c r="H89" s="76">
        <f>2231714</f>
        <v>2231714</v>
      </c>
      <c r="I89" s="76">
        <f>0</f>
        <v>0</v>
      </c>
      <c r="J89" s="43">
        <f t="shared" si="7"/>
        <v>13.913962589533092</v>
      </c>
      <c r="K89" s="43">
        <f t="shared" si="8"/>
        <v>79.951533268775293</v>
      </c>
      <c r="N89" s="56"/>
      <c r="O89" s="54"/>
    </row>
    <row r="90" spans="2:26" ht="12.95" customHeight="1" outlineLevel="1" x14ac:dyDescent="0.2">
      <c r="B90" s="10" t="s">
        <v>42</v>
      </c>
      <c r="C90" s="69">
        <f>3185608452.6</f>
        <v>3185608452.5999999</v>
      </c>
      <c r="D90" s="69">
        <f>2027607816.69</f>
        <v>2027607816.6900001</v>
      </c>
      <c r="E90" s="69">
        <f>2660141877.57</f>
        <v>2660141877.5700002</v>
      </c>
      <c r="F90" s="69">
        <f>121900848.77</f>
        <v>121900848.77</v>
      </c>
      <c r="G90" s="69">
        <f>0</f>
        <v>0</v>
      </c>
      <c r="H90" s="69">
        <f>0</f>
        <v>0</v>
      </c>
      <c r="I90" s="69">
        <f>0</f>
        <v>0</v>
      </c>
      <c r="J90" s="43">
        <f t="shared" si="7"/>
        <v>2.0579977115979728</v>
      </c>
      <c r="K90" s="43">
        <f t="shared" si="8"/>
        <v>63.648996631557971</v>
      </c>
      <c r="N90" s="29"/>
      <c r="O90" s="54"/>
    </row>
    <row r="91" spans="2:26" ht="22.5" customHeight="1" outlineLevel="1" x14ac:dyDescent="0.2">
      <c r="B91" s="10" t="s">
        <v>71</v>
      </c>
      <c r="C91" s="76">
        <f>201706823.02</f>
        <v>201706823.02000001</v>
      </c>
      <c r="D91" s="76">
        <f>17240241.75</f>
        <v>17240241.75</v>
      </c>
      <c r="E91" s="76">
        <f>22664362.24</f>
        <v>22664362.239999998</v>
      </c>
      <c r="F91" s="76">
        <f>91754.49</f>
        <v>91754.49</v>
      </c>
      <c r="G91" s="76">
        <f>0</f>
        <v>0</v>
      </c>
      <c r="H91" s="76">
        <f>0</f>
        <v>0</v>
      </c>
      <c r="I91" s="76">
        <f>0</f>
        <v>0</v>
      </c>
      <c r="J91" s="43">
        <f t="shared" si="7"/>
        <v>1.749863941973568E-2</v>
      </c>
      <c r="K91" s="43">
        <f t="shared" si="8"/>
        <v>8.5471782718478302</v>
      </c>
      <c r="N91" s="56"/>
      <c r="O91" s="54"/>
    </row>
    <row r="92" spans="2:26" ht="22.5" customHeight="1" outlineLevel="1" x14ac:dyDescent="0.2">
      <c r="B92" s="10" t="s">
        <v>72</v>
      </c>
      <c r="C92" s="76">
        <f>6219343962.2</f>
        <v>6219343962.1999998</v>
      </c>
      <c r="D92" s="76">
        <f>5101493625.14</f>
        <v>5101493625.1400003</v>
      </c>
      <c r="E92" s="76">
        <f>5859718141.49</f>
        <v>5859718141.4899998</v>
      </c>
      <c r="F92" s="76">
        <f>66649879.18</f>
        <v>66649879.18</v>
      </c>
      <c r="G92" s="76">
        <f>38243.84</f>
        <v>38243.839999999997</v>
      </c>
      <c r="H92" s="76">
        <f>51806.1</f>
        <v>51806.1</v>
      </c>
      <c r="I92" s="77">
        <f>0</f>
        <v>0</v>
      </c>
      <c r="J92" s="43">
        <f t="shared" si="7"/>
        <v>5.1779550857171177</v>
      </c>
      <c r="K92" s="43">
        <f t="shared" si="8"/>
        <v>82.026233894538024</v>
      </c>
      <c r="N92" s="56"/>
      <c r="O92" s="54"/>
    </row>
    <row r="93" spans="2:26" ht="12.95" customHeight="1" outlineLevel="1" x14ac:dyDescent="0.2">
      <c r="B93" s="10" t="s">
        <v>41</v>
      </c>
      <c r="C93" s="69">
        <f t="shared" ref="C93:I93" si="10">C87-C88-C89-C90-C91-C92</f>
        <v>45661679061.490013</v>
      </c>
      <c r="D93" s="69">
        <f t="shared" si="10"/>
        <v>29528347822.669983</v>
      </c>
      <c r="E93" s="69">
        <f>E87-E88-E89-E90-E91-E92</f>
        <v>39042876718.93</v>
      </c>
      <c r="F93" s="69">
        <f t="shared" si="10"/>
        <v>1565795377.0900002</v>
      </c>
      <c r="G93" s="69">
        <f t="shared" si="10"/>
        <v>6451218.5100000007</v>
      </c>
      <c r="H93" s="69">
        <f t="shared" si="10"/>
        <v>13015034.82</v>
      </c>
      <c r="I93" s="77">
        <f t="shared" si="10"/>
        <v>0</v>
      </c>
      <c r="J93" s="43">
        <f t="shared" si="7"/>
        <v>29.970920286511593</v>
      </c>
      <c r="K93" s="43">
        <f t="shared" si="8"/>
        <v>64.667678520769712</v>
      </c>
      <c r="N93" s="29"/>
      <c r="O93" s="54"/>
    </row>
    <row r="94" spans="2:26" x14ac:dyDescent="0.2">
      <c r="B94" s="65" t="s">
        <v>13</v>
      </c>
      <c r="C94" s="75">
        <f>C5-C84</f>
        <v>-12436457678.190002</v>
      </c>
      <c r="D94" s="75">
        <f>D5-D84</f>
        <v>5522685905.7100067</v>
      </c>
      <c r="E94" s="61"/>
      <c r="F94" s="55"/>
      <c r="G94" s="55"/>
      <c r="H94" s="55"/>
      <c r="I94" s="131"/>
      <c r="J94" s="131"/>
      <c r="K94" s="37"/>
      <c r="L94" s="37"/>
      <c r="M94" s="4"/>
      <c r="N94" s="54"/>
      <c r="O94" s="55"/>
    </row>
    <row r="95" spans="2:26" ht="38.25" x14ac:dyDescent="0.2">
      <c r="B95" s="96" t="s">
        <v>109</v>
      </c>
      <c r="C95" s="75">
        <f>+C74-C87</f>
        <v>-544515878.13000488</v>
      </c>
      <c r="D95" s="75">
        <f>+D74-D87</f>
        <v>8641964791.4300079</v>
      </c>
      <c r="E95" s="61"/>
      <c r="F95" s="55"/>
      <c r="G95" s="55"/>
      <c r="H95" s="55"/>
      <c r="I95" s="55"/>
      <c r="J95" s="55"/>
      <c r="K95" s="37"/>
      <c r="L95" s="37"/>
      <c r="M95" s="4"/>
      <c r="N95" s="54"/>
      <c r="O95" s="55"/>
    </row>
    <row r="96" spans="2:26" ht="8.25" customHeight="1" x14ac:dyDescent="0.2">
      <c r="B96" s="38"/>
      <c r="C96" s="39"/>
      <c r="D96" s="39"/>
      <c r="E96" s="39"/>
      <c r="F96" s="40"/>
      <c r="G96" s="40"/>
      <c r="H96" s="40"/>
      <c r="I96" s="40"/>
      <c r="J96" s="41"/>
      <c r="K96" s="41"/>
      <c r="L96" s="42"/>
      <c r="M96" s="35"/>
    </row>
    <row r="97" spans="2:13" x14ac:dyDescent="0.2">
      <c r="B97" s="104" t="s">
        <v>111</v>
      </c>
      <c r="C97" s="57"/>
      <c r="D97" s="57"/>
      <c r="E97" s="57"/>
      <c r="F97" s="58"/>
      <c r="G97" s="58"/>
      <c r="H97" s="58"/>
      <c r="I97" s="58"/>
      <c r="J97" s="59"/>
      <c r="K97" s="59"/>
      <c r="L97" s="42"/>
      <c r="M97" s="35"/>
    </row>
    <row r="98" spans="2:13" ht="26.25" customHeight="1" x14ac:dyDescent="0.2">
      <c r="B98" s="65" t="s">
        <v>89</v>
      </c>
      <c r="C98" s="78">
        <f>2266624237.05</f>
        <v>2266624237.0500002</v>
      </c>
      <c r="D98" s="79">
        <f>836474355.549999</f>
        <v>836474355.549999</v>
      </c>
      <c r="E98" s="79">
        <f>1389017662.19</f>
        <v>1389017662.1900001</v>
      </c>
      <c r="F98" s="79">
        <f>56312638.35</f>
        <v>56312638.350000001</v>
      </c>
      <c r="G98" s="79">
        <f>0</f>
        <v>0</v>
      </c>
      <c r="H98" s="79">
        <f>0</f>
        <v>0</v>
      </c>
      <c r="I98" s="79">
        <f>0</f>
        <v>0</v>
      </c>
      <c r="J98" s="62">
        <f>IF($D$98=0,"",100*$D98/$D$98)</f>
        <v>99.999999999999986</v>
      </c>
      <c r="K98" s="43">
        <f>IF(C98=0,"",100*D98/C98)</f>
        <v>36.903971195449053</v>
      </c>
      <c r="L98" s="35"/>
    </row>
    <row r="99" spans="2:13" ht="15" customHeight="1" x14ac:dyDescent="0.2">
      <c r="B99" s="101" t="s">
        <v>76</v>
      </c>
      <c r="C99" s="80">
        <f>1686931323.64</f>
        <v>1686931323.6400001</v>
      </c>
      <c r="D99" s="76">
        <f>627488843.11</f>
        <v>627488843.11000001</v>
      </c>
      <c r="E99" s="76">
        <f>1114518225.95</f>
        <v>1114518225.95</v>
      </c>
      <c r="F99" s="76">
        <f>53322594.31</f>
        <v>53322594.310000002</v>
      </c>
      <c r="G99" s="76">
        <f>0</f>
        <v>0</v>
      </c>
      <c r="H99" s="76">
        <f>0</f>
        <v>0</v>
      </c>
      <c r="I99" s="76">
        <f>0</f>
        <v>0</v>
      </c>
      <c r="J99" s="62">
        <f>IF($D$98=0,"",100*$D99/$D$98)</f>
        <v>75.015909208288065</v>
      </c>
      <c r="K99" s="62">
        <f>IF(C99=0,"",100*D99/C99)</f>
        <v>37.197059199542693</v>
      </c>
      <c r="L99" s="35"/>
    </row>
    <row r="100" spans="2:13" x14ac:dyDescent="0.2">
      <c r="B100" s="102" t="s">
        <v>77</v>
      </c>
      <c r="C100" s="80">
        <f>C98-C99</f>
        <v>579692913.41000009</v>
      </c>
      <c r="D100" s="76">
        <f t="shared" ref="D100:I100" si="11">D98-D99</f>
        <v>208985512.43999898</v>
      </c>
      <c r="E100" s="76">
        <f t="shared" si="11"/>
        <v>274499436.24000001</v>
      </c>
      <c r="F100" s="76">
        <f t="shared" si="11"/>
        <v>2990044.0399999991</v>
      </c>
      <c r="G100" s="76">
        <f t="shared" si="11"/>
        <v>0</v>
      </c>
      <c r="H100" s="76">
        <f t="shared" si="11"/>
        <v>0</v>
      </c>
      <c r="I100" s="76">
        <f t="shared" si="11"/>
        <v>0</v>
      </c>
      <c r="J100" s="62">
        <f>IF($D$98=0,"",100*$D100/$D$98)</f>
        <v>24.984090791711925</v>
      </c>
      <c r="K100" s="62">
        <f>IF(C100=0,"",100*D100/C100)</f>
        <v>36.051072491236326</v>
      </c>
    </row>
    <row r="101" spans="2:13" ht="6" customHeight="1" x14ac:dyDescent="0.2"/>
    <row r="102" spans="2:13" ht="18" x14ac:dyDescent="0.2">
      <c r="B102" s="87" t="str">
        <f>CONCATENATE("Informacja z wykonania budżetów miast na prawach powiatu za ",$D$138," ",$C$139," rok    ",$C$141,"")</f>
        <v xml:space="preserve">Informacja z wykonania budżetów miast na prawach powiatu za III Kwartały 2024 rok    </v>
      </c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</row>
    <row r="103" spans="2:13" ht="6.75" customHeight="1" x14ac:dyDescent="0.2"/>
    <row r="104" spans="2:13" x14ac:dyDescent="0.2">
      <c r="B104" s="13" t="s">
        <v>14</v>
      </c>
      <c r="C104" s="51" t="s">
        <v>15</v>
      </c>
      <c r="D104" s="8" t="s">
        <v>1</v>
      </c>
      <c r="E104" s="8" t="s">
        <v>23</v>
      </c>
      <c r="F104" s="8" t="s">
        <v>24</v>
      </c>
    </row>
    <row r="105" spans="2:13" x14ac:dyDescent="0.2">
      <c r="B105" s="13"/>
      <c r="C105" s="115" t="s">
        <v>78</v>
      </c>
      <c r="D105" s="122"/>
      <c r="E105" s="125" t="s">
        <v>4</v>
      </c>
      <c r="F105" s="126"/>
    </row>
    <row r="106" spans="2:13" x14ac:dyDescent="0.2">
      <c r="B106" s="11">
        <v>1</v>
      </c>
      <c r="C106" s="14">
        <v>2</v>
      </c>
      <c r="D106" s="12">
        <v>3</v>
      </c>
      <c r="E106" s="12">
        <v>4</v>
      </c>
      <c r="F106" s="12">
        <v>5</v>
      </c>
    </row>
    <row r="107" spans="2:13" ht="25.5" x14ac:dyDescent="0.2">
      <c r="B107" s="63" t="s">
        <v>66</v>
      </c>
      <c r="C107" s="81">
        <f>16442320886.76</f>
        <v>16442320886.76</v>
      </c>
      <c r="D107" s="74">
        <f>7978743709.88</f>
        <v>7978743709.8800001</v>
      </c>
      <c r="E107" s="44">
        <f>IF($D$107=0,"",100*$D107/$D$107)</f>
        <v>100</v>
      </c>
      <c r="F107" s="36">
        <f t="shared" ref="F107:F114" si="12">IF(C107=0,"",100*D107/C107)</f>
        <v>48.52565379808879</v>
      </c>
    </row>
    <row r="108" spans="2:13" ht="22.5" x14ac:dyDescent="0.2">
      <c r="B108" s="97" t="s">
        <v>90</v>
      </c>
      <c r="C108" s="82">
        <f>12171326754.76</f>
        <v>12171326754.76</v>
      </c>
      <c r="D108" s="71">
        <f>2024031292.1</f>
        <v>2024031292.0999999</v>
      </c>
      <c r="E108" s="45">
        <f t="shared" ref="E108:E117" si="13">IF($D$107=0,"",100*$D108/$D$107)</f>
        <v>25.367794300669939</v>
      </c>
      <c r="F108" s="46">
        <f t="shared" si="12"/>
        <v>16.629504185387479</v>
      </c>
    </row>
    <row r="109" spans="2:13" ht="11.25" customHeight="1" x14ac:dyDescent="0.2">
      <c r="B109" s="99" t="s">
        <v>91</v>
      </c>
      <c r="C109" s="83">
        <f>1164830000</f>
        <v>1164830000</v>
      </c>
      <c r="D109" s="70">
        <f>321500000</f>
        <v>321500000</v>
      </c>
      <c r="E109" s="47">
        <f t="shared" si="13"/>
        <v>4.0294564118144276</v>
      </c>
      <c r="F109" s="43">
        <f t="shared" si="12"/>
        <v>27.600594078105818</v>
      </c>
    </row>
    <row r="110" spans="2:13" ht="12.95" customHeight="1" x14ac:dyDescent="0.2">
      <c r="B110" s="98" t="s">
        <v>92</v>
      </c>
      <c r="C110" s="83">
        <f>55192642.13</f>
        <v>55192642.130000003</v>
      </c>
      <c r="D110" s="70">
        <f>21611181.45</f>
        <v>21611181.449999999</v>
      </c>
      <c r="E110" s="47">
        <f t="shared" si="13"/>
        <v>0.2708594515103811</v>
      </c>
      <c r="F110" s="43">
        <f t="shared" si="12"/>
        <v>39.155910309742588</v>
      </c>
    </row>
    <row r="111" spans="2:13" ht="45.75" customHeight="1" x14ac:dyDescent="0.2">
      <c r="B111" s="98" t="s">
        <v>101</v>
      </c>
      <c r="C111" s="83">
        <f>42201649.45</f>
        <v>42201649.450000003</v>
      </c>
      <c r="D111" s="70">
        <f>87293865.46</f>
        <v>87293865.459999993</v>
      </c>
      <c r="E111" s="47">
        <f t="shared" si="13"/>
        <v>1.0940803293619379</v>
      </c>
      <c r="F111" s="43">
        <f t="shared" si="12"/>
        <v>206.84941607181659</v>
      </c>
    </row>
    <row r="112" spans="2:13" ht="35.25" customHeight="1" x14ac:dyDescent="0.2">
      <c r="B112" s="98" t="s">
        <v>97</v>
      </c>
      <c r="C112" s="83">
        <f>711631613.12</f>
        <v>711631613.12</v>
      </c>
      <c r="D112" s="70">
        <f>1208253744.82</f>
        <v>1208253744.8199999</v>
      </c>
      <c r="E112" s="47">
        <f t="shared" si="13"/>
        <v>15.143408395532635</v>
      </c>
      <c r="F112" s="43">
        <f t="shared" si="12"/>
        <v>169.7864066947032</v>
      </c>
    </row>
    <row r="113" spans="2:8" ht="12.95" customHeight="1" x14ac:dyDescent="0.2">
      <c r="B113" s="98" t="s">
        <v>93</v>
      </c>
      <c r="C113" s="83">
        <f>0</f>
        <v>0</v>
      </c>
      <c r="D113" s="70">
        <f>0</f>
        <v>0</v>
      </c>
      <c r="E113" s="47">
        <f t="shared" si="13"/>
        <v>0</v>
      </c>
      <c r="F113" s="43" t="str">
        <f t="shared" si="12"/>
        <v/>
      </c>
    </row>
    <row r="114" spans="2:8" ht="35.25" customHeight="1" x14ac:dyDescent="0.2">
      <c r="B114" s="98" t="s">
        <v>96</v>
      </c>
      <c r="C114" s="83">
        <f>3277183322.55</f>
        <v>3277183322.5500002</v>
      </c>
      <c r="D114" s="70">
        <f>4182689167.11</f>
        <v>4182689167.1100001</v>
      </c>
      <c r="E114" s="47">
        <f t="shared" si="13"/>
        <v>52.422904146308362</v>
      </c>
      <c r="F114" s="43">
        <f t="shared" si="12"/>
        <v>127.63061310392057</v>
      </c>
    </row>
    <row r="115" spans="2:8" ht="56.25" x14ac:dyDescent="0.2">
      <c r="B115" s="107" t="s">
        <v>123</v>
      </c>
      <c r="C115" s="83">
        <f>0</f>
        <v>0</v>
      </c>
      <c r="D115" s="70">
        <f>167079554.19</f>
        <v>167079554.19</v>
      </c>
      <c r="E115" s="47">
        <f t="shared" si="13"/>
        <v>2.0940584165287452</v>
      </c>
      <c r="F115" s="43" t="str">
        <f t="shared" ref="F115:F123" si="14">IF(C115=0,"",100*D115/C115)</f>
        <v/>
      </c>
    </row>
    <row r="116" spans="2:8" x14ac:dyDescent="0.2">
      <c r="B116" s="107" t="s">
        <v>119</v>
      </c>
      <c r="C116" s="83">
        <f>184784904.75</f>
        <v>184784904.75</v>
      </c>
      <c r="D116" s="70">
        <f>287784904.75</f>
        <v>287784904.75</v>
      </c>
      <c r="E116" s="47">
        <f t="shared" si="13"/>
        <v>3.6068949600879994</v>
      </c>
      <c r="F116" s="43">
        <f t="shared" si="14"/>
        <v>155.7404838557301</v>
      </c>
    </row>
    <row r="117" spans="2:8" ht="22.5" x14ac:dyDescent="0.2">
      <c r="B117" s="108" t="s">
        <v>120</v>
      </c>
      <c r="C117" s="83">
        <f>164795971.96</f>
        <v>164795971.96000001</v>
      </c>
      <c r="D117" s="70">
        <f>137795971.96</f>
        <v>137795971.96000001</v>
      </c>
      <c r="E117" s="47">
        <f t="shared" si="13"/>
        <v>1.7270384533014715</v>
      </c>
      <c r="F117" s="43">
        <f t="shared" si="14"/>
        <v>83.616104399351727</v>
      </c>
    </row>
    <row r="118" spans="2:8" ht="25.5" x14ac:dyDescent="0.2">
      <c r="B118" s="66" t="s">
        <v>67</v>
      </c>
      <c r="C118" s="84">
        <f>4005863208.57</f>
        <v>4005863208.5700002</v>
      </c>
      <c r="D118" s="74">
        <f>2418166811.5</f>
        <v>2418166811.5</v>
      </c>
      <c r="E118" s="48">
        <f t="shared" ref="E118:E123" si="15">IF($D$118=0,"",100*$D118/$D$118)</f>
        <v>100</v>
      </c>
      <c r="F118" s="36">
        <f t="shared" si="14"/>
        <v>60.3656861354292</v>
      </c>
    </row>
    <row r="119" spans="2:8" ht="22.5" x14ac:dyDescent="0.2">
      <c r="B119" s="98" t="s">
        <v>94</v>
      </c>
      <c r="C119" s="83">
        <f>3924205402.88</f>
        <v>3924205402.8800001</v>
      </c>
      <c r="D119" s="70">
        <f>2177781590.64</f>
        <v>2177781590.6399999</v>
      </c>
      <c r="E119" s="47">
        <f t="shared" si="15"/>
        <v>90.059196093635578</v>
      </c>
      <c r="F119" s="43">
        <f t="shared" si="14"/>
        <v>55.496116208435772</v>
      </c>
    </row>
    <row r="120" spans="2:8" ht="12.95" customHeight="1" x14ac:dyDescent="0.2">
      <c r="B120" s="99" t="s">
        <v>95</v>
      </c>
      <c r="C120" s="83">
        <f>333345000</f>
        <v>333345000</v>
      </c>
      <c r="D120" s="70">
        <f>198070000</f>
        <v>198070000</v>
      </c>
      <c r="E120" s="47">
        <f t="shared" si="15"/>
        <v>8.1909154925973144</v>
      </c>
      <c r="F120" s="43">
        <f t="shared" si="14"/>
        <v>59.41892033778818</v>
      </c>
    </row>
    <row r="121" spans="2:8" ht="12.95" customHeight="1" x14ac:dyDescent="0.2">
      <c r="B121" s="98" t="s">
        <v>110</v>
      </c>
      <c r="C121" s="83">
        <f>63720712.22</f>
        <v>63720712.219999999</v>
      </c>
      <c r="D121" s="70">
        <f>32385220.86</f>
        <v>32385220.859999999</v>
      </c>
      <c r="E121" s="47">
        <f t="shared" si="15"/>
        <v>1.3392467676748609</v>
      </c>
      <c r="F121" s="43">
        <f t="shared" si="14"/>
        <v>50.823695674002934</v>
      </c>
    </row>
    <row r="122" spans="2:8" ht="12.95" customHeight="1" x14ac:dyDescent="0.2">
      <c r="B122" s="98" t="s">
        <v>121</v>
      </c>
      <c r="C122" s="83">
        <f>17937093.47</f>
        <v>17937093.469999999</v>
      </c>
      <c r="D122" s="70">
        <f>208000000</f>
        <v>208000000</v>
      </c>
      <c r="E122" s="47">
        <f t="shared" si="15"/>
        <v>8.6015571386895608</v>
      </c>
      <c r="F122" s="43">
        <f t="shared" si="14"/>
        <v>1159.6081625369375</v>
      </c>
    </row>
    <row r="123" spans="2:8" ht="22.5" x14ac:dyDescent="0.2">
      <c r="B123" s="108" t="s">
        <v>122</v>
      </c>
      <c r="C123" s="83">
        <f>2559660.68</f>
        <v>2559660.6800000002</v>
      </c>
      <c r="D123" s="70">
        <f>0</f>
        <v>0</v>
      </c>
      <c r="E123" s="47">
        <f t="shared" si="15"/>
        <v>0</v>
      </c>
      <c r="F123" s="43">
        <f t="shared" si="14"/>
        <v>0</v>
      </c>
    </row>
    <row r="124" spans="2:8" x14ac:dyDescent="0.2">
      <c r="B124" s="26"/>
      <c r="C124" s="26"/>
      <c r="D124" s="26"/>
      <c r="E124" s="26"/>
      <c r="F124" s="26"/>
      <c r="G124" s="26"/>
      <c r="H124" s="26"/>
    </row>
    <row r="125" spans="2:8" x14ac:dyDescent="0.2">
      <c r="B125" s="13" t="s">
        <v>14</v>
      </c>
      <c r="C125" s="11" t="s">
        <v>15</v>
      </c>
      <c r="D125" s="11" t="s">
        <v>1</v>
      </c>
      <c r="E125" s="60"/>
    </row>
    <row r="126" spans="2:8" x14ac:dyDescent="0.2">
      <c r="B126" s="13"/>
      <c r="C126" s="123" t="s">
        <v>78</v>
      </c>
      <c r="D126" s="124"/>
      <c r="E126" s="60"/>
    </row>
    <row r="127" spans="2:8" x14ac:dyDescent="0.2">
      <c r="B127" s="11">
        <v>1</v>
      </c>
      <c r="C127" s="11">
        <v>2</v>
      </c>
      <c r="D127" s="11">
        <v>3</v>
      </c>
      <c r="E127" s="60"/>
    </row>
    <row r="128" spans="2:8" ht="36" customHeight="1" x14ac:dyDescent="0.2">
      <c r="B128" s="64" t="s">
        <v>124</v>
      </c>
      <c r="C128" s="83">
        <f>12443045924.19</f>
        <v>12443045924.190001</v>
      </c>
      <c r="D128" s="70">
        <f>0</f>
        <v>0</v>
      </c>
      <c r="E128" s="60"/>
    </row>
    <row r="129" spans="2:8" ht="33.75" x14ac:dyDescent="0.2">
      <c r="B129" s="103" t="s">
        <v>80</v>
      </c>
      <c r="C129" s="83">
        <f>660333698.44</f>
        <v>660333698.44000006</v>
      </c>
      <c r="D129" s="70">
        <f>0</f>
        <v>0</v>
      </c>
      <c r="E129" s="60"/>
    </row>
    <row r="130" spans="2:8" ht="12.95" customHeight="1" x14ac:dyDescent="0.2">
      <c r="B130" s="103" t="s">
        <v>81</v>
      </c>
      <c r="C130" s="83">
        <f>8163470310.14</f>
        <v>8163470310.1400003</v>
      </c>
      <c r="D130" s="70">
        <f>0</f>
        <v>0</v>
      </c>
      <c r="E130" s="60"/>
    </row>
    <row r="131" spans="2:8" ht="22.5" x14ac:dyDescent="0.2">
      <c r="B131" s="103" t="s">
        <v>82</v>
      </c>
      <c r="C131" s="83">
        <f>0</f>
        <v>0</v>
      </c>
      <c r="D131" s="70">
        <f>0</f>
        <v>0</v>
      </c>
      <c r="E131" s="60"/>
    </row>
    <row r="132" spans="2:8" ht="58.5" customHeight="1" x14ac:dyDescent="0.2">
      <c r="B132" s="103" t="s">
        <v>104</v>
      </c>
      <c r="C132" s="83">
        <f>42201649.45</f>
        <v>42201649.450000003</v>
      </c>
      <c r="D132" s="70">
        <f>0</f>
        <v>0</v>
      </c>
      <c r="E132" s="60"/>
    </row>
    <row r="133" spans="2:8" ht="78.75" x14ac:dyDescent="0.2">
      <c r="B133" s="103" t="s">
        <v>83</v>
      </c>
      <c r="C133" s="83">
        <f>2708201636.55</f>
        <v>2708201636.5500002</v>
      </c>
      <c r="D133" s="70">
        <f>0</f>
        <v>0</v>
      </c>
      <c r="E133" s="60"/>
    </row>
    <row r="134" spans="2:8" ht="147" customHeight="1" x14ac:dyDescent="0.2">
      <c r="B134" s="103" t="s">
        <v>102</v>
      </c>
      <c r="C134" s="83">
        <f>694947187.65</f>
        <v>694947187.64999998</v>
      </c>
      <c r="D134" s="70">
        <f>0</f>
        <v>0</v>
      </c>
      <c r="E134" s="35"/>
    </row>
    <row r="135" spans="2:8" ht="22.5" x14ac:dyDescent="0.2">
      <c r="B135" s="103" t="s">
        <v>103</v>
      </c>
      <c r="C135" s="83">
        <f>17977533</f>
        <v>17977533</v>
      </c>
      <c r="D135" s="70">
        <f>0</f>
        <v>0</v>
      </c>
      <c r="E135" s="35"/>
    </row>
    <row r="136" spans="2:8" ht="22.5" x14ac:dyDescent="0.2">
      <c r="B136" s="109" t="s">
        <v>120</v>
      </c>
      <c r="C136" s="83">
        <f>155913908.96</f>
        <v>155913908.96000001</v>
      </c>
      <c r="D136" s="70">
        <f>0</f>
        <v>0</v>
      </c>
      <c r="E136" s="35"/>
    </row>
    <row r="137" spans="2:8" x14ac:dyDescent="0.2">
      <c r="B137" s="49"/>
      <c r="C137" s="41"/>
      <c r="D137" s="41"/>
      <c r="E137" s="41"/>
      <c r="F137" s="41"/>
      <c r="G137" s="41"/>
      <c r="H137" s="41"/>
    </row>
    <row r="138" spans="2:8" ht="12" customHeight="1" x14ac:dyDescent="0.2">
      <c r="B138" s="50" t="s">
        <v>68</v>
      </c>
      <c r="C138" s="50">
        <f>3</f>
        <v>3</v>
      </c>
      <c r="D138" s="50" t="str">
        <f>IF(C138=1,"I Kwartał",IF(C138=2,"II Kwartały",IF(C138=3,"III Kwartały",IF(C138=4,"IV Kwartały",IF(C138="M1","Styczeń",IF(C138="M11","Listopad",IF(C138="M12","Grudzień","-")))))))</f>
        <v>III Kwartały</v>
      </c>
    </row>
    <row r="139" spans="2:8" x14ac:dyDescent="0.2">
      <c r="B139" s="50" t="s">
        <v>69</v>
      </c>
      <c r="C139" s="85">
        <f>2024</f>
        <v>2024</v>
      </c>
      <c r="D139" s="49"/>
    </row>
    <row r="140" spans="2:8" x14ac:dyDescent="0.2">
      <c r="B140" s="50" t="s">
        <v>70</v>
      </c>
      <c r="C140" s="128" t="str">
        <f>"Nov 14 2024 12:00AM"</f>
        <v>Nov 14 2024 12:00AM</v>
      </c>
      <c r="D140" s="129"/>
    </row>
    <row r="141" spans="2:8" hidden="1" x14ac:dyDescent="0.2">
      <c r="B141" s="50" t="s">
        <v>73</v>
      </c>
      <c r="C141" s="86" t="str">
        <f>""</f>
        <v/>
      </c>
      <c r="D141" s="49"/>
    </row>
  </sheetData>
  <mergeCells count="20">
    <mergeCell ref="C105:D105"/>
    <mergeCell ref="C126:D126"/>
    <mergeCell ref="E105:F105"/>
    <mergeCell ref="J82:K82"/>
    <mergeCell ref="C140:D140"/>
    <mergeCell ref="I94:J94"/>
    <mergeCell ref="K79:K81"/>
    <mergeCell ref="F80:F81"/>
    <mergeCell ref="F79:H79"/>
    <mergeCell ref="I79:I81"/>
    <mergeCell ref="C82:I82"/>
    <mergeCell ref="G80:H80"/>
    <mergeCell ref="D79:D81"/>
    <mergeCell ref="E79:E81"/>
    <mergeCell ref="B2:B3"/>
    <mergeCell ref="C79:C81"/>
    <mergeCell ref="B79:B82"/>
    <mergeCell ref="J79:J81"/>
    <mergeCell ref="J3:L3"/>
    <mergeCell ref="C3:I3"/>
  </mergeCells>
  <phoneticPr fontId="0" type="noConversion"/>
  <pageMargins left="0.19685039370078741" right="0.19685039370078741" top="0.39370078740157483" bottom="0.39370078740157483" header="0.31496062992125984" footer="0.19685039370078741"/>
  <pageSetup paperSize="9" scale="85" fitToWidth="2" fitToHeight="2" orientation="landscape" useFirstPageNumber="1" r:id="rId1"/>
  <headerFooter alignWithMargins="0">
    <oddFooter>&amp;RStrona &amp;P z &amp;N</oddFooter>
  </headerFooter>
  <rowBreaks count="5" manualBreakCount="5">
    <brk id="22" max="16383" man="1"/>
    <brk id="59" max="12" man="1"/>
    <brk id="76" max="16383" man="1"/>
    <brk id="101" max="16383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2022-10-25T14:05:09Z</cp:lastPrinted>
  <dcterms:created xsi:type="dcterms:W3CDTF">2001-05-17T08:58:03Z</dcterms:created>
  <dcterms:modified xsi:type="dcterms:W3CDTF">2024-12-09T09:11:30Z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2022-06-01T15:12:31.7108919+02:00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GRN-2cd18ff7-932d-4776-b890-6d741b929fdc</vt:lpwstr>
  </property>
  <property fmtid="{D5CDD505-2E9C-101B-9397-08002B2CF9AE}" pid="7" name="MFHash">
    <vt:lpwstr>OTgls01WM3N6lxmUY94TawYv0KG6fXLBz/RcoeeeVtg=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