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'doch_wyd'!$B$1:$L$90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<sst xmlns="http://schemas.openxmlformats.org/spreadsheetml/2006/main" count="110" uniqueCount="88">
  <si>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</si>
  <si>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</si>
  <si>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</si>
  <si>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</si>
  <si>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</si>
  <si>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</si>
  <si>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</si>
  <si>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</si>
  <si>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</si>
  <si>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</si>
  <si>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</si>
  <si>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</si>
  <si>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</si>
  <si>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</si>
  <si>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</si>
  <si>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</si>
  <si>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</si>
  <si>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</si>
  <si>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</si>
  <si>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</si>
  <si>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</si>
  <si>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</si>
  <si>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</si>
  <si>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</si>
  <si>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</si>
  <si>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</si>
  <si>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</si>
  <si>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</si>
  <si>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</si>
  <si>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</si>
  <si>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</si>
  <si>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</si>
  <si>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</si>
  <si>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</si>
  <si>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</si>
  <si>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</si>
  <si>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</si>
  <si>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</si>
  <si>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</si>
  <si>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</si>
  <si>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</si>
  <si>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</si>
  <si>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</si>
  <si>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</si>
  <si>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</si>
  <si>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</si>
  <si>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</si>
  <si>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</si>
  <si>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</si>
  <si>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</si>
  <si>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</si>
  <si>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</si>
  <si>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</si>
  <si>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</si>
  <si>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</si>
  <si>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</si>
  <si>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</si>
  <si>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</si>
  <si>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</si>
  <si>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</si>
  <si>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</si>
  <si>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</si>
  <si>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</si>
  <si>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</si>
  <si>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</si>
  <si>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</si>
  <si>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</si>
  <si>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</si>
  <si>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</si>
  <si>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</si>
  <si>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</si>
  <si>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</si>
  <si>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</si>
  <si>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</si>
  <si>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</si>
  <si>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</si>
  <si>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</si>
  <si>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</si>
  <si>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</si>
  <si>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</si>
  <si>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</si>
  <si>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</si>
  <si>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</si>
  <si>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</si>
  <si>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wydatki na wynagrodzenia i pochodne od wynagrodzeń</t>
  </si>
  <si>
    <t>niewykorzystane środki pieniężne o których mowa w art..217 ust.2 pkt.8 ustawy o finansach publicznych</t>
  </si>
  <si>
    <t>otrzymane ze środków z Funduszu Przeciwdziałania COVID-19 (m.in. z Rządowego Funduszu Inwestycji Lokalnych)</t>
  </si>
  <si>
    <t xml:space="preserve">Informacja z wykonania budżetów powiatów za III Kwartały 2021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</si>
</sst>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4" fillId="42" borderId="3" applyNumberFormat="0" applyAlignment="0" applyProtection="0"/>
    <xf numFmtId="0" fontId="45" fillId="43" borderId="4" applyNumberFormat="0" applyAlignment="0" applyProtection="0"/>
    <xf numFmtId="0" fontId="46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7" fillId="0" borderId="8" applyNumberFormat="0" applyFill="0" applyAlignment="0" applyProtection="0"/>
    <xf numFmtId="0" fontId="48" fillId="46" borderId="9" applyNumberFormat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2" fillId="47" borderId="0" applyNumberFormat="0" applyBorder="0" applyAlignment="0" applyProtection="0"/>
    <xf numFmtId="0" fontId="42" fillId="0" borderId="0">
      <alignment/>
      <protection/>
    </xf>
    <xf numFmtId="0" fontId="0" fillId="4" borderId="14" applyNumberFormat="0" applyFont="0" applyAlignment="0" applyProtection="0"/>
    <xf numFmtId="0" fontId="53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4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49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59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5" fillId="51" borderId="19" xfId="0" applyFont="1" applyFill="1" applyBorder="1" applyAlignment="1">
      <alignment horizontal="left" vertical="center" wrapText="1" indent="1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7" fillId="2" borderId="19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51" borderId="19" xfId="0" applyNumberFormat="1" applyFont="1" applyFill="1" applyBorder="1" applyAlignment="1">
      <alignment horizontal="right" vertical="center" wrapText="1"/>
    </xf>
    <xf numFmtId="4" fontId="33" fillId="29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4" fontId="34" fillId="0" borderId="19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0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07" t="s">
        <v>87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2:8" ht="57.75" customHeight="1">
      <c r="B2" s="122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2"/>
      <c r="C3" s="112" t="s">
        <v>60</v>
      </c>
      <c r="D3" s="112"/>
      <c r="E3" s="112"/>
      <c r="F3" s="112" t="s">
        <v>4</v>
      </c>
      <c r="G3" s="112"/>
      <c r="H3" s="112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8" t="s">
        <v>5</v>
      </c>
      <c r="C5" s="69">
        <f>34494569677.31</f>
        <v>34494569677.31</v>
      </c>
      <c r="D5" s="69">
        <f>26156081517.22</f>
        <v>26156081517.22</v>
      </c>
      <c r="E5" s="69">
        <f>24792066845.12</f>
        <v>24792066845.12</v>
      </c>
      <c r="F5" s="70">
        <f aca="true" t="shared" si="0" ref="F5:F35">IF($D$5=0,"",100*$D5/$D$5)</f>
        <v>100</v>
      </c>
      <c r="G5" s="70">
        <f aca="true" t="shared" si="1" ref="G5:G38">IF(C5=0,"",100*D5/C5)</f>
        <v>75.82666420223549</v>
      </c>
      <c r="H5" s="70"/>
    </row>
    <row r="6" spans="2:8" ht="25.5" customHeight="1">
      <c r="B6" s="61" t="s">
        <v>44</v>
      </c>
      <c r="C6" s="30">
        <f>C5-C11-C31</f>
        <v>12985888479.489998</v>
      </c>
      <c r="D6" s="30">
        <f>D5-D11-D31</f>
        <v>9506748128.830002</v>
      </c>
      <c r="E6" s="30">
        <f>E5-E11-E31</f>
        <v>9088206348.23</v>
      </c>
      <c r="F6" s="31">
        <f t="shared" si="0"/>
        <v>36.346224577145406</v>
      </c>
      <c r="G6" s="31">
        <f t="shared" si="1"/>
        <v>73.20829948482175</v>
      </c>
      <c r="H6" s="31">
        <f>IF($D$6=0,"",100*$D6/$D$6)</f>
        <v>100</v>
      </c>
    </row>
    <row r="7" spans="2:8" ht="22.5" customHeight="1">
      <c r="B7" s="62" t="s">
        <v>19</v>
      </c>
      <c r="C7" s="32">
        <f>6385083246.85</f>
        <v>6385083246.85</v>
      </c>
      <c r="D7" s="32">
        <f>4857460358</f>
        <v>4857460358</v>
      </c>
      <c r="E7" s="32">
        <f>4436236026</f>
        <v>4436236026</v>
      </c>
      <c r="F7" s="33">
        <f t="shared" si="0"/>
        <v>18.571055281358042</v>
      </c>
      <c r="G7" s="33">
        <f t="shared" si="1"/>
        <v>76.075129645277</v>
      </c>
      <c r="H7" s="33">
        <f>IF($D$6=0,"",100*$D7/$D$6)</f>
        <v>51.09486747912621</v>
      </c>
    </row>
    <row r="8" spans="2:8" ht="22.5" customHeight="1">
      <c r="B8" s="62" t="s">
        <v>26</v>
      </c>
      <c r="C8" s="32">
        <f>223165028.85</f>
        <v>223165028.85</v>
      </c>
      <c r="D8" s="32">
        <f>240202399.84</f>
        <v>240202399.84</v>
      </c>
      <c r="E8" s="32">
        <f>241328837.34</f>
        <v>241328837.34</v>
      </c>
      <c r="F8" s="33">
        <f t="shared" si="0"/>
        <v>0.9183424500411556</v>
      </c>
      <c r="G8" s="33">
        <f t="shared" si="1"/>
        <v>107.63442689824473</v>
      </c>
      <c r="H8" s="33">
        <f>IF($D$6=0,"",100*$D8/$D$6)</f>
        <v>2.5266515593441077</v>
      </c>
    </row>
    <row r="9" spans="2:8" ht="13.5" customHeight="1">
      <c r="B9" s="62" t="s">
        <v>20</v>
      </c>
      <c r="C9" s="32">
        <f>399027022.36</f>
        <v>399027022.36</v>
      </c>
      <c r="D9" s="71">
        <f>254000554.66</f>
        <v>254000554.66</v>
      </c>
      <c r="E9" s="32">
        <f>254049505.09</f>
        <v>254049505.09</v>
      </c>
      <c r="F9" s="33">
        <f t="shared" si="0"/>
        <v>0.9710955920242768</v>
      </c>
      <c r="G9" s="33">
        <f t="shared" si="1"/>
        <v>63.654975835406475</v>
      </c>
      <c r="H9" s="33">
        <f>IF($D$6=0,"",100*$D9/$D$6)</f>
        <v>2.6717921966368525</v>
      </c>
    </row>
    <row r="10" spans="2:8" ht="13.5" customHeight="1">
      <c r="B10" s="62" t="s">
        <v>21</v>
      </c>
      <c r="C10" s="32">
        <f>C6-C8-C7-C9</f>
        <v>5978613181.429997</v>
      </c>
      <c r="D10" s="32">
        <f>D6-D8-D7-D9</f>
        <v>4155084816.330002</v>
      </c>
      <c r="E10" s="32">
        <f>E6-E8-E7-E9</f>
        <v>4156591979.799999</v>
      </c>
      <c r="F10" s="33">
        <f t="shared" si="0"/>
        <v>15.885731253721925</v>
      </c>
      <c r="G10" s="33">
        <f t="shared" si="1"/>
        <v>69.4991411927434</v>
      </c>
      <c r="H10" s="33">
        <f>IF($D$6=0,"",100*$D10/$D$6)</f>
        <v>43.70668876489283</v>
      </c>
    </row>
    <row r="11" spans="2:8" ht="26.25" customHeight="1">
      <c r="B11" s="68" t="s">
        <v>52</v>
      </c>
      <c r="C11" s="69">
        <f>C12+C27+C29</f>
        <v>7591187198.82</v>
      </c>
      <c r="D11" s="69">
        <f>D12+D27+D29</f>
        <v>5196727105.389998</v>
      </c>
      <c r="E11" s="69">
        <f>E12+E27+E29</f>
        <v>5052288555.889999</v>
      </c>
      <c r="F11" s="70">
        <f t="shared" si="0"/>
        <v>19.868140806828055</v>
      </c>
      <c r="G11" s="70">
        <f t="shared" si="1"/>
        <v>68.45736996444766</v>
      </c>
      <c r="H11" s="72"/>
    </row>
    <row r="12" spans="2:8" ht="25.5" customHeight="1">
      <c r="B12" s="68" t="s">
        <v>45</v>
      </c>
      <c r="C12" s="69">
        <f>C13+C15+C17+C19+C21+C23+C25</f>
        <v>5941820846.7</v>
      </c>
      <c r="D12" s="69">
        <f>D13+D15+D17+D19+D21+D23+D25</f>
        <v>4354673480.69</v>
      </c>
      <c r="E12" s="69">
        <f>E13+E15+E17+E19+E21+E23+E25</f>
        <v>4237031990.12</v>
      </c>
      <c r="F12" s="70">
        <f t="shared" si="0"/>
        <v>16.648799162913896</v>
      </c>
      <c r="G12" s="70">
        <f t="shared" si="1"/>
        <v>73.28853550184908</v>
      </c>
      <c r="H12" s="36"/>
    </row>
    <row r="13" spans="2:8" ht="22.5" customHeight="1">
      <c r="B13" s="62" t="s">
        <v>9</v>
      </c>
      <c r="C13" s="32">
        <f>3308598628.13</f>
        <v>3308598628.13</v>
      </c>
      <c r="D13" s="32">
        <f>2726444670.49</f>
        <v>2726444670.49</v>
      </c>
      <c r="E13" s="32">
        <f>2651120397.41</f>
        <v>2651120397.41</v>
      </c>
      <c r="F13" s="33">
        <f t="shared" si="0"/>
        <v>10.423750471549148</v>
      </c>
      <c r="G13" s="33">
        <f t="shared" si="1"/>
        <v>82.40481777721614</v>
      </c>
      <c r="H13" s="36"/>
    </row>
    <row r="14" spans="2:8" ht="12.75">
      <c r="B14" s="73" t="s">
        <v>6</v>
      </c>
      <c r="C14" s="32">
        <f>84351771.9</f>
        <v>84351771.9</v>
      </c>
      <c r="D14" s="32">
        <f>43432018.44</f>
        <v>43432018.44</v>
      </c>
      <c r="E14" s="32">
        <f>43432018.44</f>
        <v>43432018.44</v>
      </c>
      <c r="F14" s="33">
        <f t="shared" si="0"/>
        <v>0.1660494077119552</v>
      </c>
      <c r="G14" s="33">
        <f t="shared" si="1"/>
        <v>51.48915957745281</v>
      </c>
      <c r="H14" s="36"/>
    </row>
    <row r="15" spans="2:8" ht="13.5" customHeight="1">
      <c r="B15" s="62" t="s">
        <v>7</v>
      </c>
      <c r="C15" s="32">
        <f>830820197.87</f>
        <v>830820197.87</v>
      </c>
      <c r="D15" s="32">
        <f>541414965.65</f>
        <v>541414965.65</v>
      </c>
      <c r="E15" s="32">
        <f>541420138.92</f>
        <v>541420138.92</v>
      </c>
      <c r="F15" s="33">
        <f t="shared" si="0"/>
        <v>2.069939127898636</v>
      </c>
      <c r="G15" s="33">
        <f t="shared" si="1"/>
        <v>65.16632203189603</v>
      </c>
      <c r="H15" s="36"/>
    </row>
    <row r="16" spans="2:8" ht="12.75">
      <c r="B16" s="73" t="s">
        <v>6</v>
      </c>
      <c r="C16" s="32">
        <f>109761516.52</f>
        <v>109761516.52</v>
      </c>
      <c r="D16" s="32">
        <f>31738090.39</f>
        <v>31738090.39</v>
      </c>
      <c r="E16" s="32">
        <f>31738090.39</f>
        <v>31738090.39</v>
      </c>
      <c r="F16" s="33">
        <f t="shared" si="0"/>
        <v>0.12134115107840236</v>
      </c>
      <c r="G16" s="33">
        <f t="shared" si="1"/>
        <v>28.91549916241992</v>
      </c>
      <c r="H16" s="36"/>
    </row>
    <row r="17" spans="2:8" ht="33" customHeight="1">
      <c r="B17" s="62" t="s">
        <v>10</v>
      </c>
      <c r="C17" s="32">
        <f>72130689.5</f>
        <v>72130689.5</v>
      </c>
      <c r="D17" s="32">
        <f>59782961.56</f>
        <v>59782961.56</v>
      </c>
      <c r="E17" s="32">
        <f>59306726.66</f>
        <v>59306726.66</v>
      </c>
      <c r="F17" s="33">
        <f t="shared" si="0"/>
        <v>0.22856237667190918</v>
      </c>
      <c r="G17" s="33">
        <f t="shared" si="1"/>
        <v>82.88145028753677</v>
      </c>
      <c r="H17" s="36"/>
    </row>
    <row r="18" spans="2:8" ht="12.75">
      <c r="B18" s="73" t="s">
        <v>6</v>
      </c>
      <c r="C18" s="32">
        <f>7423750</f>
        <v>7423750</v>
      </c>
      <c r="D18" s="32">
        <f>2456950</f>
        <v>2456950</v>
      </c>
      <c r="E18" s="32">
        <f>2456950</f>
        <v>2456950</v>
      </c>
      <c r="F18" s="33">
        <f t="shared" si="0"/>
        <v>0.009393417734925063</v>
      </c>
      <c r="G18" s="33">
        <f t="shared" si="1"/>
        <v>33.09580737497895</v>
      </c>
      <c r="H18" s="36"/>
    </row>
    <row r="19" spans="2:8" ht="25.5" customHeight="1">
      <c r="B19" s="62" t="s">
        <v>11</v>
      </c>
      <c r="C19" s="32">
        <f>410418860.65</f>
        <v>410418860.65</v>
      </c>
      <c r="D19" s="32">
        <f>252193670.7</f>
        <v>252193670.7</v>
      </c>
      <c r="E19" s="32">
        <f>251862259.34</f>
        <v>251862259.34</v>
      </c>
      <c r="F19" s="33">
        <f t="shared" si="0"/>
        <v>0.9641875084919234</v>
      </c>
      <c r="G19" s="33">
        <f t="shared" si="1"/>
        <v>61.44787554367965</v>
      </c>
      <c r="H19" s="36"/>
    </row>
    <row r="20" spans="2:8" ht="12.75">
      <c r="B20" s="73" t="s">
        <v>6</v>
      </c>
      <c r="C20" s="32">
        <f>79897984.33</f>
        <v>79897984.33</v>
      </c>
      <c r="D20" s="32">
        <f>19676795.2</f>
        <v>19676795.2</v>
      </c>
      <c r="E20" s="32">
        <f>19676723.86</f>
        <v>19676723.86</v>
      </c>
      <c r="F20" s="33">
        <f t="shared" si="0"/>
        <v>0.07522837542406982</v>
      </c>
      <c r="G20" s="33">
        <f t="shared" si="1"/>
        <v>24.627398757307297</v>
      </c>
      <c r="H20" s="36"/>
    </row>
    <row r="21" spans="2:8" ht="33.75">
      <c r="B21" s="62" t="s">
        <v>61</v>
      </c>
      <c r="C21" s="32">
        <f>845285118.38</f>
        <v>845285118.38</v>
      </c>
      <c r="D21" s="32">
        <f>333565399.33</f>
        <v>333565399.33</v>
      </c>
      <c r="E21" s="32">
        <f>333384844.6</f>
        <v>333384844.6</v>
      </c>
      <c r="F21" s="33">
        <f t="shared" si="0"/>
        <v>1.2752881164955667</v>
      </c>
      <c r="G21" s="33">
        <f t="shared" si="1"/>
        <v>39.46188003040707</v>
      </c>
      <c r="H21" s="36"/>
    </row>
    <row r="22" spans="2:8" ht="12.75">
      <c r="B22" s="73" t="s">
        <v>6</v>
      </c>
      <c r="C22" s="32">
        <f>703637497</f>
        <v>703637497</v>
      </c>
      <c r="D22" s="32">
        <f>257331456.5</f>
        <v>257331456.5</v>
      </c>
      <c r="E22" s="32">
        <f>257331456.5</f>
        <v>257331456.5</v>
      </c>
      <c r="F22" s="33">
        <f t="shared" si="0"/>
        <v>0.9838303047441735</v>
      </c>
      <c r="G22" s="33">
        <f t="shared" si="1"/>
        <v>36.5715951178196</v>
      </c>
      <c r="H22" s="36"/>
    </row>
    <row r="23" spans="2:8" ht="15" customHeight="1">
      <c r="B23" s="62" t="s">
        <v>8</v>
      </c>
      <c r="C23" s="32">
        <f>86313472.5</f>
        <v>86313472.5</v>
      </c>
      <c r="D23" s="32">
        <f>36846732.67</f>
        <v>36846732.67</v>
      </c>
      <c r="E23" s="32">
        <f>36756362.28</f>
        <v>36756362.28</v>
      </c>
      <c r="F23" s="33">
        <f t="shared" si="0"/>
        <v>0.14087252574794795</v>
      </c>
      <c r="G23" s="33">
        <f t="shared" si="1"/>
        <v>42.6894337613401</v>
      </c>
      <c r="H23" s="36"/>
    </row>
    <row r="24" spans="2:8" ht="12.75">
      <c r="B24" s="73" t="s">
        <v>6</v>
      </c>
      <c r="C24" s="32">
        <f>70040073.34</f>
        <v>70040073.34</v>
      </c>
      <c r="D24" s="32">
        <f>25193149.75</f>
        <v>25193149.75</v>
      </c>
      <c r="E24" s="32">
        <f>24971750.52</f>
        <v>24971750.52</v>
      </c>
      <c r="F24" s="33">
        <f t="shared" si="0"/>
        <v>0.0963185167220631</v>
      </c>
      <c r="G24" s="33">
        <f t="shared" si="1"/>
        <v>35.969622172871354</v>
      </c>
      <c r="H24" s="36"/>
    </row>
    <row r="25" spans="2:8" ht="45">
      <c r="B25" s="97" t="s">
        <v>86</v>
      </c>
      <c r="C25" s="74">
        <f>388253879.67</f>
        <v>388253879.67</v>
      </c>
      <c r="D25" s="74">
        <f>404425080.29</f>
        <v>404425080.29</v>
      </c>
      <c r="E25" s="74">
        <f>363181260.91</f>
        <v>363181260.91</v>
      </c>
      <c r="F25" s="75">
        <f t="shared" si="0"/>
        <v>1.5461990360587632</v>
      </c>
      <c r="G25" s="75">
        <f t="shared" si="1"/>
        <v>104.16510985897806</v>
      </c>
      <c r="H25" s="36"/>
    </row>
    <row r="26" spans="2:8" ht="12.75">
      <c r="B26" s="73" t="s">
        <v>6</v>
      </c>
      <c r="C26" s="32">
        <f>356387045.67</f>
        <v>356387045.67</v>
      </c>
      <c r="D26" s="32">
        <f>376099980.57</f>
        <v>376099980.57</v>
      </c>
      <c r="E26" s="32">
        <f>334925152.71</f>
        <v>334925152.71</v>
      </c>
      <c r="F26" s="33">
        <f t="shared" si="0"/>
        <v>1.4379064399321149</v>
      </c>
      <c r="G26" s="33">
        <f t="shared" si="1"/>
        <v>105.53132756633735</v>
      </c>
      <c r="H26" s="36"/>
    </row>
    <row r="27" spans="2:8" ht="13.5" customHeight="1">
      <c r="B27" s="68" t="s">
        <v>72</v>
      </c>
      <c r="C27" s="30">
        <f>146019178.76</f>
        <v>146019178.76</v>
      </c>
      <c r="D27" s="30">
        <f>59953351.22</f>
        <v>59953351.22</v>
      </c>
      <c r="E27" s="30">
        <f>53661285.44</f>
        <v>53661285.44</v>
      </c>
      <c r="F27" s="34">
        <f t="shared" si="0"/>
        <v>0.2292138108704447</v>
      </c>
      <c r="G27" s="34">
        <f t="shared" si="1"/>
        <v>41.058545684975066</v>
      </c>
      <c r="H27" s="20"/>
    </row>
    <row r="28" spans="2:8" ht="13.5" customHeight="1">
      <c r="B28" s="63" t="s">
        <v>54</v>
      </c>
      <c r="C28" s="35">
        <f>70409524.89</f>
        <v>70409524.89</v>
      </c>
      <c r="D28" s="35">
        <f>14444239.07</f>
        <v>14444239.07</v>
      </c>
      <c r="E28" s="35">
        <f>14363039.07</f>
        <v>14363039.07</v>
      </c>
      <c r="F28" s="33">
        <f t="shared" si="0"/>
        <v>0.0552232529956391</v>
      </c>
      <c r="G28" s="33">
        <f t="shared" si="1"/>
        <v>20.51460948297275</v>
      </c>
      <c r="H28" s="20"/>
    </row>
    <row r="29" spans="2:8" ht="13.5" customHeight="1">
      <c r="B29" s="68" t="s">
        <v>73</v>
      </c>
      <c r="C29" s="74">
        <f>1503347173.36</f>
        <v>1503347173.36</v>
      </c>
      <c r="D29" s="74">
        <f>782100273.479999</f>
        <v>782100273.479999</v>
      </c>
      <c r="E29" s="74">
        <f>761595280.329999</f>
        <v>761595280.329999</v>
      </c>
      <c r="F29" s="75">
        <f t="shared" si="0"/>
        <v>2.990127833043718</v>
      </c>
      <c r="G29" s="75">
        <f t="shared" si="1"/>
        <v>52.02392949141581</v>
      </c>
      <c r="H29" s="20"/>
    </row>
    <row r="30" spans="2:8" ht="10.5" customHeight="1">
      <c r="B30" s="63" t="s">
        <v>70</v>
      </c>
      <c r="C30" s="35">
        <f>851759111.14</f>
        <v>851759111.14</v>
      </c>
      <c r="D30" s="35">
        <f>361644840.65</f>
        <v>361644840.65</v>
      </c>
      <c r="E30" s="35">
        <f>359492867.94</f>
        <v>359492867.94</v>
      </c>
      <c r="F30" s="33">
        <f t="shared" si="0"/>
        <v>1.3826415107779395</v>
      </c>
      <c r="G30" s="33">
        <f t="shared" si="1"/>
        <v>42.45858200048746</v>
      </c>
      <c r="H30" s="20"/>
    </row>
    <row r="31" spans="2:8" s="5" customFormat="1" ht="23.25" customHeight="1">
      <c r="B31" s="61" t="s">
        <v>46</v>
      </c>
      <c r="C31" s="30">
        <f>C32+C33+C34+C35</f>
        <v>13917493999</v>
      </c>
      <c r="D31" s="30">
        <f>D32+D33+D34+D35</f>
        <v>11452606283</v>
      </c>
      <c r="E31" s="30">
        <f>E32+E33+E34+E35</f>
        <v>10651571941</v>
      </c>
      <c r="F31" s="31">
        <f t="shared" si="0"/>
        <v>43.785634616026535</v>
      </c>
      <c r="G31" s="31">
        <f t="shared" si="1"/>
        <v>82.2892848656726</v>
      </c>
      <c r="H31" s="21"/>
    </row>
    <row r="32" spans="2:8" ht="11.25" customHeight="1">
      <c r="B32" s="62" t="s">
        <v>33</v>
      </c>
      <c r="C32" s="32">
        <f>10145602467</f>
        <v>10145602467</v>
      </c>
      <c r="D32" s="32">
        <f>8594084228</f>
        <v>8594084228</v>
      </c>
      <c r="E32" s="32">
        <f>7793049886</f>
        <v>7793049886</v>
      </c>
      <c r="F32" s="33">
        <f t="shared" si="0"/>
        <v>32.856925538873384</v>
      </c>
      <c r="G32" s="33">
        <f t="shared" si="1"/>
        <v>84.70748046706412</v>
      </c>
      <c r="H32" s="20"/>
    </row>
    <row r="33" spans="2:8" ht="10.5" customHeight="1">
      <c r="B33" s="62" t="s">
        <v>32</v>
      </c>
      <c r="C33" s="32">
        <f>785723601</f>
        <v>785723601</v>
      </c>
      <c r="D33" s="32">
        <f>589266711</f>
        <v>589266711</v>
      </c>
      <c r="E33" s="32">
        <f>589266711</f>
        <v>589266711</v>
      </c>
      <c r="F33" s="33">
        <f t="shared" si="0"/>
        <v>2.2528860472164114</v>
      </c>
      <c r="G33" s="33">
        <f t="shared" si="1"/>
        <v>74.99669225285241</v>
      </c>
      <c r="H33" s="20"/>
    </row>
    <row r="34" spans="2:8" ht="11.25" customHeight="1">
      <c r="B34" s="62" t="s">
        <v>34</v>
      </c>
      <c r="C34" s="32">
        <f>2867650575</f>
        <v>2867650575</v>
      </c>
      <c r="D34" s="32">
        <f>2150738037</f>
        <v>2150738037</v>
      </c>
      <c r="E34" s="32">
        <f>2150738037</f>
        <v>2150738037</v>
      </c>
      <c r="F34" s="33">
        <f t="shared" si="0"/>
        <v>8.222707348514913</v>
      </c>
      <c r="G34" s="33">
        <f t="shared" si="1"/>
        <v>75.00000368768778</v>
      </c>
      <c r="H34" s="20"/>
    </row>
    <row r="35" spans="2:8" s="5" customFormat="1" ht="12" customHeight="1">
      <c r="B35" s="62" t="s">
        <v>31</v>
      </c>
      <c r="C35" s="32">
        <f>118517356</f>
        <v>118517356</v>
      </c>
      <c r="D35" s="32">
        <f>118517307</f>
        <v>118517307</v>
      </c>
      <c r="E35" s="32">
        <f>118517307</f>
        <v>118517307</v>
      </c>
      <c r="F35" s="33">
        <f t="shared" si="0"/>
        <v>0.4531156814218272</v>
      </c>
      <c r="G35" s="33">
        <f t="shared" si="1"/>
        <v>99.99995865584447</v>
      </c>
      <c r="H35" s="21"/>
    </row>
    <row r="36" spans="2:7" s="5" customFormat="1" ht="12.75">
      <c r="B36" s="76" t="s">
        <v>5</v>
      </c>
      <c r="C36" s="74">
        <f>+C5</f>
        <v>34494569677.31</v>
      </c>
      <c r="D36" s="74">
        <f>+D5</f>
        <v>26156081517.22</v>
      </c>
      <c r="E36" s="74">
        <f>+E5</f>
        <v>24792066845.12</v>
      </c>
      <c r="F36" s="75">
        <f>IF($D$5=0,"",100*$D36/$D$36)</f>
        <v>100</v>
      </c>
      <c r="G36" s="75">
        <f t="shared" si="1"/>
        <v>75.82666420223549</v>
      </c>
    </row>
    <row r="37" spans="2:7" s="5" customFormat="1" ht="13.5" customHeight="1">
      <c r="B37" s="62" t="s">
        <v>55</v>
      </c>
      <c r="C37" s="32">
        <f>4150677334.81</f>
        <v>4150677334.81</v>
      </c>
      <c r="D37" s="32">
        <f>1993265687.36</f>
        <v>1993265687.36</v>
      </c>
      <c r="E37" s="32">
        <f>1944287010.14</f>
        <v>1944287010.14</v>
      </c>
      <c r="F37" s="33">
        <f>IF($D$5=0,"",100*$D37/$D$36)</f>
        <v>7.620658645094536</v>
      </c>
      <c r="G37" s="33">
        <f t="shared" si="1"/>
        <v>48.02266055815305</v>
      </c>
    </row>
    <row r="38" spans="1:13" s="5" customFormat="1" ht="14.25" customHeight="1">
      <c r="A38" s="2"/>
      <c r="B38" s="62" t="s">
        <v>56</v>
      </c>
      <c r="C38" s="32">
        <f>C36-C37</f>
        <v>30343892342.499996</v>
      </c>
      <c r="D38" s="32">
        <f>D36-D37</f>
        <v>24162815829.86</v>
      </c>
      <c r="E38" s="32">
        <f>E36-E37</f>
        <v>22847779834.98</v>
      </c>
      <c r="F38" s="33">
        <f>IF($D$5=0,"",100*$D38/$D$36)</f>
        <v>92.37934135490546</v>
      </c>
      <c r="G38" s="33">
        <f t="shared" si="1"/>
        <v>79.6299154937921</v>
      </c>
      <c r="I38" s="15"/>
      <c r="J38" s="15"/>
      <c r="K38" s="9"/>
      <c r="L38" s="9"/>
      <c r="M38" s="3"/>
    </row>
    <row r="39" spans="2:13" ht="32.25" customHeight="1">
      <c r="B39" s="107" t="s">
        <v>87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2:13" s="5" customFormat="1" ht="9" customHeight="1">
      <c r="B40" s="6"/>
      <c r="C40" s="7"/>
      <c r="D40" s="8"/>
      <c r="E40" s="8"/>
      <c r="F40" s="4"/>
      <c r="G40" s="4"/>
      <c r="H40" s="4"/>
      <c r="I40" s="4"/>
      <c r="J40" s="4"/>
      <c r="K40" s="9"/>
      <c r="L40" s="9"/>
      <c r="M40" s="3"/>
    </row>
    <row r="41" spans="2:27" ht="29.25" customHeight="1">
      <c r="B41" s="122" t="s">
        <v>0</v>
      </c>
      <c r="C41" s="108" t="s">
        <v>40</v>
      </c>
      <c r="D41" s="108" t="s">
        <v>41</v>
      </c>
      <c r="E41" s="108" t="s">
        <v>42</v>
      </c>
      <c r="F41" s="108" t="s">
        <v>12</v>
      </c>
      <c r="G41" s="108"/>
      <c r="H41" s="108"/>
      <c r="I41" s="108" t="s">
        <v>71</v>
      </c>
      <c r="J41" s="108"/>
      <c r="K41" s="108" t="s">
        <v>2</v>
      </c>
      <c r="L41" s="121" t="s">
        <v>27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8" customHeight="1">
      <c r="B42" s="122"/>
      <c r="C42" s="108"/>
      <c r="D42" s="106"/>
      <c r="E42" s="108"/>
      <c r="F42" s="101" t="s">
        <v>43</v>
      </c>
      <c r="G42" s="111" t="s">
        <v>25</v>
      </c>
      <c r="H42" s="106"/>
      <c r="I42" s="108"/>
      <c r="J42" s="108"/>
      <c r="K42" s="108"/>
      <c r="L42" s="121"/>
      <c r="M42" s="11"/>
      <c r="N42" s="12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36" customHeight="1">
      <c r="B43" s="122"/>
      <c r="C43" s="108"/>
      <c r="D43" s="106"/>
      <c r="E43" s="108"/>
      <c r="F43" s="106"/>
      <c r="G43" s="17" t="s">
        <v>38</v>
      </c>
      <c r="H43" s="17" t="s">
        <v>39</v>
      </c>
      <c r="I43" s="108"/>
      <c r="J43" s="108"/>
      <c r="K43" s="108"/>
      <c r="L43" s="121"/>
      <c r="M43" s="11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ht="13.5" customHeight="1">
      <c r="B44" s="122"/>
      <c r="C44" s="112" t="s">
        <v>60</v>
      </c>
      <c r="D44" s="112"/>
      <c r="E44" s="112"/>
      <c r="F44" s="112"/>
      <c r="G44" s="112"/>
      <c r="H44" s="112"/>
      <c r="I44" s="112"/>
      <c r="J44" s="112"/>
      <c r="K44" s="112" t="s">
        <v>4</v>
      </c>
      <c r="L44" s="112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2:27" ht="11.25" customHeight="1">
      <c r="B45" s="16">
        <v>1</v>
      </c>
      <c r="C45" s="18">
        <v>2</v>
      </c>
      <c r="D45" s="18">
        <v>3</v>
      </c>
      <c r="E45" s="18">
        <v>4</v>
      </c>
      <c r="F45" s="16">
        <v>5</v>
      </c>
      <c r="G45" s="16">
        <v>6</v>
      </c>
      <c r="H45" s="18">
        <v>7</v>
      </c>
      <c r="I45" s="106">
        <v>8</v>
      </c>
      <c r="J45" s="106"/>
      <c r="K45" s="16">
        <v>9</v>
      </c>
      <c r="L45" s="18">
        <v>10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2:12" ht="25.5" customHeight="1">
      <c r="B46" s="77" t="s">
        <v>47</v>
      </c>
      <c r="C46" s="78">
        <f>37895613845.55</f>
        <v>37895613845.55</v>
      </c>
      <c r="D46" s="78">
        <f>30391718977.9</f>
        <v>30391718977.9</v>
      </c>
      <c r="E46" s="78">
        <f>22618569727.63</f>
        <v>22618569727.63</v>
      </c>
      <c r="F46" s="78">
        <f>827886792.45</f>
        <v>827886792.45</v>
      </c>
      <c r="G46" s="78">
        <f>404420.92</f>
        <v>404420.92</v>
      </c>
      <c r="H46" s="78">
        <f>1276383.89</f>
        <v>1276383.89</v>
      </c>
      <c r="I46" s="115">
        <f>0</f>
        <v>0</v>
      </c>
      <c r="J46" s="115"/>
      <c r="K46" s="55">
        <f aca="true" t="shared" si="2" ref="K46:K55">IF($E$46=0,"",100*$E46/$E$46)</f>
        <v>100</v>
      </c>
      <c r="L46" s="55">
        <f aca="true" t="shared" si="3" ref="L46:L55">IF(C46=0,"",100*E46/C46)</f>
        <v>59.68651100313565</v>
      </c>
    </row>
    <row r="47" spans="2:12" ht="12.75">
      <c r="B47" s="29" t="s">
        <v>14</v>
      </c>
      <c r="C47" s="39">
        <f>8114813842.07</f>
        <v>8114813842.07</v>
      </c>
      <c r="D47" s="39">
        <f>4790255845.19</f>
        <v>4790255845.19</v>
      </c>
      <c r="E47" s="39">
        <f>2118394458.04</f>
        <v>2118394458.04</v>
      </c>
      <c r="F47" s="39">
        <f>213583456.14</f>
        <v>213583456.14</v>
      </c>
      <c r="G47" s="39">
        <f>0</f>
        <v>0</v>
      </c>
      <c r="H47" s="39">
        <f>0</f>
        <v>0</v>
      </c>
      <c r="I47" s="116">
        <f>0</f>
        <v>0</v>
      </c>
      <c r="J47" s="117"/>
      <c r="K47" s="40">
        <f t="shared" si="2"/>
        <v>9.365731271028373</v>
      </c>
      <c r="L47" s="40">
        <f t="shared" si="3"/>
        <v>26.105274862345098</v>
      </c>
    </row>
    <row r="48" spans="2:12" ht="22.5" customHeight="1">
      <c r="B48" s="19" t="s">
        <v>13</v>
      </c>
      <c r="C48" s="35">
        <f>8016264277.27</f>
        <v>8016264277.27</v>
      </c>
      <c r="D48" s="35">
        <f>4734202864.11</f>
        <v>4734202864.11</v>
      </c>
      <c r="E48" s="35">
        <f>2062641476.96</f>
        <v>2062641476.96</v>
      </c>
      <c r="F48" s="35">
        <f>213583456.14</f>
        <v>213583456.14</v>
      </c>
      <c r="G48" s="35">
        <f>0</f>
        <v>0</v>
      </c>
      <c r="H48" s="35">
        <f>0</f>
        <v>0</v>
      </c>
      <c r="I48" s="109">
        <f>0</f>
        <v>0</v>
      </c>
      <c r="J48" s="110"/>
      <c r="K48" s="41">
        <f t="shared" si="2"/>
        <v>9.119239199463413</v>
      </c>
      <c r="L48" s="41">
        <f t="shared" si="3"/>
        <v>25.730707042787866</v>
      </c>
    </row>
    <row r="49" spans="2:12" ht="25.5" customHeight="1">
      <c r="B49" s="29" t="s">
        <v>48</v>
      </c>
      <c r="C49" s="39">
        <f aca="true" t="shared" si="4" ref="C49:I49">C46-C47</f>
        <v>29780800003.480003</v>
      </c>
      <c r="D49" s="39">
        <f t="shared" si="4"/>
        <v>25601463132.710003</v>
      </c>
      <c r="E49" s="39">
        <f t="shared" si="4"/>
        <v>20500175269.59</v>
      </c>
      <c r="F49" s="39">
        <f t="shared" si="4"/>
        <v>614303336.3100001</v>
      </c>
      <c r="G49" s="39">
        <f t="shared" si="4"/>
        <v>404420.92</v>
      </c>
      <c r="H49" s="39">
        <f t="shared" si="4"/>
        <v>1276383.89</v>
      </c>
      <c r="I49" s="116">
        <f t="shared" si="4"/>
        <v>0</v>
      </c>
      <c r="J49" s="116"/>
      <c r="K49" s="40">
        <f t="shared" si="2"/>
        <v>90.63426872897162</v>
      </c>
      <c r="L49" s="40">
        <f t="shared" si="3"/>
        <v>68.83688573575752</v>
      </c>
    </row>
    <row r="50" spans="2:12" ht="22.5">
      <c r="B50" s="19" t="s">
        <v>84</v>
      </c>
      <c r="C50" s="35">
        <f>18115224778.86</f>
        <v>18115224778.86</v>
      </c>
      <c r="D50" s="35">
        <f>16868690009.14</f>
        <v>16868690009.14</v>
      </c>
      <c r="E50" s="35">
        <f>13244186019.91</f>
        <v>13244186019.91</v>
      </c>
      <c r="F50" s="35">
        <f>362422573.03</f>
        <v>362422573.03</v>
      </c>
      <c r="G50" s="35">
        <f>0</f>
        <v>0</v>
      </c>
      <c r="H50" s="35">
        <f>400157.4</f>
        <v>400157.4</v>
      </c>
      <c r="I50" s="109">
        <f>0</f>
        <v>0</v>
      </c>
      <c r="J50" s="110"/>
      <c r="K50" s="41">
        <f t="shared" si="2"/>
        <v>58.554480585619864</v>
      </c>
      <c r="L50" s="41">
        <f t="shared" si="3"/>
        <v>73.11080144788279</v>
      </c>
    </row>
    <row r="51" spans="2:12" ht="13.5" customHeight="1">
      <c r="B51" s="22" t="s">
        <v>37</v>
      </c>
      <c r="C51" s="79">
        <f>2291032764.13</f>
        <v>2291032764.13</v>
      </c>
      <c r="D51" s="79">
        <f>1914411442.25</f>
        <v>1914411442.25</v>
      </c>
      <c r="E51" s="79">
        <f>1621109026.3</f>
        <v>1621109026.3</v>
      </c>
      <c r="F51" s="79">
        <f>1511306.29</f>
        <v>1511306.29</v>
      </c>
      <c r="G51" s="79">
        <f>0</f>
        <v>0</v>
      </c>
      <c r="H51" s="79">
        <f>301300.33</f>
        <v>301300.33</v>
      </c>
      <c r="I51" s="98">
        <f>0</f>
        <v>0</v>
      </c>
      <c r="J51" s="98"/>
      <c r="K51" s="80">
        <f t="shared" si="2"/>
        <v>7.167159753340697</v>
      </c>
      <c r="L51" s="80">
        <f t="shared" si="3"/>
        <v>70.75887572108128</v>
      </c>
    </row>
    <row r="52" spans="2:12" ht="13.5" customHeight="1">
      <c r="B52" s="22" t="s">
        <v>36</v>
      </c>
      <c r="C52" s="32">
        <f>150260932.72</f>
        <v>150260932.72</v>
      </c>
      <c r="D52" s="32">
        <f>77243415.54</f>
        <v>77243415.54</v>
      </c>
      <c r="E52" s="32">
        <f>56265251.47</f>
        <v>56265251.47</v>
      </c>
      <c r="F52" s="32">
        <f>2901850.96</f>
        <v>2901850.96</v>
      </c>
      <c r="G52" s="32">
        <f>0</f>
        <v>0</v>
      </c>
      <c r="H52" s="32">
        <f>0</f>
        <v>0</v>
      </c>
      <c r="I52" s="120">
        <f>0</f>
        <v>0</v>
      </c>
      <c r="J52" s="120"/>
      <c r="K52" s="80">
        <f t="shared" si="2"/>
        <v>0.24875689377152999</v>
      </c>
      <c r="L52" s="80">
        <f t="shared" si="3"/>
        <v>37.44503008965483</v>
      </c>
    </row>
    <row r="53" spans="2:12" ht="22.5" customHeight="1">
      <c r="B53" s="22" t="s">
        <v>51</v>
      </c>
      <c r="C53" s="79">
        <f>45407494.96</f>
        <v>45407494.96</v>
      </c>
      <c r="D53" s="79">
        <f>5963810.29</f>
        <v>5963810.29</v>
      </c>
      <c r="E53" s="79">
        <f>2843763.55</f>
        <v>2843763.55</v>
      </c>
      <c r="F53" s="79">
        <f>51000</f>
        <v>51000</v>
      </c>
      <c r="G53" s="79">
        <f>0</f>
        <v>0</v>
      </c>
      <c r="H53" s="79">
        <f>0</f>
        <v>0</v>
      </c>
      <c r="I53" s="98">
        <f>0</f>
        <v>0</v>
      </c>
      <c r="J53" s="98"/>
      <c r="K53" s="80">
        <f t="shared" si="2"/>
        <v>0.012572693960070182</v>
      </c>
      <c r="L53" s="80">
        <f t="shared" si="3"/>
        <v>6.262762463564892</v>
      </c>
    </row>
    <row r="54" spans="2:12" ht="22.5" customHeight="1">
      <c r="B54" s="22" t="s">
        <v>53</v>
      </c>
      <c r="C54" s="79">
        <f>1229517438.39</f>
        <v>1229517438.39</v>
      </c>
      <c r="D54" s="79">
        <f>1009120065.53</f>
        <v>1009120065.53</v>
      </c>
      <c r="E54" s="79">
        <f>854518455.970001</f>
        <v>854518455.970001</v>
      </c>
      <c r="F54" s="79">
        <f>12556976.49</f>
        <v>12556976.49</v>
      </c>
      <c r="G54" s="79">
        <f>0</f>
        <v>0</v>
      </c>
      <c r="H54" s="79">
        <f>160469.29</f>
        <v>160469.29</v>
      </c>
      <c r="I54" s="118">
        <f>0</f>
        <v>0</v>
      </c>
      <c r="J54" s="119"/>
      <c r="K54" s="80">
        <f t="shared" si="2"/>
        <v>3.7779508884072057</v>
      </c>
      <c r="L54" s="80">
        <f t="shared" si="3"/>
        <v>69.50031201582271</v>
      </c>
    </row>
    <row r="55" spans="2:12" ht="13.5" customHeight="1">
      <c r="B55" s="19" t="s">
        <v>35</v>
      </c>
      <c r="C55" s="35">
        <f aca="true" t="shared" si="5" ref="C55:I55">C49-C50-C51-C52-C53-C54</f>
        <v>7949356594.420003</v>
      </c>
      <c r="D55" s="35">
        <f t="shared" si="5"/>
        <v>5726034389.960004</v>
      </c>
      <c r="E55" s="35">
        <f t="shared" si="5"/>
        <v>4721252752.389998</v>
      </c>
      <c r="F55" s="35">
        <f t="shared" si="5"/>
        <v>234859629.54000008</v>
      </c>
      <c r="G55" s="35">
        <f t="shared" si="5"/>
        <v>404420.92</v>
      </c>
      <c r="H55" s="35">
        <f t="shared" si="5"/>
        <v>414456.8699999999</v>
      </c>
      <c r="I55" s="99">
        <f t="shared" si="5"/>
        <v>0</v>
      </c>
      <c r="J55" s="100"/>
      <c r="K55" s="41">
        <f t="shared" si="2"/>
        <v>20.873347913872255</v>
      </c>
      <c r="L55" s="41">
        <f t="shared" si="3"/>
        <v>59.39163372925111</v>
      </c>
    </row>
    <row r="56" spans="2:13" ht="12.75">
      <c r="B56" s="77" t="s">
        <v>15</v>
      </c>
      <c r="C56" s="85">
        <f>C5-C46</f>
        <v>-3401044168.2400055</v>
      </c>
      <c r="D56" s="85"/>
      <c r="E56" s="85">
        <f>D5-E46</f>
        <v>3537511789.59</v>
      </c>
      <c r="F56" s="85"/>
      <c r="G56" s="85"/>
      <c r="H56" s="85"/>
      <c r="I56" s="116"/>
      <c r="J56" s="116"/>
      <c r="K56" s="89"/>
      <c r="L56" s="89"/>
      <c r="M56" s="13"/>
    </row>
    <row r="57" spans="2:13" ht="39" customHeight="1">
      <c r="B57" s="86" t="s">
        <v>74</v>
      </c>
      <c r="C57" s="87">
        <f>C38-C49</f>
        <v>563092339.0199928</v>
      </c>
      <c r="D57" s="88"/>
      <c r="E57" s="87">
        <f>D38-E49</f>
        <v>3662640560.2700005</v>
      </c>
      <c r="F57" s="88"/>
      <c r="G57" s="88"/>
      <c r="H57" s="88"/>
      <c r="I57" s="88"/>
      <c r="J57" s="88"/>
      <c r="K57" s="42"/>
      <c r="L57" s="43"/>
      <c r="M57" s="10"/>
    </row>
    <row r="58" spans="2:13" ht="12" customHeight="1" thickBot="1">
      <c r="B58" s="37"/>
      <c r="C58" s="44"/>
      <c r="D58" s="44"/>
      <c r="E58" s="44"/>
      <c r="F58" s="45"/>
      <c r="G58" s="45"/>
      <c r="H58" s="45"/>
      <c r="I58" s="45"/>
      <c r="J58" s="42"/>
      <c r="K58" s="42"/>
      <c r="L58" s="43"/>
      <c r="M58" s="10"/>
    </row>
    <row r="59" spans="2:13" ht="12" customHeight="1" thickBot="1">
      <c r="B59" s="38" t="s">
        <v>57</v>
      </c>
      <c r="C59" s="44"/>
      <c r="D59" s="44"/>
      <c r="E59" s="44"/>
      <c r="F59" s="45"/>
      <c r="G59" s="45"/>
      <c r="H59" s="45"/>
      <c r="I59" s="45"/>
      <c r="J59" s="42"/>
      <c r="K59" s="42"/>
      <c r="L59" s="43"/>
      <c r="M59" s="10"/>
    </row>
    <row r="60" spans="2:13" ht="30" customHeight="1" thickBot="1">
      <c r="B60" s="84" t="s">
        <v>75</v>
      </c>
      <c r="C60" s="81">
        <f>2374146482.74</f>
        <v>2374146482.74</v>
      </c>
      <c r="D60" s="81">
        <f>1465355581</f>
        <v>1465355581</v>
      </c>
      <c r="E60" s="81">
        <f>980724356.080002</f>
        <v>980724356.080002</v>
      </c>
      <c r="F60" s="81">
        <f>41316792.81</f>
        <v>41316792.81</v>
      </c>
      <c r="G60" s="81">
        <f>0</f>
        <v>0</v>
      </c>
      <c r="H60" s="81">
        <f>0</f>
        <v>0</v>
      </c>
      <c r="I60" s="81">
        <f>0</f>
        <v>0</v>
      </c>
      <c r="J60" s="81">
        <f>0</f>
        <v>0</v>
      </c>
      <c r="K60" s="55">
        <f>IF($E$46=0,"",100*$E60/$E$60)</f>
        <v>100</v>
      </c>
      <c r="L60" s="82">
        <f>IF(C60=0,"",100*E60/C60)</f>
        <v>41.308502369582065</v>
      </c>
      <c r="M60" s="10"/>
    </row>
    <row r="61" spans="2:12" ht="13.5" thickBot="1">
      <c r="B61" s="83" t="s">
        <v>58</v>
      </c>
      <c r="C61" s="79">
        <f>1264205196.41</f>
        <v>1264205196.41</v>
      </c>
      <c r="D61" s="79">
        <f>810708655.76</f>
        <v>810708655.76</v>
      </c>
      <c r="E61" s="79">
        <f>465415498.74</f>
        <v>465415498.74</v>
      </c>
      <c r="F61" s="79">
        <f>30165683.84</f>
        <v>30165683.84</v>
      </c>
      <c r="G61" s="79">
        <f>0</f>
        <v>0</v>
      </c>
      <c r="H61" s="79">
        <f>0</f>
        <v>0</v>
      </c>
      <c r="I61" s="79">
        <f>0</f>
        <v>0</v>
      </c>
      <c r="J61" s="79">
        <f>0</f>
        <v>0</v>
      </c>
      <c r="K61" s="80">
        <f>IF($E$46=0,"",100*$E61/$E$60)</f>
        <v>47.45630062663948</v>
      </c>
      <c r="L61" s="80">
        <f>IF(C61=0,"",100*E61/C61)</f>
        <v>36.81486993263861</v>
      </c>
    </row>
    <row r="62" spans="2:12" ht="13.5" thickBot="1">
      <c r="B62" s="83" t="s">
        <v>59</v>
      </c>
      <c r="C62" s="79">
        <f>C60-C61</f>
        <v>1109941286.3299997</v>
      </c>
      <c r="D62" s="79">
        <f aca="true" t="shared" si="6" ref="D62:J62">D60-D61</f>
        <v>654646925.24</v>
      </c>
      <c r="E62" s="79">
        <f t="shared" si="6"/>
        <v>515308857.34000194</v>
      </c>
      <c r="F62" s="79">
        <f t="shared" si="6"/>
        <v>11151108.970000003</v>
      </c>
      <c r="G62" s="79">
        <f t="shared" si="6"/>
        <v>0</v>
      </c>
      <c r="H62" s="79">
        <f t="shared" si="6"/>
        <v>0</v>
      </c>
      <c r="I62" s="79">
        <f t="shared" si="6"/>
        <v>0</v>
      </c>
      <c r="J62" s="79">
        <f t="shared" si="6"/>
        <v>0</v>
      </c>
      <c r="K62" s="80">
        <f>IF($E$46=0,"",100*$E62/$E$60)</f>
        <v>52.54369937336051</v>
      </c>
      <c r="L62" s="80">
        <f>IF(C62=0,"",100*E62/C62)</f>
        <v>46.426677130270654</v>
      </c>
    </row>
    <row r="63" spans="2:13" ht="25.5" customHeight="1">
      <c r="B63" s="107" t="s">
        <v>87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2:8" ht="12.75">
      <c r="B64" s="26" t="s">
        <v>16</v>
      </c>
      <c r="C64" s="113" t="s">
        <v>17</v>
      </c>
      <c r="D64" s="114"/>
      <c r="E64" s="113" t="s">
        <v>1</v>
      </c>
      <c r="F64" s="114"/>
      <c r="G64" s="18" t="s">
        <v>22</v>
      </c>
      <c r="H64" s="18" t="s">
        <v>23</v>
      </c>
    </row>
    <row r="65" spans="2:8" ht="12.75">
      <c r="B65" s="26"/>
      <c r="C65" s="101" t="s">
        <v>60</v>
      </c>
      <c r="D65" s="102"/>
      <c r="E65" s="102"/>
      <c r="F65" s="103"/>
      <c r="G65" s="104" t="s">
        <v>4</v>
      </c>
      <c r="H65" s="105"/>
    </row>
    <row r="66" spans="2:8" ht="12.75">
      <c r="B66" s="24">
        <v>1</v>
      </c>
      <c r="C66" s="27">
        <v>2</v>
      </c>
      <c r="D66" s="28"/>
      <c r="E66" s="27">
        <v>3</v>
      </c>
      <c r="F66" s="28"/>
      <c r="G66" s="25">
        <v>4</v>
      </c>
      <c r="H66" s="25">
        <v>5</v>
      </c>
    </row>
    <row r="67" spans="2:8" ht="22.5">
      <c r="B67" s="65" t="s">
        <v>49</v>
      </c>
      <c r="C67" s="46">
        <f>4368661701.42</f>
        <v>4368661701.42</v>
      </c>
      <c r="D67" s="47"/>
      <c r="E67" s="46">
        <f>5303299182.83</f>
        <v>5303299182.83</v>
      </c>
      <c r="F67" s="47"/>
      <c r="G67" s="48">
        <f>IF($E$67=0,"",100*$E67/$E$67)</f>
        <v>100</v>
      </c>
      <c r="H67" s="40">
        <f>IF(C67=0,"",100*E67/C67)</f>
        <v>121.39413727334856</v>
      </c>
    </row>
    <row r="68" spans="2:8" ht="25.5" customHeight="1">
      <c r="B68" s="66" t="s">
        <v>76</v>
      </c>
      <c r="C68" s="49">
        <f>788413544.68</f>
        <v>788413544.68</v>
      </c>
      <c r="D68" s="50"/>
      <c r="E68" s="49">
        <f>76394021.26</f>
        <v>76394021.26</v>
      </c>
      <c r="F68" s="50"/>
      <c r="G68" s="51">
        <f aca="true" t="shared" si="7" ref="G68:G75">IF($E$67=0,"",100*$E68/$E$67)</f>
        <v>1.4404999345941834</v>
      </c>
      <c r="H68" s="52">
        <f aca="true" t="shared" si="8" ref="H68:H80">IF(C68=0,"",100*E68/C68)</f>
        <v>9.689587625109446</v>
      </c>
    </row>
    <row r="69" spans="2:8" ht="24" customHeight="1">
      <c r="B69" s="90" t="s">
        <v>77</v>
      </c>
      <c r="C69" s="91">
        <f>44403000</f>
        <v>44403000</v>
      </c>
      <c r="D69" s="92"/>
      <c r="E69" s="91">
        <f>0</f>
        <v>0</v>
      </c>
      <c r="F69" s="92"/>
      <c r="G69" s="93">
        <f t="shared" si="7"/>
        <v>0</v>
      </c>
      <c r="H69" s="94">
        <f t="shared" si="8"/>
        <v>0</v>
      </c>
    </row>
    <row r="70" spans="2:8" ht="12.75">
      <c r="B70" s="95" t="s">
        <v>78</v>
      </c>
      <c r="C70" s="91">
        <f>52066200.72</f>
        <v>52066200.72</v>
      </c>
      <c r="D70" s="92"/>
      <c r="E70" s="91">
        <f>16533370.27</f>
        <v>16533370.27</v>
      </c>
      <c r="F70" s="92"/>
      <c r="G70" s="93">
        <f t="shared" si="7"/>
        <v>0.31175631809588567</v>
      </c>
      <c r="H70" s="94">
        <f t="shared" si="8"/>
        <v>31.754516445155364</v>
      </c>
    </row>
    <row r="71" spans="2:8" ht="16.5" customHeight="1">
      <c r="B71" s="95" t="s">
        <v>79</v>
      </c>
      <c r="C71" s="91">
        <f>395497010.26</f>
        <v>395497010.26</v>
      </c>
      <c r="D71" s="92"/>
      <c r="E71" s="91">
        <f>882740343.93</f>
        <v>882740343.93</v>
      </c>
      <c r="F71" s="92"/>
      <c r="G71" s="93">
        <f t="shared" si="7"/>
        <v>16.64511681309564</v>
      </c>
      <c r="H71" s="94">
        <f t="shared" si="8"/>
        <v>223.19772868818552</v>
      </c>
    </row>
    <row r="72" spans="2:8" ht="54" customHeight="1">
      <c r="B72" s="95" t="s">
        <v>85</v>
      </c>
      <c r="C72" s="91">
        <f>1668933600.11</f>
        <v>1668933600.11</v>
      </c>
      <c r="D72" s="92"/>
      <c r="E72" s="91">
        <f>2019818999.52</f>
        <v>2019818999.52</v>
      </c>
      <c r="F72" s="92"/>
      <c r="G72" s="93">
        <f t="shared" si="7"/>
        <v>38.08608433895981</v>
      </c>
      <c r="H72" s="94">
        <f t="shared" si="8"/>
        <v>121.02452724223859</v>
      </c>
    </row>
    <row r="73" spans="2:8" ht="12.75">
      <c r="B73" s="95" t="s">
        <v>80</v>
      </c>
      <c r="C73" s="91">
        <f>0</f>
        <v>0</v>
      </c>
      <c r="D73" s="92"/>
      <c r="E73" s="91">
        <f>0</f>
        <v>0</v>
      </c>
      <c r="F73" s="92"/>
      <c r="G73" s="93">
        <f t="shared" si="7"/>
        <v>0</v>
      </c>
      <c r="H73" s="94">
        <f t="shared" si="8"/>
      </c>
    </row>
    <row r="74" spans="2:8" ht="33.75">
      <c r="B74" s="95" t="s">
        <v>62</v>
      </c>
      <c r="C74" s="91">
        <f>1436720323.94</f>
        <v>1436720323.94</v>
      </c>
      <c r="D74" s="92"/>
      <c r="E74" s="91">
        <f>2282781426.14</f>
        <v>2282781426.14</v>
      </c>
      <c r="F74" s="92"/>
      <c r="G74" s="93">
        <f t="shared" si="7"/>
        <v>43.04455297432115</v>
      </c>
      <c r="H74" s="94">
        <f t="shared" si="8"/>
        <v>158.88836456909013</v>
      </c>
    </row>
    <row r="75" spans="2:8" ht="12.75">
      <c r="B75" s="90" t="s">
        <v>63</v>
      </c>
      <c r="C75" s="91">
        <f>27031021.71</f>
        <v>27031021.71</v>
      </c>
      <c r="D75" s="92"/>
      <c r="E75" s="91">
        <f>25031021.71</f>
        <v>25031021.71</v>
      </c>
      <c r="F75" s="92"/>
      <c r="G75" s="93">
        <f t="shared" si="7"/>
        <v>0.4719896209333356</v>
      </c>
      <c r="H75" s="94">
        <f t="shared" si="8"/>
        <v>92.60109358256292</v>
      </c>
    </row>
    <row r="76" spans="2:8" ht="22.5">
      <c r="B76" s="65" t="s">
        <v>50</v>
      </c>
      <c r="C76" s="58">
        <f>947739104.3</f>
        <v>947739104.3</v>
      </c>
      <c r="D76" s="59"/>
      <c r="E76" s="58">
        <f>599490767.45</f>
        <v>599490767.45</v>
      </c>
      <c r="F76" s="59"/>
      <c r="G76" s="48">
        <f>IF($E$76=0,"",100*$E76/$E$76)</f>
        <v>100</v>
      </c>
      <c r="H76" s="40">
        <f t="shared" si="8"/>
        <v>63.254830863266314</v>
      </c>
    </row>
    <row r="77" spans="2:8" ht="33.75" customHeight="1">
      <c r="B77" s="66" t="s">
        <v>83</v>
      </c>
      <c r="C77" s="49">
        <f>799240875.14</f>
        <v>799240875.14</v>
      </c>
      <c r="D77" s="57"/>
      <c r="E77" s="56">
        <f>501522197.51</f>
        <v>501522197.51</v>
      </c>
      <c r="F77" s="57"/>
      <c r="G77" s="51">
        <f>IF($E$76=0,"",100*$E77/$E$76)</f>
        <v>83.65803524269104</v>
      </c>
      <c r="H77" s="52">
        <f t="shared" si="8"/>
        <v>62.749818372608914</v>
      </c>
    </row>
    <row r="78" spans="2:8" ht="12" customHeight="1">
      <c r="B78" s="95" t="s">
        <v>81</v>
      </c>
      <c r="C78" s="91">
        <f>38095553</f>
        <v>38095553</v>
      </c>
      <c r="D78" s="92"/>
      <c r="E78" s="91">
        <f>5800000</f>
        <v>5800000</v>
      </c>
      <c r="F78" s="92"/>
      <c r="G78" s="93">
        <f>IF($E$76=0,"",100*$E78/$E$76)</f>
        <v>0.9674877937938792</v>
      </c>
      <c r="H78" s="94">
        <f t="shared" si="8"/>
        <v>15.22487414738408</v>
      </c>
    </row>
    <row r="79" spans="2:8" ht="12.75">
      <c r="B79" s="95" t="s">
        <v>82</v>
      </c>
      <c r="C79" s="91">
        <f>70352268.8</f>
        <v>70352268.8</v>
      </c>
      <c r="D79" s="92"/>
      <c r="E79" s="91">
        <f>50491184.34</f>
        <v>50491184.34</v>
      </c>
      <c r="F79" s="92"/>
      <c r="G79" s="93">
        <f>IF($E$76=0,"",100*$E79/$E$76)</f>
        <v>8.422345610887355</v>
      </c>
      <c r="H79" s="94">
        <f t="shared" si="8"/>
        <v>71.76909174533971</v>
      </c>
    </row>
    <row r="80" spans="2:8" ht="12.75">
      <c r="B80" s="67" t="s">
        <v>24</v>
      </c>
      <c r="C80" s="91">
        <f>78145960.36</f>
        <v>78145960.36</v>
      </c>
      <c r="D80" s="92"/>
      <c r="E80" s="91">
        <f>47477385.6</f>
        <v>47477385.6</v>
      </c>
      <c r="F80" s="92"/>
      <c r="G80" s="93">
        <f>IF($E$76=0,"",100*$E80/$E$76)</f>
        <v>7.919619146421601</v>
      </c>
      <c r="H80" s="94">
        <f t="shared" si="8"/>
        <v>60.7547535167306</v>
      </c>
    </row>
    <row r="81" ht="12.75">
      <c r="B81" s="23"/>
    </row>
    <row r="82" spans="2:8" ht="12.75">
      <c r="B82" s="60" t="s">
        <v>16</v>
      </c>
      <c r="C82" s="113" t="s">
        <v>17</v>
      </c>
      <c r="D82" s="114"/>
      <c r="E82" s="113" t="s">
        <v>1</v>
      </c>
      <c r="F82" s="114"/>
      <c r="G82" s="18" t="s">
        <v>22</v>
      </c>
      <c r="H82" s="18" t="s">
        <v>23</v>
      </c>
    </row>
    <row r="83" spans="2:8" ht="12.75">
      <c r="B83" s="60"/>
      <c r="C83" s="101" t="s">
        <v>60</v>
      </c>
      <c r="D83" s="102"/>
      <c r="E83" s="102"/>
      <c r="F83" s="103"/>
      <c r="G83" s="104" t="s">
        <v>4</v>
      </c>
      <c r="H83" s="105"/>
    </row>
    <row r="84" spans="2:8" ht="12.75">
      <c r="B84" s="24">
        <v>1</v>
      </c>
      <c r="C84" s="27">
        <v>2</v>
      </c>
      <c r="D84" s="28"/>
      <c r="E84" s="27">
        <v>3</v>
      </c>
      <c r="F84" s="28"/>
      <c r="G84" s="25">
        <v>4</v>
      </c>
      <c r="H84" s="25">
        <v>5</v>
      </c>
    </row>
    <row r="85" spans="2:8" ht="22.5">
      <c r="B85" s="64" t="s">
        <v>64</v>
      </c>
      <c r="C85" s="53">
        <f>3400592304.24</f>
        <v>3400592304.24</v>
      </c>
      <c r="D85" s="54"/>
      <c r="E85" s="53">
        <f>0</f>
        <v>0</v>
      </c>
      <c r="F85" s="47"/>
      <c r="G85" s="48"/>
      <c r="H85" s="40"/>
    </row>
    <row r="86" spans="2:8" ht="56.25">
      <c r="B86" s="96" t="s">
        <v>65</v>
      </c>
      <c r="C86" s="91">
        <f>28333648</f>
        <v>28333648</v>
      </c>
      <c r="D86" s="92"/>
      <c r="E86" s="91">
        <f>0</f>
        <v>0</v>
      </c>
      <c r="F86" s="92"/>
      <c r="G86" s="93"/>
      <c r="H86" s="94"/>
    </row>
    <row r="87" spans="2:8" ht="12.75">
      <c r="B87" s="96" t="s">
        <v>66</v>
      </c>
      <c r="C87" s="91">
        <f>474307030.38</f>
        <v>474307030.38</v>
      </c>
      <c r="D87" s="92"/>
      <c r="E87" s="91">
        <f>0</f>
        <v>0</v>
      </c>
      <c r="F87" s="92"/>
      <c r="G87" s="93"/>
      <c r="H87" s="94"/>
    </row>
    <row r="88" spans="2:8" ht="22.5">
      <c r="B88" s="96" t="s">
        <v>67</v>
      </c>
      <c r="C88" s="91">
        <f>0</f>
        <v>0</v>
      </c>
      <c r="D88" s="92"/>
      <c r="E88" s="91">
        <f>0</f>
        <v>0</v>
      </c>
      <c r="F88" s="92"/>
      <c r="G88" s="93"/>
      <c r="H88" s="94"/>
    </row>
    <row r="89" spans="2:8" ht="33.75">
      <c r="B89" s="96" t="s">
        <v>68</v>
      </c>
      <c r="C89" s="91">
        <f>330245788.91</f>
        <v>330245788.91</v>
      </c>
      <c r="D89" s="92"/>
      <c r="E89" s="91">
        <f>0</f>
        <v>0</v>
      </c>
      <c r="F89" s="92"/>
      <c r="G89" s="93"/>
      <c r="H89" s="94"/>
    </row>
    <row r="90" spans="2:8" ht="101.25">
      <c r="B90" s="96" t="s">
        <v>69</v>
      </c>
      <c r="C90" s="91">
        <f>993650578.93</f>
        <v>993650578.93</v>
      </c>
      <c r="D90" s="92"/>
      <c r="E90" s="91">
        <f>0</f>
        <v>0</v>
      </c>
      <c r="F90" s="92"/>
      <c r="G90" s="93"/>
      <c r="H90" s="94"/>
    </row>
  </sheetData>
  <sheetProtection/>
  <mergeCells count="38">
    <mergeCell ref="C82:D82"/>
    <mergeCell ref="E82:F82"/>
    <mergeCell ref="C83:F83"/>
    <mergeCell ref="G83:H83"/>
    <mergeCell ref="L41:L43"/>
    <mergeCell ref="B2:B3"/>
    <mergeCell ref="C41:C43"/>
    <mergeCell ref="B41:B44"/>
    <mergeCell ref="K41:K43"/>
    <mergeCell ref="K44:L44"/>
    <mergeCell ref="C64:D64"/>
    <mergeCell ref="E64:F64"/>
    <mergeCell ref="I50:J50"/>
    <mergeCell ref="I51:J51"/>
    <mergeCell ref="I46:J46"/>
    <mergeCell ref="I47:J47"/>
    <mergeCell ref="I56:J56"/>
    <mergeCell ref="I54:J54"/>
    <mergeCell ref="I49:J49"/>
    <mergeCell ref="I52:J52"/>
    <mergeCell ref="F42:F43"/>
    <mergeCell ref="I48:J48"/>
    <mergeCell ref="F41:H41"/>
    <mergeCell ref="G42:H42"/>
    <mergeCell ref="F3:H3"/>
    <mergeCell ref="B39:M39"/>
    <mergeCell ref="C44:J44"/>
    <mergeCell ref="C3:E3"/>
    <mergeCell ref="I53:J53"/>
    <mergeCell ref="I55:J55"/>
    <mergeCell ref="C65:F65"/>
    <mergeCell ref="G65:H65"/>
    <mergeCell ref="I45:J45"/>
    <mergeCell ref="B1:M1"/>
    <mergeCell ref="B63:M63"/>
    <mergeCell ref="I41:J43"/>
    <mergeCell ref="D41:D43"/>
    <mergeCell ref="E41:E43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4" manualBreakCount="4">
    <brk id="30" min="1" max="11" man="1"/>
    <brk id="38" min="1" max="11" man="1"/>
    <brk id="62" min="1" max="11" man="1"/>
    <brk id="81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2021-12-08T11:20:04Z</dcterms:modified>
  <cp:category/>
  <cp:version/>
  <cp:contentType/>
  <cp:contentStatus/>
</cp:coreProperties>
</file>