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doch_wyd" sheetId="4" r:id="rId1"/>
  </sheets>
  <definedNames>
    <definedName name="_xlnm.Print_Area" localSheetId="0">doch_wyd!$A$1:$M$114</definedName>
  </definedNames>
  <calcPr calcId="152511"/>
</workbook>
</file>

<file path=xl/calcChain.xml><?xml version="1.0" encoding="utf-8"?>
<calcChain xmlns="http://schemas.openxmlformats.org/spreadsheetml/2006/main">
  <c r="C114" i="4" l="1"/>
  <c r="C113" i="4"/>
  <c r="C112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K88" i="4" s="1"/>
  <c r="C88" i="4"/>
  <c r="D87" i="4"/>
  <c r="C87" i="4"/>
  <c r="D86" i="4"/>
  <c r="C86" i="4"/>
  <c r="D85" i="4"/>
  <c r="C85" i="4"/>
  <c r="D84" i="4"/>
  <c r="C84" i="4"/>
  <c r="I78" i="4"/>
  <c r="H78" i="4"/>
  <c r="G78" i="4"/>
  <c r="F78" i="4"/>
  <c r="E78" i="4"/>
  <c r="D78" i="4"/>
  <c r="C78" i="4"/>
  <c r="I77" i="4"/>
  <c r="H77" i="4"/>
  <c r="G77" i="4"/>
  <c r="F77" i="4"/>
  <c r="E77" i="4"/>
  <c r="D77" i="4"/>
  <c r="C77" i="4"/>
  <c r="I71" i="4"/>
  <c r="H71" i="4"/>
  <c r="G71" i="4"/>
  <c r="F71" i="4"/>
  <c r="E71" i="4"/>
  <c r="D71" i="4"/>
  <c r="C71" i="4"/>
  <c r="I70" i="4"/>
  <c r="H70" i="4"/>
  <c r="G70" i="4"/>
  <c r="F70" i="4"/>
  <c r="E70" i="4"/>
  <c r="E72" i="4" s="1"/>
  <c r="D70" i="4"/>
  <c r="C70" i="4"/>
  <c r="I69" i="4"/>
  <c r="H69" i="4"/>
  <c r="G69" i="4"/>
  <c r="F69" i="4"/>
  <c r="E69" i="4"/>
  <c r="D69" i="4"/>
  <c r="C69" i="4"/>
  <c r="K69" i="4" s="1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5" i="4"/>
  <c r="H65" i="4"/>
  <c r="G65" i="4"/>
  <c r="F65" i="4"/>
  <c r="E65" i="4"/>
  <c r="D65" i="4"/>
  <c r="C65" i="4"/>
  <c r="I64" i="4"/>
  <c r="H64" i="4"/>
  <c r="G64" i="4"/>
  <c r="F64" i="4"/>
  <c r="E64" i="4"/>
  <c r="D64" i="4"/>
  <c r="C64" i="4"/>
  <c r="I63" i="4"/>
  <c r="H63" i="4"/>
  <c r="G63" i="4"/>
  <c r="F63" i="4"/>
  <c r="E63" i="4"/>
  <c r="D63" i="4"/>
  <c r="C63" i="4"/>
  <c r="I53" i="4"/>
  <c r="H53" i="4"/>
  <c r="G53" i="4"/>
  <c r="F53" i="4"/>
  <c r="E53" i="4"/>
  <c r="D53" i="4"/>
  <c r="C53" i="4"/>
  <c r="D50" i="4"/>
  <c r="C50" i="4"/>
  <c r="D49" i="4"/>
  <c r="C49" i="4"/>
  <c r="D48" i="4"/>
  <c r="C48" i="4"/>
  <c r="D47" i="4"/>
  <c r="C47" i="4"/>
  <c r="D46" i="4"/>
  <c r="C46" i="4"/>
  <c r="D45" i="4"/>
  <c r="C45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J35" i="4" s="1"/>
  <c r="C35" i="4"/>
  <c r="D34" i="4"/>
  <c r="J34" i="4" s="1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C73" i="4" s="1"/>
  <c r="K10" i="4"/>
  <c r="F52" i="4"/>
  <c r="F54" i="4" s="1"/>
  <c r="F7" i="4"/>
  <c r="F21" i="4" s="1"/>
  <c r="K9" i="4"/>
  <c r="K12" i="4"/>
  <c r="K20" i="4"/>
  <c r="H7" i="4"/>
  <c r="H21" i="4" s="1"/>
  <c r="H52" i="4"/>
  <c r="H54" i="4" s="1"/>
  <c r="J27" i="4"/>
  <c r="J17" i="4"/>
  <c r="J37" i="4"/>
  <c r="J14" i="4"/>
  <c r="J20" i="4"/>
  <c r="J8" i="4"/>
  <c r="J45" i="4"/>
  <c r="J40" i="4"/>
  <c r="D73" i="4"/>
  <c r="J26" i="4"/>
  <c r="J16" i="4"/>
  <c r="J49" i="4"/>
  <c r="J42" i="4"/>
  <c r="J31" i="4"/>
  <c r="J50" i="4"/>
  <c r="J39" i="4"/>
  <c r="J47" i="4"/>
  <c r="J30" i="4"/>
  <c r="J24" i="4"/>
  <c r="J9" i="4"/>
  <c r="J41" i="4"/>
  <c r="J28" i="4"/>
  <c r="J36" i="4"/>
  <c r="J6" i="4"/>
  <c r="J19" i="4"/>
  <c r="D52" i="4"/>
  <c r="J53" i="4" s="1"/>
  <c r="J18" i="4"/>
  <c r="J10" i="4"/>
  <c r="J48" i="4"/>
  <c r="J11" i="4"/>
  <c r="J38" i="4"/>
  <c r="J33" i="4"/>
  <c r="J43" i="4"/>
  <c r="J25" i="4"/>
  <c r="J29" i="4"/>
  <c r="J12" i="4"/>
  <c r="J32" i="4"/>
  <c r="J15" i="4"/>
  <c r="J13" i="4"/>
  <c r="J46" i="4"/>
  <c r="I52" i="4"/>
  <c r="I54" i="4"/>
  <c r="I7" i="4"/>
  <c r="K16" i="4"/>
  <c r="E7" i="4"/>
  <c r="E21" i="4" s="1"/>
  <c r="E52" i="4"/>
  <c r="E54" i="4"/>
  <c r="K8" i="4"/>
  <c r="K14" i="4"/>
  <c r="D44" i="4"/>
  <c r="J44" i="4" s="1"/>
  <c r="E66" i="4"/>
  <c r="I66" i="4"/>
  <c r="I72" i="4" s="1"/>
  <c r="K65" i="4"/>
  <c r="K70" i="4"/>
  <c r="E79" i="4"/>
  <c r="I79" i="4"/>
  <c r="K84" i="4"/>
  <c r="K86" i="4"/>
  <c r="K90" i="4"/>
  <c r="K92" i="4"/>
  <c r="K94" i="4"/>
  <c r="K96" i="4"/>
  <c r="D112" i="4"/>
  <c r="B80" i="4" s="1"/>
  <c r="K6" i="4"/>
  <c r="G7" i="4"/>
  <c r="G21" i="4" s="1"/>
  <c r="G52" i="4"/>
  <c r="G54" i="4"/>
  <c r="K11" i="4"/>
  <c r="K15" i="4"/>
  <c r="K19" i="4"/>
  <c r="K25" i="4"/>
  <c r="K27" i="4"/>
  <c r="K29" i="4"/>
  <c r="K31" i="4"/>
  <c r="K33" i="4"/>
  <c r="K37" i="4"/>
  <c r="K39" i="4"/>
  <c r="K41" i="4"/>
  <c r="K43" i="4"/>
  <c r="K46" i="4"/>
  <c r="K48" i="4"/>
  <c r="K50" i="4"/>
  <c r="F66" i="4"/>
  <c r="F72" i="4" s="1"/>
  <c r="K64" i="4"/>
  <c r="F79" i="4"/>
  <c r="K78" i="4"/>
  <c r="J86" i="4"/>
  <c r="J92" i="4"/>
  <c r="J90" i="4"/>
  <c r="J84" i="4"/>
  <c r="J89" i="4"/>
  <c r="J91" i="4"/>
  <c r="J87" i="4"/>
  <c r="J85" i="4"/>
  <c r="K18" i="4"/>
  <c r="K63" i="4"/>
  <c r="C66" i="4"/>
  <c r="G66" i="4"/>
  <c r="G72" i="4" s="1"/>
  <c r="K68" i="4"/>
  <c r="K77" i="4"/>
  <c r="C79" i="4"/>
  <c r="G79" i="4"/>
  <c r="K85" i="4"/>
  <c r="K87" i="4"/>
  <c r="K89" i="4"/>
  <c r="K91" i="4"/>
  <c r="K93" i="4"/>
  <c r="K95" i="4"/>
  <c r="K97" i="4"/>
  <c r="K13" i="4"/>
  <c r="K17" i="4"/>
  <c r="K24" i="4"/>
  <c r="C23" i="4"/>
  <c r="K26" i="4"/>
  <c r="K28" i="4"/>
  <c r="K30" i="4"/>
  <c r="K32" i="4"/>
  <c r="K34" i="4"/>
  <c r="K36" i="4"/>
  <c r="K38" i="4"/>
  <c r="K40" i="4"/>
  <c r="K42" i="4"/>
  <c r="C44" i="4"/>
  <c r="K45" i="4"/>
  <c r="K47" i="4"/>
  <c r="K49" i="4"/>
  <c r="K53" i="4"/>
  <c r="J69" i="4"/>
  <c r="J68" i="4"/>
  <c r="J64" i="4"/>
  <c r="J63" i="4"/>
  <c r="J65" i="4"/>
  <c r="J70" i="4"/>
  <c r="D66" i="4"/>
  <c r="D72" i="4" s="1"/>
  <c r="J72" i="4" s="1"/>
  <c r="J67" i="4"/>
  <c r="J71" i="4"/>
  <c r="H66" i="4"/>
  <c r="H72" i="4"/>
  <c r="K67" i="4"/>
  <c r="K71" i="4"/>
  <c r="D79" i="4"/>
  <c r="K79" i="4" s="1"/>
  <c r="J77" i="4"/>
  <c r="J78" i="4"/>
  <c r="H79" i="4"/>
  <c r="J97" i="4"/>
  <c r="J95" i="4"/>
  <c r="J93" i="4"/>
  <c r="J94" i="4"/>
  <c r="J96" i="4"/>
  <c r="J52" i="4"/>
  <c r="D54" i="4"/>
  <c r="D74" i="4" s="1"/>
  <c r="K66" i="4"/>
  <c r="K44" i="4" l="1"/>
  <c r="B56" i="4"/>
  <c r="B1" i="4"/>
  <c r="J88" i="4"/>
  <c r="J79" i="4"/>
  <c r="C72" i="4"/>
  <c r="K72" i="4" s="1"/>
  <c r="J66" i="4"/>
  <c r="K35" i="4"/>
  <c r="D23" i="4"/>
  <c r="D22" i="4" s="1"/>
  <c r="J22" i="4" s="1"/>
  <c r="J23" i="4"/>
  <c r="C22" i="4"/>
  <c r="I21" i="4"/>
  <c r="J54" i="4"/>
  <c r="C52" i="4"/>
  <c r="D7" i="4" l="1"/>
  <c r="L13" i="4" s="1"/>
  <c r="K23" i="4"/>
  <c r="D21" i="4"/>
  <c r="J21" i="4" s="1"/>
  <c r="L18" i="4"/>
  <c r="L16" i="4"/>
  <c r="L19" i="4"/>
  <c r="K22" i="4"/>
  <c r="C7" i="4"/>
  <c r="K52" i="4"/>
  <c r="C54" i="4"/>
  <c r="L7" i="4" l="1"/>
  <c r="L15" i="4"/>
  <c r="L8" i="4"/>
  <c r="L20" i="4"/>
  <c r="J7" i="4"/>
  <c r="L11" i="4"/>
  <c r="L9" i="4"/>
  <c r="L12" i="4"/>
  <c r="L10" i="4"/>
  <c r="L14" i="4"/>
  <c r="L17" i="4"/>
  <c r="L21" i="4"/>
  <c r="C21" i="4"/>
  <c r="K21" i="4" s="1"/>
  <c r="K7" i="4"/>
  <c r="K54" i="4"/>
  <c r="C74" i="4"/>
</calcChain>
</file>

<file path=xl/sharedStrings.xml><?xml version="1.0" encoding="utf-8"?>
<sst xmlns="http://schemas.openxmlformats.org/spreadsheetml/2006/main" count="343" uniqueCount="110">
  <si>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</si>
  <si>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</si>
  <si>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</si>
  <si>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</si>
  <si>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</si>
  <si>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</si>
  <si>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</si>
  <si>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</si>
  <si>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</si>
  <si>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</si>
  <si>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</si>
  <si>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</si>
  <si>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</si>
  <si>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</si>
  <si>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</si>
  <si>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</si>
  <si>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</si>
  <si>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</si>
  <si>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</si>
  <si>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</si>
  <si>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</si>
  <si>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</si>
  <si>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</si>
  <si>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</si>
  <si>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</si>
  <si>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</si>
  <si>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</si>
  <si>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</si>
  <si>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</si>
  <si>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</si>
  <si>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</si>
  <si>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</si>
  <si>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</si>
  <si>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</si>
  <si>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</si>
  <si>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</si>
  <si>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</si>
  <si>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</si>
  <si>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</si>
  <si>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</si>
  <si>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</si>
  <si>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</si>
  <si>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</si>
  <si>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</si>
  <si>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</si>
  <si>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</si>
  <si>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</si>
  <si>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</si>
  <si>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</si>
  <si>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</si>
  <si>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</si>
  <si>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</si>
  <si>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</si>
  <si>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</si>
  <si>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</si>
  <si>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</si>
  <si>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</si>
  <si>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</si>
  <si>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</si>
  <si>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</si>
  <si>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</si>
  <si>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</si>
  <si>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</si>
  <si>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</si>
  <si>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</si>
  <si>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</si>
  <si>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</si>
  <si>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</si>
  <si>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</si>
  <si>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</si>
  <si>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</si>
  <si>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</si>
  <si>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</si>
  <si>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</si>
  <si>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UE</t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</si>
  <si>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</si>
  <si>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</si>
  <si>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</si>
  <si>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</si>
  <si>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</si>
  <si>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</si>
  <si>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</si>
  <si>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</si>
  <si>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</si>
  <si>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</si>
  <si>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</si>
  <si>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</si>
  <si>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</si>
  <si>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</si>
  <si>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</si>
  <si>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</si>
  <si>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</si>
  <si>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</si>
  <si>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</si>
  <si>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</si>
  <si>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</si>
  <si>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</si>
  <si>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</si>
  <si>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</si>
  <si>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</si>
  <si>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</si>
  <si>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</si>
  <si>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</si>
  <si>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</si>
  <si>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</si>
  <si>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</si>
  <si>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</si>
  <si>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</si>
  <si>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</si>
  <si>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FINANSOWANIE DEFICYTU (E1+E2+E3+E4+E5+E6+E7) 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</si>
</sst>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4" fontId="13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9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2" borderId="14" xfId="0" applyNumberFormat="1" applyFont="1" applyFill="1" applyBorder="1" applyAlignment="1">
      <alignment horizontal="right" vertical="center"/>
    </xf>
    <xf numFmtId="4" fontId="11" fillId="23" borderId="14" xfId="0" applyNumberFormat="1" applyFont="1" applyFill="1" applyBorder="1" applyAlignment="1">
      <alignment horizontal="right" vertical="center"/>
    </xf>
    <xf numFmtId="0" fontId="35" fillId="23" borderId="10" xfId="40" applyFont="1" applyFill="1" applyBorder="1" applyAlignment="1">
      <alignment horizontal="left" vertical="center" wrapText="1"/>
    </xf>
    <xf numFmtId="164" fontId="11" fillId="22" borderId="10" xfId="29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164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4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4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4" fontId="11" fillId="0" borderId="10" xfId="0" applyNumberFormat="1" applyFont="1" applyFill="1" applyBorder="1" applyAlignment="1">
      <alignment horizontal="right" vertical="center"/>
    </xf>
    <xf numFmtId="0" fontId="10" fillId="23" borderId="12" xfId="0" applyFont="1" applyFill="1" applyBorder="1" applyAlignment="1">
      <alignment horizontal="left" vertical="center" wrapText="1"/>
    </xf>
    <xf numFmtId="4" fontId="6" fillId="0" borderId="14" xfId="0" applyNumberFormat="1" applyFont="1" applyFill="1" applyBorder="1" applyAlignment="1">
      <alignment horizontal="right" vertical="center"/>
    </xf>
    <xf numFmtId="164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4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0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6" xfId="0" applyFont="1" applyBorder="1"/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4" fillId="19" borderId="16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ny" xfId="0" builtinId="0"/>
    <cellStyle name="Normalny 2" xfId="39"/>
    <cellStyle name="Normalny 2 2" xfId="40"/>
    <cellStyle name="Note" xfId="41"/>
    <cellStyle name="Note 2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4"/>
  <sheetViews>
    <sheetView tabSelected="1" zoomScaleNormal="100" workbookViewId="0">
      <selection activeCell="B3" sqref="B3:B4"/>
    </sheetView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9" t="str">
        <f>CONCATENATE("Informacja z wykonania budżetów jednostek samorządu terytorialnego za ",$D$112," ",$C$113," roku")</f>
        <v>Informacja z wykonania budżetów jednostek samorządu terytorialnego za II Kwartały 2022 roku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2:13" ht="6.75" customHeight="1" x14ac:dyDescent="0.2"/>
    <row r="3" spans="2:13" ht="66.75" customHeight="1" x14ac:dyDescent="0.2">
      <c r="B3" s="101" t="s">
        <v>0</v>
      </c>
      <c r="C3" s="15" t="s">
        <v>36</v>
      </c>
      <c r="D3" s="15" t="s">
        <v>37</v>
      </c>
      <c r="E3" s="15" t="s">
        <v>38</v>
      </c>
      <c r="F3" s="15" t="s">
        <v>39</v>
      </c>
      <c r="G3" s="15" t="s">
        <v>40</v>
      </c>
      <c r="H3" s="15" t="s">
        <v>41</v>
      </c>
      <c r="I3" s="15" t="s">
        <v>42</v>
      </c>
      <c r="J3" s="17" t="s">
        <v>2</v>
      </c>
      <c r="K3" s="15" t="s">
        <v>18</v>
      </c>
      <c r="L3" s="15" t="s">
        <v>3</v>
      </c>
    </row>
    <row r="4" spans="2:13" x14ac:dyDescent="0.2">
      <c r="B4" s="101"/>
      <c r="C4" s="103" t="s">
        <v>80</v>
      </c>
      <c r="D4" s="104"/>
      <c r="E4" s="104"/>
      <c r="F4" s="104"/>
      <c r="G4" s="104"/>
      <c r="H4" s="104"/>
      <c r="I4" s="105"/>
      <c r="J4" s="102" t="s">
        <v>4</v>
      </c>
      <c r="K4" s="102"/>
      <c r="L4" s="102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8" t="s">
        <v>5</v>
      </c>
      <c r="C6" s="59">
        <f>319330020144.89</f>
        <v>319330020144.89001</v>
      </c>
      <c r="D6" s="59">
        <f>170827489314.42</f>
        <v>170827489314.42001</v>
      </c>
      <c r="E6" s="59">
        <f>1886123904.32</f>
        <v>1886123904.3199999</v>
      </c>
      <c r="F6" s="59">
        <f>515655325.96</f>
        <v>515655325.95999998</v>
      </c>
      <c r="G6" s="59">
        <f>56427431.7</f>
        <v>56427431.700000003</v>
      </c>
      <c r="H6" s="59">
        <f>161943283.89</f>
        <v>161943283.88999999</v>
      </c>
      <c r="I6" s="59">
        <f>3083180.06</f>
        <v>3083180.06</v>
      </c>
      <c r="J6" s="60">
        <f t="shared" ref="J6:J50" si="0">IF($D$6=0,"",100*$D6/$D$6)</f>
        <v>100</v>
      </c>
      <c r="K6" s="60">
        <f t="shared" ref="K6:K50" si="1">IF(C6=0,"",100*D6/C6)</f>
        <v>53.495593441828689</v>
      </c>
      <c r="L6" s="60"/>
    </row>
    <row r="7" spans="2:13" ht="27.95" customHeight="1" x14ac:dyDescent="0.2">
      <c r="B7" s="78" t="s">
        <v>60</v>
      </c>
      <c r="C7" s="25">
        <f>C6-C22-C44</f>
        <v>161615281210.79999</v>
      </c>
      <c r="D7" s="25">
        <f>D6-D22-D44</f>
        <v>84176352865.810013</v>
      </c>
      <c r="E7" s="25">
        <f>E6</f>
        <v>1886123904.3199999</v>
      </c>
      <c r="F7" s="25">
        <f>F6</f>
        <v>515655325.95999998</v>
      </c>
      <c r="G7" s="25">
        <f>G6</f>
        <v>56427431.700000003</v>
      </c>
      <c r="H7" s="25">
        <f>H6</f>
        <v>161943283.88999999</v>
      </c>
      <c r="I7" s="25">
        <f>I6</f>
        <v>3083180.06</v>
      </c>
      <c r="J7" s="33">
        <f t="shared" si="0"/>
        <v>49.275648318449207</v>
      </c>
      <c r="K7" s="33">
        <f t="shared" si="1"/>
        <v>52.084402065925993</v>
      </c>
      <c r="L7" s="33">
        <f t="shared" ref="L7:L21" si="2">IF($D$7=0,"",100*$D7/$D$7)</f>
        <v>100</v>
      </c>
    </row>
    <row r="8" spans="2:13" ht="23.1" customHeight="1" outlineLevel="1" x14ac:dyDescent="0.2">
      <c r="B8" s="30" t="s">
        <v>35</v>
      </c>
      <c r="C8" s="23">
        <f>15166742906</f>
        <v>15166742906</v>
      </c>
      <c r="D8" s="23">
        <f>7568842365.74</f>
        <v>7568842365.7399998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4">
        <f t="shared" si="0"/>
        <v>4.4306934417381809</v>
      </c>
      <c r="K8" s="34">
        <f t="shared" si="1"/>
        <v>49.904204301806601</v>
      </c>
      <c r="L8" s="34">
        <f t="shared" si="2"/>
        <v>8.9916492079502337</v>
      </c>
    </row>
    <row r="9" spans="2:13" ht="23.1" customHeight="1" outlineLevel="1" x14ac:dyDescent="0.2">
      <c r="B9" s="30" t="s">
        <v>19</v>
      </c>
      <c r="C9" s="23">
        <f>53981145732.63</f>
        <v>53981145732.629997</v>
      </c>
      <c r="D9" s="23">
        <f>26984905170</f>
        <v>26984905170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4">
        <f t="shared" si="0"/>
        <v>15.796582434301532</v>
      </c>
      <c r="K9" s="34">
        <f t="shared" si="1"/>
        <v>49.989500600185352</v>
      </c>
      <c r="L9" s="34">
        <f t="shared" si="2"/>
        <v>32.057584168582437</v>
      </c>
    </row>
    <row r="10" spans="2:13" ht="12.95" customHeight="1" outlineLevel="1" x14ac:dyDescent="0.2">
      <c r="B10" s="30" t="s">
        <v>20</v>
      </c>
      <c r="C10" s="23">
        <f>1758457475.51</f>
        <v>1758457475.51</v>
      </c>
      <c r="D10" s="23">
        <f>1029063527.67</f>
        <v>1029063527.67</v>
      </c>
      <c r="E10" s="23">
        <f>77626536.33</f>
        <v>77626536.329999998</v>
      </c>
      <c r="F10" s="23">
        <f>1004688.42</f>
        <v>1004688.42</v>
      </c>
      <c r="G10" s="23">
        <f>1450974.3</f>
        <v>1450974.3</v>
      </c>
      <c r="H10" s="23">
        <f>1508389.78</f>
        <v>1508389.78</v>
      </c>
      <c r="I10" s="24">
        <f>433.44</f>
        <v>433.44</v>
      </c>
      <c r="J10" s="34">
        <f t="shared" si="0"/>
        <v>0.6023992577540821</v>
      </c>
      <c r="K10" s="34">
        <f t="shared" si="1"/>
        <v>58.520808265297624</v>
      </c>
      <c r="L10" s="34">
        <f t="shared" si="2"/>
        <v>1.2225090451596123</v>
      </c>
    </row>
    <row r="11" spans="2:13" ht="12.95" customHeight="1" outlineLevel="1" x14ac:dyDescent="0.2">
      <c r="B11" s="30" t="s">
        <v>21</v>
      </c>
      <c r="C11" s="23">
        <f>27646423370.51</f>
        <v>27646423370.509998</v>
      </c>
      <c r="D11" s="23">
        <f>14853768858.2</f>
        <v>14853768858.200001</v>
      </c>
      <c r="E11" s="23">
        <f>1162737042.83</f>
        <v>1162737042.8299999</v>
      </c>
      <c r="F11" s="23">
        <f>422184760.57</f>
        <v>422184760.56999999</v>
      </c>
      <c r="G11" s="23">
        <f>43985827.45</f>
        <v>43985827.450000003</v>
      </c>
      <c r="H11" s="23">
        <f>131802545.84</f>
        <v>131802545.84</v>
      </c>
      <c r="I11" s="24">
        <f>2706527.4</f>
        <v>2706527.4</v>
      </c>
      <c r="J11" s="34">
        <f t="shared" si="0"/>
        <v>8.6951865404171542</v>
      </c>
      <c r="K11" s="34">
        <f t="shared" si="1"/>
        <v>53.72763289896038</v>
      </c>
      <c r="L11" s="34">
        <f t="shared" si="2"/>
        <v>17.646011442048554</v>
      </c>
    </row>
    <row r="12" spans="2:13" ht="12.95" customHeight="1" outlineLevel="1" x14ac:dyDescent="0.2">
      <c r="B12" s="30" t="s">
        <v>22</v>
      </c>
      <c r="C12" s="23">
        <f>326447463.28</f>
        <v>326447463.27999997</v>
      </c>
      <c r="D12" s="23">
        <f>182918492.9</f>
        <v>182918492.90000001</v>
      </c>
      <c r="E12" s="23">
        <f>1593911.37</f>
        <v>1593911.37</v>
      </c>
      <c r="F12" s="23">
        <f>550545.11</f>
        <v>550545.11</v>
      </c>
      <c r="G12" s="23">
        <f>52003.58</f>
        <v>52003.58</v>
      </c>
      <c r="H12" s="23">
        <f>13616.76</f>
        <v>13616.76</v>
      </c>
      <c r="I12" s="24">
        <f>1839.6</f>
        <v>1839.6</v>
      </c>
      <c r="J12" s="34">
        <f t="shared" si="0"/>
        <v>0.10707790276266699</v>
      </c>
      <c r="K12" s="34">
        <f t="shared" si="1"/>
        <v>56.033056915840532</v>
      </c>
      <c r="L12" s="34">
        <f t="shared" si="2"/>
        <v>0.21730389435094682</v>
      </c>
    </row>
    <row r="13" spans="2:13" ht="12.95" customHeight="1" outlineLevel="1" x14ac:dyDescent="0.2">
      <c r="B13" s="30" t="s">
        <v>23</v>
      </c>
      <c r="C13" s="23">
        <f>1308285318.65</f>
        <v>1308285318.6500001</v>
      </c>
      <c r="D13" s="23">
        <f>693417430.81</f>
        <v>693417430.80999994</v>
      </c>
      <c r="E13" s="23">
        <f>631625957.81</f>
        <v>631625957.80999994</v>
      </c>
      <c r="F13" s="23">
        <f>2438002.59</f>
        <v>2438002.59</v>
      </c>
      <c r="G13" s="23">
        <f>1528245.48</f>
        <v>1528245.48</v>
      </c>
      <c r="H13" s="23">
        <f>5525503.03</f>
        <v>5525503.0300000003</v>
      </c>
      <c r="I13" s="24">
        <f>10853.92</f>
        <v>10853.92</v>
      </c>
      <c r="J13" s="34">
        <f t="shared" si="0"/>
        <v>0.40591677229050438</v>
      </c>
      <c r="K13" s="34">
        <f t="shared" si="1"/>
        <v>53.002003532801773</v>
      </c>
      <c r="L13" s="34">
        <f t="shared" si="2"/>
        <v>0.82376749194089405</v>
      </c>
    </row>
    <row r="14" spans="2:13" ht="33" customHeight="1" outlineLevel="1" x14ac:dyDescent="0.2">
      <c r="B14" s="30" t="s">
        <v>44</v>
      </c>
      <c r="C14" s="23">
        <f>133277764.61</f>
        <v>133277764.61</v>
      </c>
      <c r="D14" s="23">
        <f>91105433.73</f>
        <v>91105433.730000004</v>
      </c>
      <c r="E14" s="23">
        <f>0</f>
        <v>0</v>
      </c>
      <c r="F14" s="23">
        <f>0</f>
        <v>0</v>
      </c>
      <c r="G14" s="23">
        <f>31060.09</f>
        <v>31060.09</v>
      </c>
      <c r="H14" s="23">
        <f>228763.11</f>
        <v>228763.11</v>
      </c>
      <c r="I14" s="24">
        <f>0</f>
        <v>0</v>
      </c>
      <c r="J14" s="34">
        <f t="shared" si="0"/>
        <v>5.3331834411213551E-2</v>
      </c>
      <c r="K14" s="34">
        <f t="shared" si="1"/>
        <v>68.357564366865319</v>
      </c>
      <c r="L14" s="34">
        <f t="shared" si="2"/>
        <v>0.10823162399924359</v>
      </c>
    </row>
    <row r="15" spans="2:13" ht="12.95" customHeight="1" outlineLevel="1" x14ac:dyDescent="0.2">
      <c r="B15" s="30" t="s">
        <v>28</v>
      </c>
      <c r="C15" s="23">
        <f>354059806.7</f>
        <v>354059806.69999999</v>
      </c>
      <c r="D15" s="23">
        <f>257329554.69</f>
        <v>257329554.69</v>
      </c>
      <c r="E15" s="23">
        <f>143972.5</f>
        <v>143972.5</v>
      </c>
      <c r="F15" s="23">
        <f>0</f>
        <v>0</v>
      </c>
      <c r="G15" s="23">
        <f>2818710.37</f>
        <v>2818710.37</v>
      </c>
      <c r="H15" s="23">
        <f>9813222.59</f>
        <v>9813222.5899999999</v>
      </c>
      <c r="I15" s="24">
        <f>0</f>
        <v>0</v>
      </c>
      <c r="J15" s="34">
        <f t="shared" si="0"/>
        <v>0.15063708758042263</v>
      </c>
      <c r="K15" s="34">
        <f t="shared" si="1"/>
        <v>72.679685697292115</v>
      </c>
      <c r="L15" s="34">
        <f t="shared" si="2"/>
        <v>0.30570290340355172</v>
      </c>
    </row>
    <row r="16" spans="2:13" ht="23.1" customHeight="1" outlineLevel="1" x14ac:dyDescent="0.2">
      <c r="B16" s="30" t="s">
        <v>29</v>
      </c>
      <c r="C16" s="23">
        <f>3533277227.54</f>
        <v>3533277227.54</v>
      </c>
      <c r="D16" s="23">
        <f>2348284607.21</f>
        <v>2348284607.21</v>
      </c>
      <c r="E16" s="23">
        <f>0</f>
        <v>0</v>
      </c>
      <c r="F16" s="23">
        <f>0</f>
        <v>0</v>
      </c>
      <c r="G16" s="23">
        <f>122387.74</f>
        <v>122387.74</v>
      </c>
      <c r="H16" s="23">
        <f>518696.17</f>
        <v>518696.17</v>
      </c>
      <c r="I16" s="24">
        <f>0</f>
        <v>0</v>
      </c>
      <c r="J16" s="34">
        <f t="shared" si="0"/>
        <v>1.3746526490755928</v>
      </c>
      <c r="K16" s="34">
        <f t="shared" si="1"/>
        <v>66.461940458744124</v>
      </c>
      <c r="L16" s="34">
        <f t="shared" si="2"/>
        <v>2.7897200665768032</v>
      </c>
    </row>
    <row r="17" spans="2:12" ht="12.95" customHeight="1" outlineLevel="1" x14ac:dyDescent="0.2">
      <c r="B17" s="30" t="s">
        <v>30</v>
      </c>
      <c r="C17" s="23">
        <f>551559099.98</f>
        <v>551559099.98000002</v>
      </c>
      <c r="D17" s="23">
        <f>309990796.84</f>
        <v>309990796.83999997</v>
      </c>
      <c r="E17" s="23">
        <f>0</f>
        <v>0</v>
      </c>
      <c r="F17" s="23">
        <f>0</f>
        <v>0</v>
      </c>
      <c r="G17" s="23">
        <f>4055</f>
        <v>4055</v>
      </c>
      <c r="H17" s="23">
        <f>758.56</f>
        <v>758.56</v>
      </c>
      <c r="I17" s="24">
        <f>0</f>
        <v>0</v>
      </c>
      <c r="J17" s="34">
        <f t="shared" si="0"/>
        <v>0.18146423510881207</v>
      </c>
      <c r="K17" s="34">
        <f t="shared" si="1"/>
        <v>56.202643896409377</v>
      </c>
      <c r="L17" s="34">
        <f t="shared" si="2"/>
        <v>0.36826351616132946</v>
      </c>
    </row>
    <row r="18" spans="2:12" ht="12.95" customHeight="1" outlineLevel="1" x14ac:dyDescent="0.2">
      <c r="B18" s="30" t="s">
        <v>31</v>
      </c>
      <c r="C18" s="23">
        <f>447387573.31</f>
        <v>447387573.31</v>
      </c>
      <c r="D18" s="23">
        <f>234042034.67</f>
        <v>234042034.66999999</v>
      </c>
      <c r="E18" s="23">
        <f>0</f>
        <v>0</v>
      </c>
      <c r="F18" s="23">
        <f>0</f>
        <v>0</v>
      </c>
      <c r="G18" s="23">
        <f>0</f>
        <v>0</v>
      </c>
      <c r="H18" s="23">
        <f>877882.8</f>
        <v>877882.8</v>
      </c>
      <c r="I18" s="24">
        <f>0</f>
        <v>0</v>
      </c>
      <c r="J18" s="34">
        <f t="shared" si="0"/>
        <v>0.13700490220237865</v>
      </c>
      <c r="K18" s="34">
        <f t="shared" si="1"/>
        <v>52.313038768251523</v>
      </c>
      <c r="L18" s="34">
        <f t="shared" si="2"/>
        <v>0.27803774659030289</v>
      </c>
    </row>
    <row r="19" spans="2:12" ht="12.95" customHeight="1" outlineLevel="1" x14ac:dyDescent="0.2">
      <c r="B19" s="30" t="s">
        <v>32</v>
      </c>
      <c r="C19" s="23">
        <f>128896577.58</f>
        <v>128896577.58</v>
      </c>
      <c r="D19" s="23">
        <f>48839066.93</f>
        <v>48839066.93</v>
      </c>
      <c r="E19" s="23">
        <f>499752.88</f>
        <v>499752.88</v>
      </c>
      <c r="F19" s="23">
        <f>5700</f>
        <v>5700</v>
      </c>
      <c r="G19" s="23">
        <f>300</f>
        <v>300</v>
      </c>
      <c r="H19" s="23">
        <f>106188.09</f>
        <v>106188.09</v>
      </c>
      <c r="I19" s="24">
        <f>0</f>
        <v>0</v>
      </c>
      <c r="J19" s="34">
        <f t="shared" si="0"/>
        <v>2.8589700127306945E-2</v>
      </c>
      <c r="K19" s="34">
        <f t="shared" si="1"/>
        <v>37.890119231201389</v>
      </c>
      <c r="L19" s="34">
        <f t="shared" si="2"/>
        <v>5.8019937033690384E-2</v>
      </c>
    </row>
    <row r="20" spans="2:12" ht="12.95" customHeight="1" outlineLevel="1" x14ac:dyDescent="0.2">
      <c r="B20" s="30" t="s">
        <v>24</v>
      </c>
      <c r="C20" s="23">
        <f>11051101911.11</f>
        <v>11051101911.110001</v>
      </c>
      <c r="D20" s="23">
        <f>4891315737.84</f>
        <v>4891315737.8400002</v>
      </c>
      <c r="E20" s="23">
        <f>0</f>
        <v>0</v>
      </c>
      <c r="F20" s="23">
        <f>43995.74</f>
        <v>43995.74</v>
      </c>
      <c r="G20" s="23">
        <f>0</f>
        <v>0</v>
      </c>
      <c r="H20" s="23">
        <f>111437</f>
        <v>111437</v>
      </c>
      <c r="I20" s="24">
        <f>4840.65</f>
        <v>4840.6499999999996</v>
      </c>
      <c r="J20" s="34">
        <f t="shared" si="0"/>
        <v>2.8633071629573559</v>
      </c>
      <c r="K20" s="34">
        <f t="shared" si="1"/>
        <v>44.260887078804465</v>
      </c>
      <c r="L20" s="34">
        <f t="shared" si="2"/>
        <v>5.8107955159776354</v>
      </c>
    </row>
    <row r="21" spans="2:12" ht="12.95" customHeight="1" outlineLevel="1" x14ac:dyDescent="0.2">
      <c r="B21" s="30" t="s">
        <v>25</v>
      </c>
      <c r="C21" s="23">
        <f>C7-C8-C9-C10-C11-C12-C13-C14-C15-C16-C17-C18-C19-C20</f>
        <v>45228218983.389992</v>
      </c>
      <c r="D21" s="23">
        <f t="shared" ref="D21:I21" si="3">D7-D8-D9-D10-D11-D12-D13-D14-D15-D16-D17-D18-D19-D20</f>
        <v>24682529788.580009</v>
      </c>
      <c r="E21" s="23">
        <f t="shared" si="3"/>
        <v>11896730.600000137</v>
      </c>
      <c r="F21" s="23">
        <f t="shared" si="3"/>
        <v>89427633.529999971</v>
      </c>
      <c r="G21" s="23">
        <f t="shared" si="3"/>
        <v>6433867.6900000023</v>
      </c>
      <c r="H21" s="23">
        <f t="shared" si="3"/>
        <v>11436280.159999978</v>
      </c>
      <c r="I21" s="24">
        <f t="shared" si="3"/>
        <v>358685.05000000022</v>
      </c>
      <c r="J21" s="34">
        <f t="shared" si="0"/>
        <v>14.448804397722007</v>
      </c>
      <c r="K21" s="34">
        <f t="shared" si="1"/>
        <v>54.573295927581491</v>
      </c>
      <c r="L21" s="34">
        <f t="shared" si="2"/>
        <v>29.322403440224761</v>
      </c>
    </row>
    <row r="22" spans="2:12" ht="27.95" customHeight="1" x14ac:dyDescent="0.2">
      <c r="B22" s="79" t="s">
        <v>107</v>
      </c>
      <c r="C22" s="59">
        <f>C23+C40+C42</f>
        <v>84480529636.040009</v>
      </c>
      <c r="D22" s="59">
        <f>D23+D40+D42</f>
        <v>43831492545.610001</v>
      </c>
      <c r="E22" s="61" t="s">
        <v>59</v>
      </c>
      <c r="F22" s="61" t="s">
        <v>59</v>
      </c>
      <c r="G22" s="61" t="s">
        <v>59</v>
      </c>
      <c r="H22" s="61" t="s">
        <v>59</v>
      </c>
      <c r="I22" s="61" t="s">
        <v>59</v>
      </c>
      <c r="J22" s="60">
        <f t="shared" si="0"/>
        <v>25.658336794340549</v>
      </c>
      <c r="K22" s="60">
        <f t="shared" si="1"/>
        <v>51.883543740132005</v>
      </c>
      <c r="L22" s="62"/>
    </row>
    <row r="23" spans="2:12" ht="27.95" customHeight="1" outlineLevel="1" x14ac:dyDescent="0.2">
      <c r="B23" s="84" t="s">
        <v>61</v>
      </c>
      <c r="C23" s="59">
        <f>C24+C26+C28+C30+C32+C34+C36+C38</f>
        <v>61850600137.279999</v>
      </c>
      <c r="D23" s="59">
        <f>D24+D26+D28+D30+D32+D34+D36+D38</f>
        <v>36364346029.980003</v>
      </c>
      <c r="E23" s="61" t="s">
        <v>59</v>
      </c>
      <c r="F23" s="61" t="s">
        <v>59</v>
      </c>
      <c r="G23" s="61" t="s">
        <v>59</v>
      </c>
      <c r="H23" s="61" t="s">
        <v>59</v>
      </c>
      <c r="I23" s="61" t="s">
        <v>59</v>
      </c>
      <c r="J23" s="60">
        <f t="shared" si="0"/>
        <v>21.287174667215805</v>
      </c>
      <c r="K23" s="60">
        <f t="shared" si="1"/>
        <v>58.793845086818585</v>
      </c>
      <c r="L23" s="62"/>
    </row>
    <row r="24" spans="2:12" ht="24.95" customHeight="1" outlineLevel="1" x14ac:dyDescent="0.2">
      <c r="B24" s="83" t="s">
        <v>9</v>
      </c>
      <c r="C24" s="24">
        <f>40326586447.22</f>
        <v>40326586447.220001</v>
      </c>
      <c r="D24" s="24">
        <f>31061597283.68</f>
        <v>31061597283.68</v>
      </c>
      <c r="E24" s="24" t="s">
        <v>59</v>
      </c>
      <c r="F24" s="24" t="s">
        <v>59</v>
      </c>
      <c r="G24" s="24" t="s">
        <v>59</v>
      </c>
      <c r="H24" s="24" t="s">
        <v>59</v>
      </c>
      <c r="I24" s="24" t="s">
        <v>59</v>
      </c>
      <c r="J24" s="34">
        <f t="shared" si="0"/>
        <v>18.183020430926632</v>
      </c>
      <c r="K24" s="34">
        <f t="shared" si="1"/>
        <v>77.025109289460573</v>
      </c>
      <c r="L24" s="29"/>
    </row>
    <row r="25" spans="2:12" ht="12.95" customHeight="1" outlineLevel="1" x14ac:dyDescent="0.2">
      <c r="B25" s="85" t="s">
        <v>6</v>
      </c>
      <c r="C25" s="24">
        <f>112206076.25</f>
        <v>112206076.25</v>
      </c>
      <c r="D25" s="24">
        <f>17722735.8</f>
        <v>17722735.800000001</v>
      </c>
      <c r="E25" s="24" t="s">
        <v>59</v>
      </c>
      <c r="F25" s="24" t="s">
        <v>59</v>
      </c>
      <c r="G25" s="24" t="s">
        <v>59</v>
      </c>
      <c r="H25" s="24" t="s">
        <v>59</v>
      </c>
      <c r="I25" s="24" t="s">
        <v>59</v>
      </c>
      <c r="J25" s="34">
        <f t="shared" si="0"/>
        <v>1.0374639275637925E-2</v>
      </c>
      <c r="K25" s="34">
        <f t="shared" si="1"/>
        <v>15.794809329677456</v>
      </c>
      <c r="L25" s="29"/>
    </row>
    <row r="26" spans="2:12" ht="12.95" customHeight="1" outlineLevel="1" x14ac:dyDescent="0.2">
      <c r="B26" s="83" t="s">
        <v>7</v>
      </c>
      <c r="C26" s="24">
        <f>6295870237.17</f>
        <v>6295870237.1700001</v>
      </c>
      <c r="D26" s="24">
        <f>2890528056.56</f>
        <v>2890528056.5599999</v>
      </c>
      <c r="E26" s="24" t="s">
        <v>59</v>
      </c>
      <c r="F26" s="24" t="s">
        <v>59</v>
      </c>
      <c r="G26" s="24" t="s">
        <v>59</v>
      </c>
      <c r="H26" s="24" t="s">
        <v>59</v>
      </c>
      <c r="I26" s="24" t="s">
        <v>59</v>
      </c>
      <c r="J26" s="34">
        <f t="shared" si="0"/>
        <v>1.6920743073380771</v>
      </c>
      <c r="K26" s="34">
        <f t="shared" si="1"/>
        <v>45.911493529436136</v>
      </c>
      <c r="L26" s="29"/>
    </row>
    <row r="27" spans="2:12" ht="12.95" customHeight="1" outlineLevel="1" x14ac:dyDescent="0.2">
      <c r="B27" s="85" t="s">
        <v>6</v>
      </c>
      <c r="C27" s="24">
        <f>1007954538.08</f>
        <v>1007954538.08</v>
      </c>
      <c r="D27" s="24">
        <f>130957130.74</f>
        <v>130957130.73999999</v>
      </c>
      <c r="E27" s="24" t="s">
        <v>59</v>
      </c>
      <c r="F27" s="24" t="s">
        <v>59</v>
      </c>
      <c r="G27" s="24" t="s">
        <v>59</v>
      </c>
      <c r="H27" s="24" t="s">
        <v>59</v>
      </c>
      <c r="I27" s="24" t="s">
        <v>59</v>
      </c>
      <c r="J27" s="34">
        <f t="shared" si="0"/>
        <v>7.6660455097460445E-2</v>
      </c>
      <c r="K27" s="34">
        <f t="shared" si="1"/>
        <v>12.992364813343011</v>
      </c>
      <c r="L27" s="29"/>
    </row>
    <row r="28" spans="2:12" ht="33" customHeight="1" outlineLevel="1" x14ac:dyDescent="0.2">
      <c r="B28" s="83" t="s">
        <v>10</v>
      </c>
      <c r="C28" s="24">
        <f>377830035.75</f>
        <v>377830035.75</v>
      </c>
      <c r="D28" s="24">
        <f>266881270.28</f>
        <v>266881270.28</v>
      </c>
      <c r="E28" s="24" t="s">
        <v>59</v>
      </c>
      <c r="F28" s="24" t="s">
        <v>59</v>
      </c>
      <c r="G28" s="24" t="s">
        <v>59</v>
      </c>
      <c r="H28" s="24" t="s">
        <v>59</v>
      </c>
      <c r="I28" s="24" t="s">
        <v>59</v>
      </c>
      <c r="J28" s="34">
        <f t="shared" si="0"/>
        <v>0.15622852700760956</v>
      </c>
      <c r="K28" s="34">
        <f t="shared" si="1"/>
        <v>70.635271161075238</v>
      </c>
      <c r="L28" s="29"/>
    </row>
    <row r="29" spans="2:12" ht="12.95" customHeight="1" outlineLevel="1" x14ac:dyDescent="0.2">
      <c r="B29" s="85" t="s">
        <v>6</v>
      </c>
      <c r="C29" s="24">
        <f>30542534.79</f>
        <v>30542534.789999999</v>
      </c>
      <c r="D29" s="24">
        <f>9432586.51</f>
        <v>9432586.5099999998</v>
      </c>
      <c r="E29" s="24" t="s">
        <v>59</v>
      </c>
      <c r="F29" s="24" t="s">
        <v>59</v>
      </c>
      <c r="G29" s="24" t="s">
        <v>59</v>
      </c>
      <c r="H29" s="24" t="s">
        <v>59</v>
      </c>
      <c r="I29" s="24" t="s">
        <v>59</v>
      </c>
      <c r="J29" s="34">
        <f t="shared" si="0"/>
        <v>5.5217029459694632E-3</v>
      </c>
      <c r="K29" s="34">
        <f t="shared" si="1"/>
        <v>30.883443613489291</v>
      </c>
      <c r="L29" s="29"/>
    </row>
    <row r="30" spans="2:12" ht="27.95" customHeight="1" outlineLevel="1" x14ac:dyDescent="0.2">
      <c r="B30" s="83" t="s">
        <v>11</v>
      </c>
      <c r="C30" s="24">
        <f>1659152359.93</f>
        <v>1659152359.9300001</v>
      </c>
      <c r="D30" s="24">
        <f>694875042.6</f>
        <v>694875042.60000002</v>
      </c>
      <c r="E30" s="24" t="s">
        <v>59</v>
      </c>
      <c r="F30" s="24" t="s">
        <v>59</v>
      </c>
      <c r="G30" s="24" t="s">
        <v>59</v>
      </c>
      <c r="H30" s="24" t="s">
        <v>59</v>
      </c>
      <c r="I30" s="24" t="s">
        <v>59</v>
      </c>
      <c r="J30" s="34">
        <f t="shared" si="0"/>
        <v>0.4067700376495223</v>
      </c>
      <c r="K30" s="34">
        <f t="shared" si="1"/>
        <v>41.881328043273669</v>
      </c>
      <c r="L30" s="29"/>
    </row>
    <row r="31" spans="2:12" ht="12.95" customHeight="1" outlineLevel="1" x14ac:dyDescent="0.2">
      <c r="B31" s="85" t="s">
        <v>6</v>
      </c>
      <c r="C31" s="24">
        <f>364007460.01</f>
        <v>364007460.00999999</v>
      </c>
      <c r="D31" s="24">
        <f>57344901.13</f>
        <v>57344901.130000003</v>
      </c>
      <c r="E31" s="24" t="s">
        <v>59</v>
      </c>
      <c r="F31" s="24" t="s">
        <v>59</v>
      </c>
      <c r="G31" s="24" t="s">
        <v>59</v>
      </c>
      <c r="H31" s="24" t="s">
        <v>59</v>
      </c>
      <c r="I31" s="24" t="s">
        <v>59</v>
      </c>
      <c r="J31" s="34">
        <f t="shared" si="0"/>
        <v>3.356889535761582E-2</v>
      </c>
      <c r="K31" s="34">
        <f t="shared" si="1"/>
        <v>15.75377085085691</v>
      </c>
      <c r="L31" s="29"/>
    </row>
    <row r="32" spans="2:12" ht="33.75" outlineLevel="1" x14ac:dyDescent="0.2">
      <c r="B32" s="83" t="s">
        <v>81</v>
      </c>
      <c r="C32" s="24">
        <f>1865562485.16</f>
        <v>1865562485.1600001</v>
      </c>
      <c r="D32" s="24">
        <f>547429549.43</f>
        <v>547429549.42999995</v>
      </c>
      <c r="E32" s="24" t="s">
        <v>59</v>
      </c>
      <c r="F32" s="24" t="s">
        <v>59</v>
      </c>
      <c r="G32" s="24" t="s">
        <v>59</v>
      </c>
      <c r="H32" s="24" t="s">
        <v>59</v>
      </c>
      <c r="I32" s="24" t="s">
        <v>59</v>
      </c>
      <c r="J32" s="34">
        <f t="shared" si="0"/>
        <v>0.32045752801671007</v>
      </c>
      <c r="K32" s="34">
        <f t="shared" si="1"/>
        <v>29.34394070338789</v>
      </c>
      <c r="L32" s="29"/>
    </row>
    <row r="33" spans="2:12" ht="12.95" customHeight="1" outlineLevel="1" x14ac:dyDescent="0.2">
      <c r="B33" s="85" t="s">
        <v>6</v>
      </c>
      <c r="C33" s="24">
        <f>1590518178.38</f>
        <v>1590518178.3800001</v>
      </c>
      <c r="D33" s="24">
        <f>422195910.34</f>
        <v>422195910.33999997</v>
      </c>
      <c r="E33" s="24" t="s">
        <v>59</v>
      </c>
      <c r="F33" s="24" t="s">
        <v>59</v>
      </c>
      <c r="G33" s="24" t="s">
        <v>59</v>
      </c>
      <c r="H33" s="24" t="s">
        <v>59</v>
      </c>
      <c r="I33" s="24" t="s">
        <v>59</v>
      </c>
      <c r="J33" s="34">
        <f t="shared" si="0"/>
        <v>0.24714752411007967</v>
      </c>
      <c r="K33" s="34">
        <f t="shared" si="1"/>
        <v>26.544551082718318</v>
      </c>
      <c r="L33" s="29"/>
    </row>
    <row r="34" spans="2:12" ht="12.95" customHeight="1" outlineLevel="1" x14ac:dyDescent="0.2">
      <c r="B34" s="83" t="s">
        <v>8</v>
      </c>
      <c r="C34" s="24">
        <f>678939745.94</f>
        <v>678939745.94000006</v>
      </c>
      <c r="D34" s="24">
        <f>206686340.07</f>
        <v>206686340.06999999</v>
      </c>
      <c r="E34" s="24" t="s">
        <v>59</v>
      </c>
      <c r="F34" s="24" t="s">
        <v>59</v>
      </c>
      <c r="G34" s="24" t="s">
        <v>59</v>
      </c>
      <c r="H34" s="24" t="s">
        <v>59</v>
      </c>
      <c r="I34" s="24" t="s">
        <v>59</v>
      </c>
      <c r="J34" s="34">
        <f t="shared" si="0"/>
        <v>0.12099126487165028</v>
      </c>
      <c r="K34" s="34">
        <f t="shared" si="1"/>
        <v>30.442515894225686</v>
      </c>
      <c r="L34" s="29"/>
    </row>
    <row r="35" spans="2:12" ht="12.95" customHeight="1" outlineLevel="1" x14ac:dyDescent="0.2">
      <c r="B35" s="85" t="s">
        <v>6</v>
      </c>
      <c r="C35" s="24">
        <f>557070483.65</f>
        <v>557070483.64999998</v>
      </c>
      <c r="D35" s="24">
        <f>136782107.81</f>
        <v>136782107.81</v>
      </c>
      <c r="E35" s="24" t="s">
        <v>59</v>
      </c>
      <c r="F35" s="24" t="s">
        <v>59</v>
      </c>
      <c r="G35" s="24" t="s">
        <v>59</v>
      </c>
      <c r="H35" s="24" t="s">
        <v>59</v>
      </c>
      <c r="I35" s="24" t="s">
        <v>59</v>
      </c>
      <c r="J35" s="34">
        <f t="shared" si="0"/>
        <v>8.0070314420088981E-2</v>
      </c>
      <c r="K35" s="34">
        <f t="shared" si="1"/>
        <v>24.55382430492196</v>
      </c>
      <c r="L35" s="29"/>
    </row>
    <row r="36" spans="2:12" ht="67.5" outlineLevel="1" x14ac:dyDescent="0.2">
      <c r="B36" s="83" t="s">
        <v>100</v>
      </c>
      <c r="C36" s="24">
        <f>10669626.59</f>
        <v>10669626.59</v>
      </c>
      <c r="D36" s="24">
        <f>1562528.18</f>
        <v>1562528.18</v>
      </c>
      <c r="E36" s="24" t="s">
        <v>59</v>
      </c>
      <c r="F36" s="24" t="s">
        <v>59</v>
      </c>
      <c r="G36" s="24" t="s">
        <v>59</v>
      </c>
      <c r="H36" s="24" t="s">
        <v>59</v>
      </c>
      <c r="I36" s="24" t="s">
        <v>59</v>
      </c>
      <c r="J36" s="34">
        <f t="shared" si="0"/>
        <v>9.1468193220592083E-4</v>
      </c>
      <c r="K36" s="34">
        <f t="shared" si="1"/>
        <v>14.644637905739492</v>
      </c>
      <c r="L36" s="29"/>
    </row>
    <row r="37" spans="2:12" ht="12.95" customHeight="1" outlineLevel="1" x14ac:dyDescent="0.2">
      <c r="B37" s="85" t="s">
        <v>98</v>
      </c>
      <c r="C37" s="24">
        <f>9533286.42</f>
        <v>9533286.4199999999</v>
      </c>
      <c r="D37" s="24">
        <f>1097581.68</f>
        <v>1097581.68</v>
      </c>
      <c r="E37" s="24" t="s">
        <v>59</v>
      </c>
      <c r="F37" s="24" t="s">
        <v>59</v>
      </c>
      <c r="G37" s="24" t="s">
        <v>59</v>
      </c>
      <c r="H37" s="24" t="s">
        <v>59</v>
      </c>
      <c r="I37" s="24" t="s">
        <v>59</v>
      </c>
      <c r="J37" s="34">
        <f t="shared" si="0"/>
        <v>6.4250881658737234E-4</v>
      </c>
      <c r="K37" s="34">
        <f t="shared" si="1"/>
        <v>11.513151201430073</v>
      </c>
      <c r="L37" s="29"/>
    </row>
    <row r="38" spans="2:12" ht="45" outlineLevel="1" x14ac:dyDescent="0.2">
      <c r="B38" s="86" t="s">
        <v>97</v>
      </c>
      <c r="C38" s="24">
        <f>10635989199.52</f>
        <v>10635989199.52</v>
      </c>
      <c r="D38" s="24">
        <f>694785959.18</f>
        <v>694785959.17999995</v>
      </c>
      <c r="E38" s="24" t="s">
        <v>59</v>
      </c>
      <c r="F38" s="24" t="s">
        <v>59</v>
      </c>
      <c r="G38" s="24" t="s">
        <v>59</v>
      </c>
      <c r="H38" s="24" t="s">
        <v>59</v>
      </c>
      <c r="I38" s="24" t="s">
        <v>59</v>
      </c>
      <c r="J38" s="34">
        <f t="shared" si="0"/>
        <v>0.40671788947339593</v>
      </c>
      <c r="K38" s="34">
        <f t="shared" si="1"/>
        <v>6.5324056479049029</v>
      </c>
      <c r="L38" s="29"/>
    </row>
    <row r="39" spans="2:12" ht="12.95" customHeight="1" outlineLevel="1" x14ac:dyDescent="0.2">
      <c r="B39" s="87" t="s">
        <v>6</v>
      </c>
      <c r="C39" s="24">
        <f>10403488455.46</f>
        <v>10403488455.459999</v>
      </c>
      <c r="D39" s="24">
        <f>525811618.99</f>
        <v>525811618.99000001</v>
      </c>
      <c r="E39" s="24" t="s">
        <v>59</v>
      </c>
      <c r="F39" s="24" t="s">
        <v>59</v>
      </c>
      <c r="G39" s="24" t="s">
        <v>59</v>
      </c>
      <c r="H39" s="24" t="s">
        <v>59</v>
      </c>
      <c r="I39" s="24" t="s">
        <v>59</v>
      </c>
      <c r="J39" s="34">
        <f t="shared" si="0"/>
        <v>0.30780269680262451</v>
      </c>
      <c r="K39" s="34">
        <f t="shared" si="1"/>
        <v>5.0541856343776832</v>
      </c>
      <c r="L39" s="29"/>
    </row>
    <row r="40" spans="2:12" ht="14.1" customHeight="1" outlineLevel="1" x14ac:dyDescent="0.2">
      <c r="B40" s="84" t="s">
        <v>72</v>
      </c>
      <c r="C40" s="59">
        <f>2885995155.12</f>
        <v>2885995155.1199999</v>
      </c>
      <c r="D40" s="59">
        <f>957109129.7</f>
        <v>957109129.70000005</v>
      </c>
      <c r="E40" s="61" t="s">
        <v>59</v>
      </c>
      <c r="F40" s="61" t="s">
        <v>59</v>
      </c>
      <c r="G40" s="61" t="s">
        <v>59</v>
      </c>
      <c r="H40" s="61" t="s">
        <v>59</v>
      </c>
      <c r="I40" s="61" t="s">
        <v>59</v>
      </c>
      <c r="J40" s="60">
        <f t="shared" si="0"/>
        <v>0.56027816924615292</v>
      </c>
      <c r="K40" s="60">
        <f t="shared" si="1"/>
        <v>33.163920181986697</v>
      </c>
      <c r="L40" s="29"/>
    </row>
    <row r="41" spans="2:12" ht="12.95" customHeight="1" outlineLevel="1" x14ac:dyDescent="0.2">
      <c r="B41" s="90" t="s">
        <v>73</v>
      </c>
      <c r="C41" s="23">
        <f>1923099187.88</f>
        <v>1923099187.8800001</v>
      </c>
      <c r="D41" s="23">
        <f>467693969.71</f>
        <v>467693969.70999998</v>
      </c>
      <c r="E41" s="23" t="s">
        <v>59</v>
      </c>
      <c r="F41" s="23" t="s">
        <v>59</v>
      </c>
      <c r="G41" s="23" t="s">
        <v>59</v>
      </c>
      <c r="H41" s="23" t="s">
        <v>59</v>
      </c>
      <c r="I41" s="23" t="s">
        <v>59</v>
      </c>
      <c r="J41" s="34">
        <f t="shared" si="0"/>
        <v>0.27378144558992862</v>
      </c>
      <c r="K41" s="34">
        <f t="shared" si="1"/>
        <v>24.319804857573665</v>
      </c>
      <c r="L41" s="29"/>
    </row>
    <row r="42" spans="2:12" ht="14.1" customHeight="1" outlineLevel="1" x14ac:dyDescent="0.2">
      <c r="B42" s="84" t="s">
        <v>87</v>
      </c>
      <c r="C42" s="59">
        <f>19743934343.64</f>
        <v>19743934343.639999</v>
      </c>
      <c r="D42" s="59">
        <f>6510037385.93</f>
        <v>6510037385.9300003</v>
      </c>
      <c r="E42" s="61" t="s">
        <v>59</v>
      </c>
      <c r="F42" s="61" t="s">
        <v>59</v>
      </c>
      <c r="G42" s="61" t="s">
        <v>59</v>
      </c>
      <c r="H42" s="61" t="s">
        <v>59</v>
      </c>
      <c r="I42" s="61" t="s">
        <v>59</v>
      </c>
      <c r="J42" s="60">
        <f t="shared" si="0"/>
        <v>3.8108839578785929</v>
      </c>
      <c r="K42" s="60">
        <f t="shared" si="1"/>
        <v>32.972341138416724</v>
      </c>
      <c r="L42" s="29"/>
    </row>
    <row r="43" spans="2:12" ht="12.95" customHeight="1" outlineLevel="1" x14ac:dyDescent="0.2">
      <c r="B43" s="90" t="s">
        <v>88</v>
      </c>
      <c r="C43" s="23">
        <f>15353701295.18</f>
        <v>15353701295.18</v>
      </c>
      <c r="D43" s="23">
        <f>4151451826.48</f>
        <v>4151451826.48</v>
      </c>
      <c r="E43" s="23" t="s">
        <v>59</v>
      </c>
      <c r="F43" s="23" t="s">
        <v>59</v>
      </c>
      <c r="G43" s="23" t="s">
        <v>59</v>
      </c>
      <c r="H43" s="23" t="s">
        <v>59</v>
      </c>
      <c r="I43" s="23" t="s">
        <v>59</v>
      </c>
      <c r="J43" s="34">
        <f t="shared" si="0"/>
        <v>2.4302012768208288</v>
      </c>
      <c r="K43" s="34">
        <f t="shared" si="1"/>
        <v>27.038769002125036</v>
      </c>
      <c r="L43" s="29"/>
    </row>
    <row r="44" spans="2:12" ht="27.95" customHeight="1" x14ac:dyDescent="0.2">
      <c r="B44" s="79" t="s">
        <v>62</v>
      </c>
      <c r="C44" s="59">
        <f>C45+C46+C47+C48+C49+C50</f>
        <v>73234209298.050003</v>
      </c>
      <c r="D44" s="59">
        <f>D45+D46+D47+D48+D49+D50</f>
        <v>42819643903</v>
      </c>
      <c r="E44" s="61" t="s">
        <v>59</v>
      </c>
      <c r="F44" s="61" t="s">
        <v>59</v>
      </c>
      <c r="G44" s="61" t="s">
        <v>59</v>
      </c>
      <c r="H44" s="61" t="s">
        <v>59</v>
      </c>
      <c r="I44" s="61" t="s">
        <v>59</v>
      </c>
      <c r="J44" s="60">
        <f t="shared" si="0"/>
        <v>25.066014887210237</v>
      </c>
      <c r="K44" s="60">
        <f t="shared" si="1"/>
        <v>58.469456164579839</v>
      </c>
      <c r="L44" s="29"/>
    </row>
    <row r="45" spans="2:12" ht="15" customHeight="1" outlineLevel="1" x14ac:dyDescent="0.2">
      <c r="B45" s="30" t="s">
        <v>48</v>
      </c>
      <c r="C45" s="23">
        <f>14709067041</f>
        <v>14709067041</v>
      </c>
      <c r="D45" s="23">
        <f>7356268188</f>
        <v>7356268188</v>
      </c>
      <c r="E45" s="23" t="s">
        <v>59</v>
      </c>
      <c r="F45" s="23" t="s">
        <v>59</v>
      </c>
      <c r="G45" s="23" t="s">
        <v>59</v>
      </c>
      <c r="H45" s="23" t="s">
        <v>59</v>
      </c>
      <c r="I45" s="23" t="s">
        <v>59</v>
      </c>
      <c r="J45" s="34">
        <f t="shared" si="0"/>
        <v>4.3062555198363128</v>
      </c>
      <c r="K45" s="34">
        <f t="shared" si="1"/>
        <v>50.011793185082134</v>
      </c>
      <c r="L45" s="29"/>
    </row>
    <row r="46" spans="2:12" ht="15" customHeight="1" outlineLevel="1" x14ac:dyDescent="0.2">
      <c r="B46" s="30" t="s">
        <v>47</v>
      </c>
      <c r="C46" s="23">
        <f>54768691508</f>
        <v>54768691508</v>
      </c>
      <c r="D46" s="23">
        <f>33459779114</f>
        <v>33459779114</v>
      </c>
      <c r="E46" s="23" t="s">
        <v>59</v>
      </c>
      <c r="F46" s="23" t="s">
        <v>59</v>
      </c>
      <c r="G46" s="23" t="s">
        <v>59</v>
      </c>
      <c r="H46" s="23" t="s">
        <v>59</v>
      </c>
      <c r="I46" s="23" t="s">
        <v>59</v>
      </c>
      <c r="J46" s="34">
        <f t="shared" si="0"/>
        <v>19.586882209815144</v>
      </c>
      <c r="K46" s="34">
        <f t="shared" si="1"/>
        <v>61.092894850541697</v>
      </c>
      <c r="L46" s="29"/>
    </row>
    <row r="47" spans="2:12" ht="15" customHeight="1" outlineLevel="1" x14ac:dyDescent="0.2">
      <c r="B47" s="30" t="s">
        <v>46</v>
      </c>
      <c r="C47" s="23">
        <f>3098833</f>
        <v>3098833</v>
      </c>
      <c r="D47" s="23">
        <f>0</f>
        <v>0</v>
      </c>
      <c r="E47" s="23" t="s">
        <v>59</v>
      </c>
      <c r="F47" s="23" t="s">
        <v>59</v>
      </c>
      <c r="G47" s="23" t="s">
        <v>59</v>
      </c>
      <c r="H47" s="23" t="s">
        <v>59</v>
      </c>
      <c r="I47" s="23" t="s">
        <v>59</v>
      </c>
      <c r="J47" s="34">
        <f t="shared" si="0"/>
        <v>0</v>
      </c>
      <c r="K47" s="34">
        <f t="shared" si="1"/>
        <v>0</v>
      </c>
      <c r="L47" s="29"/>
    </row>
    <row r="48" spans="2:12" ht="15" customHeight="1" outlineLevel="1" x14ac:dyDescent="0.2">
      <c r="B48" s="30" t="s">
        <v>45</v>
      </c>
      <c r="C48" s="23">
        <f>2188819729</f>
        <v>2188819729</v>
      </c>
      <c r="D48" s="23">
        <f>1094277468</f>
        <v>1094277468</v>
      </c>
      <c r="E48" s="23" t="s">
        <v>59</v>
      </c>
      <c r="F48" s="23" t="s">
        <v>59</v>
      </c>
      <c r="G48" s="23" t="s">
        <v>59</v>
      </c>
      <c r="H48" s="23" t="s">
        <v>59</v>
      </c>
      <c r="I48" s="23" t="s">
        <v>59</v>
      </c>
      <c r="J48" s="34">
        <f t="shared" si="0"/>
        <v>0.64057457754115055</v>
      </c>
      <c r="K48" s="34">
        <f t="shared" si="1"/>
        <v>49.993951237817996</v>
      </c>
      <c r="L48" s="29"/>
    </row>
    <row r="49" spans="1:26" ht="15" customHeight="1" outlineLevel="1" x14ac:dyDescent="0.2">
      <c r="B49" s="30" t="s">
        <v>58</v>
      </c>
      <c r="C49" s="23">
        <f>884998923</f>
        <v>884998923</v>
      </c>
      <c r="D49" s="23">
        <f>442499466</f>
        <v>442499466</v>
      </c>
      <c r="E49" s="23" t="s">
        <v>59</v>
      </c>
      <c r="F49" s="23" t="s">
        <v>59</v>
      </c>
      <c r="G49" s="23" t="s">
        <v>59</v>
      </c>
      <c r="H49" s="23" t="s">
        <v>59</v>
      </c>
      <c r="I49" s="23" t="s">
        <v>59</v>
      </c>
      <c r="J49" s="34">
        <f t="shared" si="0"/>
        <v>0.2590329388881602</v>
      </c>
      <c r="K49" s="34">
        <f t="shared" si="1"/>
        <v>50.000000508475196</v>
      </c>
      <c r="L49" s="29"/>
    </row>
    <row r="50" spans="1:26" ht="15" customHeight="1" outlineLevel="1" x14ac:dyDescent="0.2">
      <c r="B50" s="30" t="s">
        <v>43</v>
      </c>
      <c r="C50" s="23">
        <f>679533264.05</f>
        <v>679533264.04999995</v>
      </c>
      <c r="D50" s="23">
        <f>466819667</f>
        <v>466819667</v>
      </c>
      <c r="E50" s="23" t="s">
        <v>59</v>
      </c>
      <c r="F50" s="23" t="s">
        <v>59</v>
      </c>
      <c r="G50" s="23" t="s">
        <v>59</v>
      </c>
      <c r="H50" s="23" t="s">
        <v>59</v>
      </c>
      <c r="I50" s="23" t="s">
        <v>59</v>
      </c>
      <c r="J50" s="34">
        <f t="shared" si="0"/>
        <v>0.27326964112947044</v>
      </c>
      <c r="K50" s="34">
        <f t="shared" si="1"/>
        <v>68.697103099525606</v>
      </c>
      <c r="L50" s="29"/>
    </row>
    <row r="51" spans="1:26" s="6" customFormat="1" ht="13.5" customHeight="1" x14ac:dyDescent="0.2">
      <c r="A51" s="3"/>
      <c r="B51" s="21"/>
      <c r="C51" s="8"/>
      <c r="D51" s="9"/>
      <c r="E51" s="16"/>
      <c r="F51" s="16"/>
      <c r="G51" s="16"/>
      <c r="H51" s="16"/>
      <c r="I51" s="16"/>
      <c r="J51" s="10"/>
      <c r="K51" s="10"/>
      <c r="L51" s="4"/>
    </row>
    <row r="52" spans="1:26" s="6" customFormat="1" ht="18.75" customHeight="1" x14ac:dyDescent="0.2">
      <c r="A52" s="3"/>
      <c r="B52" s="63" t="s">
        <v>5</v>
      </c>
      <c r="C52" s="64">
        <f t="shared" ref="C52:I52" si="4">+C6</f>
        <v>319330020144.89001</v>
      </c>
      <c r="D52" s="64">
        <f t="shared" si="4"/>
        <v>170827489314.42001</v>
      </c>
      <c r="E52" s="64">
        <f t="shared" si="4"/>
        <v>1886123904.3199999</v>
      </c>
      <c r="F52" s="64">
        <f t="shared" si="4"/>
        <v>515655325.95999998</v>
      </c>
      <c r="G52" s="64">
        <f t="shared" si="4"/>
        <v>56427431.700000003</v>
      </c>
      <c r="H52" s="64">
        <f t="shared" si="4"/>
        <v>161943283.88999999</v>
      </c>
      <c r="I52" s="64">
        <f t="shared" si="4"/>
        <v>3083180.06</v>
      </c>
      <c r="J52" s="65">
        <f>IF($D$52=0,"",100*$D52/$D$52)</f>
        <v>100</v>
      </c>
      <c r="K52" s="65">
        <f>IF(C52=0,"",100*D52/C52)</f>
        <v>53.495593441828689</v>
      </c>
      <c r="L52" s="4"/>
    </row>
    <row r="53" spans="1:26" s="6" customFormat="1" ht="20.100000000000001" customHeight="1" x14ac:dyDescent="0.2">
      <c r="A53" s="3"/>
      <c r="B53" s="56" t="s">
        <v>76</v>
      </c>
      <c r="C53" s="57">
        <f>44784940574.16</f>
        <v>44784940574.160004</v>
      </c>
      <c r="D53" s="57">
        <f>10501415139.87</f>
        <v>10501415139.870001</v>
      </c>
      <c r="E53" s="57">
        <f>0</f>
        <v>0</v>
      </c>
      <c r="F53" s="57">
        <f>0</f>
        <v>0</v>
      </c>
      <c r="G53" s="57">
        <f>0</f>
        <v>0</v>
      </c>
      <c r="H53" s="57">
        <f>111437</f>
        <v>111437</v>
      </c>
      <c r="I53" s="57">
        <f>4840.65</f>
        <v>4840.6499999999996</v>
      </c>
      <c r="J53" s="35">
        <f>IF($D$52=0,"",100*$D53/$D$52)</f>
        <v>6.1473801330308193</v>
      </c>
      <c r="K53" s="35">
        <f>IF(C53=0,"",100*D53/C53)</f>
        <v>23.448540972116646</v>
      </c>
      <c r="L53" s="4"/>
    </row>
    <row r="54" spans="1:26" s="6" customFormat="1" ht="20.100000000000001" customHeight="1" x14ac:dyDescent="0.2">
      <c r="A54" s="3"/>
      <c r="B54" s="56" t="s">
        <v>77</v>
      </c>
      <c r="C54" s="57">
        <f>+C52-C53</f>
        <v>274545079570.73001</v>
      </c>
      <c r="D54" s="57">
        <f t="shared" ref="D54:I54" si="5">+D52-D53</f>
        <v>160326074174.55002</v>
      </c>
      <c r="E54" s="57">
        <f t="shared" si="5"/>
        <v>1886123904.3199999</v>
      </c>
      <c r="F54" s="57">
        <f t="shared" si="5"/>
        <v>515655325.95999998</v>
      </c>
      <c r="G54" s="57">
        <f t="shared" si="5"/>
        <v>56427431.700000003</v>
      </c>
      <c r="H54" s="57">
        <f t="shared" si="5"/>
        <v>161831846.88999999</v>
      </c>
      <c r="I54" s="57">
        <f t="shared" si="5"/>
        <v>3078339.41</v>
      </c>
      <c r="J54" s="35">
        <f>IF($D$52=0,"",100*$D54/$D$52)</f>
        <v>93.852619866969192</v>
      </c>
      <c r="K54" s="35">
        <f>IF(C54=0,"",100*D54/C54)</f>
        <v>58.396994193168858</v>
      </c>
      <c r="L54" s="4"/>
    </row>
    <row r="55" spans="1:26" s="6" customFormat="1" ht="13.5" customHeight="1" x14ac:dyDescent="0.2">
      <c r="A55" s="3"/>
      <c r="B55" s="21"/>
      <c r="C55" s="8"/>
      <c r="D55" s="9"/>
      <c r="E55" s="9"/>
      <c r="F55" s="16"/>
      <c r="G55" s="16"/>
      <c r="H55" s="16"/>
      <c r="I55" s="16"/>
      <c r="J55" s="16"/>
      <c r="K55" s="10"/>
      <c r="L55" s="10"/>
      <c r="M55" s="4"/>
    </row>
    <row r="56" spans="1:26" ht="27" customHeight="1" x14ac:dyDescent="0.2">
      <c r="B56" s="89" t="str">
        <f>CONCATENATE("Informacja z wykonania budżetów jednostek samorządu terytorialnego za ",$D$112," ",$C$113," roku")</f>
        <v>Informacja z wykonania budżetów jednostek samorządu terytorialnego za II Kwartały 2022 roku</v>
      </c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</row>
    <row r="57" spans="1:26" s="6" customFormat="1" ht="9.75" customHeight="1" x14ac:dyDescent="0.2">
      <c r="B57" s="7"/>
      <c r="C57" s="8"/>
      <c r="D57" s="9"/>
      <c r="E57" s="9"/>
      <c r="F57" s="5"/>
      <c r="G57" s="5"/>
      <c r="H57" s="5"/>
      <c r="I57" s="5"/>
      <c r="J57" s="5"/>
      <c r="K57" s="10"/>
      <c r="L57" s="10"/>
      <c r="M57" s="4"/>
    </row>
    <row r="58" spans="1:26" ht="29.25" customHeight="1" x14ac:dyDescent="0.2">
      <c r="B58" s="101" t="s">
        <v>0</v>
      </c>
      <c r="C58" s="106" t="s">
        <v>54</v>
      </c>
      <c r="D58" s="106" t="s">
        <v>56</v>
      </c>
      <c r="E58" s="106" t="s">
        <v>55</v>
      </c>
      <c r="F58" s="106" t="s">
        <v>12</v>
      </c>
      <c r="G58" s="106"/>
      <c r="H58" s="106"/>
      <c r="I58" s="117" t="s">
        <v>89</v>
      </c>
      <c r="J58" s="117" t="s">
        <v>2</v>
      </c>
      <c r="K58" s="114" t="s">
        <v>18</v>
      </c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customHeight="1" x14ac:dyDescent="0.2">
      <c r="B59" s="101"/>
      <c r="C59" s="106"/>
      <c r="D59" s="106"/>
      <c r="E59" s="106"/>
      <c r="F59" s="107" t="s">
        <v>57</v>
      </c>
      <c r="G59" s="120" t="s">
        <v>34</v>
      </c>
      <c r="H59" s="108"/>
      <c r="I59" s="118"/>
      <c r="J59" s="118"/>
      <c r="K59" s="115"/>
      <c r="L59" s="12"/>
      <c r="M59" s="13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66.75" customHeight="1" x14ac:dyDescent="0.2">
      <c r="B60" s="101"/>
      <c r="C60" s="106"/>
      <c r="D60" s="106"/>
      <c r="E60" s="106"/>
      <c r="F60" s="108"/>
      <c r="G60" s="18" t="s">
        <v>52</v>
      </c>
      <c r="H60" s="18" t="s">
        <v>53</v>
      </c>
      <c r="I60" s="119"/>
      <c r="J60" s="119"/>
      <c r="K60" s="116"/>
      <c r="L60" s="12"/>
      <c r="M60" s="11"/>
      <c r="N60" s="22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3.5" customHeight="1" x14ac:dyDescent="0.2">
      <c r="B61" s="101"/>
      <c r="C61" s="103" t="s">
        <v>80</v>
      </c>
      <c r="D61" s="104"/>
      <c r="E61" s="104"/>
      <c r="F61" s="104"/>
      <c r="G61" s="104"/>
      <c r="H61" s="105"/>
      <c r="I61" s="74"/>
      <c r="J61" s="102" t="s">
        <v>4</v>
      </c>
      <c r="K61" s="102"/>
      <c r="N61" s="22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1.25" customHeight="1" x14ac:dyDescent="0.2">
      <c r="B62" s="17">
        <v>1</v>
      </c>
      <c r="C62" s="19">
        <v>2</v>
      </c>
      <c r="D62" s="19">
        <v>3</v>
      </c>
      <c r="E62" s="19">
        <v>4</v>
      </c>
      <c r="F62" s="17">
        <v>5</v>
      </c>
      <c r="G62" s="17">
        <v>6</v>
      </c>
      <c r="H62" s="19">
        <v>7</v>
      </c>
      <c r="I62" s="19">
        <v>8</v>
      </c>
      <c r="J62" s="17">
        <v>9</v>
      </c>
      <c r="K62" s="19">
        <v>10</v>
      </c>
      <c r="M62" s="11"/>
      <c r="N62" s="2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7" customHeight="1" x14ac:dyDescent="0.2">
      <c r="B63" s="58" t="s">
        <v>63</v>
      </c>
      <c r="C63" s="64">
        <f>367848619714.94</f>
        <v>367848619714.94</v>
      </c>
      <c r="D63" s="64">
        <f>156398655553.33</f>
        <v>156398655553.32999</v>
      </c>
      <c r="E63" s="64">
        <f>268112958178.59</f>
        <v>268112958178.59</v>
      </c>
      <c r="F63" s="64">
        <f>7390009930.87</f>
        <v>7390009930.8699999</v>
      </c>
      <c r="G63" s="64">
        <f>1908309.65</f>
        <v>1908309.65</v>
      </c>
      <c r="H63" s="64">
        <f>14724375.27</f>
        <v>14724375.27</v>
      </c>
      <c r="I63" s="71">
        <f>0</f>
        <v>0</v>
      </c>
      <c r="J63" s="50">
        <f>IF($D$63=0,"",100*$D63/$D$63)</f>
        <v>100</v>
      </c>
      <c r="K63" s="50">
        <f>IF(C63=0,"",100*D63/C63)</f>
        <v>42.517124483035794</v>
      </c>
    </row>
    <row r="64" spans="1:26" ht="16.5" customHeight="1" x14ac:dyDescent="0.2">
      <c r="B64" s="78" t="s">
        <v>14</v>
      </c>
      <c r="C64" s="26">
        <f>95577426860.0499</f>
        <v>95577426860.049896</v>
      </c>
      <c r="D64" s="26">
        <f>16530754322.19</f>
        <v>16530754322.190001</v>
      </c>
      <c r="E64" s="26">
        <f>50436577703.45</f>
        <v>50436577703.449997</v>
      </c>
      <c r="F64" s="26">
        <f>1962116867.26</f>
        <v>1962116867.26</v>
      </c>
      <c r="G64" s="26">
        <f>72664.39</f>
        <v>72664.39</v>
      </c>
      <c r="H64" s="26">
        <f>7419436.34</f>
        <v>7419436.3399999999</v>
      </c>
      <c r="I64" s="72">
        <f>0</f>
        <v>0</v>
      </c>
      <c r="J64" s="50">
        <f t="shared" ref="J64:J72" si="6">IF($D$63=0,"",100*$D64/$D$63)</f>
        <v>10.569626870323843</v>
      </c>
      <c r="K64" s="50">
        <f t="shared" ref="K64:K72" si="7">IF(C64=0,"",100*D64/C64)</f>
        <v>17.295667884421398</v>
      </c>
    </row>
    <row r="65" spans="2:13" ht="18" customHeight="1" outlineLevel="1" x14ac:dyDescent="0.2">
      <c r="B65" s="30" t="s">
        <v>13</v>
      </c>
      <c r="C65" s="23">
        <f>91396740672.2899</f>
        <v>91396740672.289902</v>
      </c>
      <c r="D65" s="23">
        <f>14579070883.82</f>
        <v>14579070883.82</v>
      </c>
      <c r="E65" s="23">
        <f>48111398350.55</f>
        <v>48111398350.550003</v>
      </c>
      <c r="F65" s="23">
        <f>1928090247.84</f>
        <v>1928090247.8399999</v>
      </c>
      <c r="G65" s="23">
        <f>72664.39</f>
        <v>72664.39</v>
      </c>
      <c r="H65" s="23">
        <f>7419436.34</f>
        <v>7419436.3399999999</v>
      </c>
      <c r="I65" s="73">
        <f>0</f>
        <v>0</v>
      </c>
      <c r="J65" s="50">
        <f t="shared" si="6"/>
        <v>9.3217367069045682</v>
      </c>
      <c r="K65" s="50">
        <f t="shared" si="7"/>
        <v>15.951412245754351</v>
      </c>
    </row>
    <row r="66" spans="2:13" ht="27" customHeight="1" x14ac:dyDescent="0.2">
      <c r="B66" s="79" t="s">
        <v>64</v>
      </c>
      <c r="C66" s="64">
        <f t="shared" ref="C66:I66" si="8">C63-C64</f>
        <v>272271192854.89011</v>
      </c>
      <c r="D66" s="64">
        <f t="shared" si="8"/>
        <v>139867901231.13998</v>
      </c>
      <c r="E66" s="64">
        <f t="shared" si="8"/>
        <v>217676380475.14001</v>
      </c>
      <c r="F66" s="64">
        <f t="shared" si="8"/>
        <v>5427893063.6099997</v>
      </c>
      <c r="G66" s="64">
        <f t="shared" si="8"/>
        <v>1835645.26</v>
      </c>
      <c r="H66" s="64">
        <f t="shared" si="8"/>
        <v>7304938.9299999997</v>
      </c>
      <c r="I66" s="71">
        <f t="shared" si="8"/>
        <v>0</v>
      </c>
      <c r="J66" s="50">
        <f t="shared" si="6"/>
        <v>89.430373129676155</v>
      </c>
      <c r="K66" s="50">
        <f t="shared" si="7"/>
        <v>51.370804147350285</v>
      </c>
    </row>
    <row r="67" spans="2:13" ht="23.1" customHeight="1" outlineLevel="1" x14ac:dyDescent="0.2">
      <c r="B67" s="30" t="s">
        <v>105</v>
      </c>
      <c r="C67" s="23">
        <f>111868062163.33</f>
        <v>111868062163.33</v>
      </c>
      <c r="D67" s="23">
        <f>56409275545.2801</f>
        <v>56409275545.280098</v>
      </c>
      <c r="E67" s="23">
        <f>98770473524.8902</f>
        <v>98770473524.890198</v>
      </c>
      <c r="F67" s="23">
        <f>2349174021.17</f>
        <v>2349174021.1700001</v>
      </c>
      <c r="G67" s="23">
        <f>800516.38</f>
        <v>800516.38</v>
      </c>
      <c r="H67" s="23">
        <f>153293.47</f>
        <v>153293.47</v>
      </c>
      <c r="I67" s="73">
        <f>0</f>
        <v>0</v>
      </c>
      <c r="J67" s="50">
        <f t="shared" si="6"/>
        <v>36.067621774437342</v>
      </c>
      <c r="K67" s="50">
        <f t="shared" si="7"/>
        <v>50.424825865778587</v>
      </c>
    </row>
    <row r="68" spans="2:13" ht="18" customHeight="1" outlineLevel="1" x14ac:dyDescent="0.2">
      <c r="B68" s="30" t="s">
        <v>51</v>
      </c>
      <c r="C68" s="23">
        <f>30093243795.38</f>
        <v>30093243795.380001</v>
      </c>
      <c r="D68" s="23">
        <f>15528652274.76</f>
        <v>15528652274.76</v>
      </c>
      <c r="E68" s="23">
        <f>23116377053.79</f>
        <v>23116377053.790001</v>
      </c>
      <c r="F68" s="23">
        <f>154637796.31</f>
        <v>154637796.31</v>
      </c>
      <c r="G68" s="23">
        <f>5005</f>
        <v>5005</v>
      </c>
      <c r="H68" s="23">
        <f>0</f>
        <v>0</v>
      </c>
      <c r="I68" s="73">
        <f>0</f>
        <v>0</v>
      </c>
      <c r="J68" s="50">
        <f t="shared" si="6"/>
        <v>9.9288911530731951</v>
      </c>
      <c r="K68" s="50">
        <f t="shared" si="7"/>
        <v>51.601789359590413</v>
      </c>
    </row>
    <row r="69" spans="2:13" ht="18" customHeight="1" outlineLevel="1" x14ac:dyDescent="0.2">
      <c r="B69" s="30" t="s">
        <v>50</v>
      </c>
      <c r="C69" s="23">
        <f>3388649391.43</f>
        <v>3388649391.4299998</v>
      </c>
      <c r="D69" s="23">
        <f>1440728179.66</f>
        <v>1440728179.6600001</v>
      </c>
      <c r="E69" s="23">
        <f>2178460743.8</f>
        <v>2178460743.8000002</v>
      </c>
      <c r="F69" s="23">
        <f>113278343.75</f>
        <v>113278343.75</v>
      </c>
      <c r="G69" s="23">
        <f>0</f>
        <v>0</v>
      </c>
      <c r="H69" s="23">
        <f>60742.88</f>
        <v>60742.879999999997</v>
      </c>
      <c r="I69" s="73">
        <f>0</f>
        <v>0</v>
      </c>
      <c r="J69" s="50">
        <f t="shared" si="6"/>
        <v>0.92118961928590859</v>
      </c>
      <c r="K69" s="50">
        <f t="shared" si="7"/>
        <v>42.516295232656603</v>
      </c>
    </row>
    <row r="70" spans="2:13" ht="23.1" customHeight="1" outlineLevel="1" x14ac:dyDescent="0.2">
      <c r="B70" s="30" t="s">
        <v>70</v>
      </c>
      <c r="C70" s="23">
        <f>431811389.87</f>
        <v>431811389.87</v>
      </c>
      <c r="D70" s="23">
        <f>20585585.98</f>
        <v>20585585.98</v>
      </c>
      <c r="E70" s="23">
        <f>70663646.11</f>
        <v>70663646.109999999</v>
      </c>
      <c r="F70" s="23">
        <f>20400</f>
        <v>20400</v>
      </c>
      <c r="G70" s="23">
        <f>0</f>
        <v>0</v>
      </c>
      <c r="H70" s="23">
        <f>0</f>
        <v>0</v>
      </c>
      <c r="I70" s="73">
        <f>0</f>
        <v>0</v>
      </c>
      <c r="J70" s="50">
        <f t="shared" si="6"/>
        <v>1.3162252518839955E-2</v>
      </c>
      <c r="K70" s="50">
        <f t="shared" si="7"/>
        <v>4.7672633151704131</v>
      </c>
    </row>
    <row r="71" spans="2:13" ht="23.1" customHeight="1" outlineLevel="1" x14ac:dyDescent="0.2">
      <c r="B71" s="30" t="s">
        <v>71</v>
      </c>
      <c r="C71" s="23">
        <f>40056876860.96</f>
        <v>40056876860.959999</v>
      </c>
      <c r="D71" s="23">
        <f>29540974857.82</f>
        <v>29540974857.82</v>
      </c>
      <c r="E71" s="23">
        <f>34424360115.6601</f>
        <v>34424360115.660103</v>
      </c>
      <c r="F71" s="23">
        <f>204752832.44</f>
        <v>204752832.44</v>
      </c>
      <c r="G71" s="23">
        <f>37885.83</f>
        <v>37885.83</v>
      </c>
      <c r="H71" s="23">
        <f>29442.54</f>
        <v>29442.54</v>
      </c>
      <c r="I71" s="73">
        <f>0</f>
        <v>0</v>
      </c>
      <c r="J71" s="50">
        <f t="shared" si="6"/>
        <v>18.88825370864323</v>
      </c>
      <c r="K71" s="50">
        <f t="shared" si="7"/>
        <v>73.747573881904543</v>
      </c>
    </row>
    <row r="72" spans="2:13" ht="18" customHeight="1" outlineLevel="1" x14ac:dyDescent="0.2">
      <c r="B72" s="30" t="s">
        <v>49</v>
      </c>
      <c r="C72" s="23">
        <f t="shared" ref="C72:I72" si="9">C66-C67-C68-C69-C70-C71</f>
        <v>86432549253.920135</v>
      </c>
      <c r="D72" s="23">
        <f t="shared" si="9"/>
        <v>36927684787.639885</v>
      </c>
      <c r="E72" s="23">
        <f t="shared" si="9"/>
        <v>59116045390.889702</v>
      </c>
      <c r="F72" s="23">
        <f t="shared" si="9"/>
        <v>2606029669.9399996</v>
      </c>
      <c r="G72" s="23">
        <f t="shared" si="9"/>
        <v>992238.05</v>
      </c>
      <c r="H72" s="23">
        <f t="shared" si="9"/>
        <v>7061460.04</v>
      </c>
      <c r="I72" s="73">
        <f t="shared" si="9"/>
        <v>0</v>
      </c>
      <c r="J72" s="50">
        <f t="shared" si="6"/>
        <v>23.611254621717642</v>
      </c>
      <c r="K72" s="50">
        <f t="shared" si="7"/>
        <v>42.724280501266172</v>
      </c>
    </row>
    <row r="73" spans="2:13" ht="18.75" customHeight="1" x14ac:dyDescent="0.2">
      <c r="B73" s="20" t="s">
        <v>15</v>
      </c>
      <c r="C73" s="26">
        <f>C6-C63</f>
        <v>-48518599570.049988</v>
      </c>
      <c r="D73" s="26">
        <f>D6-D63</f>
        <v>14428833761.090027</v>
      </c>
      <c r="E73" s="28"/>
      <c r="F73" s="28"/>
      <c r="G73" s="14"/>
    </row>
    <row r="74" spans="2:13" ht="38.25" x14ac:dyDescent="0.2">
      <c r="B74" s="51" t="s">
        <v>108</v>
      </c>
      <c r="C74" s="52">
        <f>+C54-C66</f>
        <v>2273886715.8399048</v>
      </c>
      <c r="D74" s="52">
        <f>+D54-D66</f>
        <v>20458172943.410034</v>
      </c>
      <c r="E74" s="28"/>
      <c r="F74" s="28"/>
      <c r="G74" s="14"/>
    </row>
    <row r="75" spans="2:13" ht="12" customHeight="1" thickBot="1" x14ac:dyDescent="0.25">
      <c r="B75" s="53"/>
      <c r="C75" s="54"/>
      <c r="D75" s="54"/>
      <c r="E75" s="54"/>
      <c r="F75" s="2"/>
      <c r="G75" s="2"/>
      <c r="H75" s="2"/>
      <c r="I75" s="2"/>
      <c r="L75" s="11"/>
      <c r="M75" s="11"/>
    </row>
    <row r="76" spans="2:13" ht="12" customHeight="1" thickBot="1" x14ac:dyDescent="0.25">
      <c r="B76" s="55" t="s">
        <v>74</v>
      </c>
      <c r="C76" s="54"/>
      <c r="D76" s="54"/>
      <c r="E76" s="54"/>
      <c r="F76" s="2"/>
      <c r="G76" s="2"/>
      <c r="H76" s="2"/>
      <c r="I76" s="2"/>
      <c r="L76" s="11"/>
      <c r="M76" s="11"/>
    </row>
    <row r="77" spans="2:13" ht="27.95" customHeight="1" x14ac:dyDescent="0.2">
      <c r="B77" s="68" t="s">
        <v>75</v>
      </c>
      <c r="C77" s="64">
        <f>31277433019.35</f>
        <v>31277433019.349998</v>
      </c>
      <c r="D77" s="64">
        <f>7510182010.54</f>
        <v>7510182010.54</v>
      </c>
      <c r="E77" s="64">
        <f>18949842499.6899</f>
        <v>18949842499.689899</v>
      </c>
      <c r="F77" s="64">
        <f>564448503.24</f>
        <v>564448503.24000001</v>
      </c>
      <c r="G77" s="64">
        <f>0</f>
        <v>0</v>
      </c>
      <c r="H77" s="64">
        <f>3004144.61</f>
        <v>3004144.61</v>
      </c>
      <c r="I77" s="71">
        <f>0</f>
        <v>0</v>
      </c>
      <c r="J77" s="50">
        <f>IF($D$77=0,"",100*$D77/$D$77)</f>
        <v>100</v>
      </c>
      <c r="K77" s="50">
        <f>IF(C77=0,"",100*D77/C77)</f>
        <v>24.011503776201117</v>
      </c>
      <c r="L77" s="11"/>
    </row>
    <row r="78" spans="2:13" ht="20.100000000000001" customHeight="1" x14ac:dyDescent="0.2">
      <c r="B78" s="56" t="s">
        <v>78</v>
      </c>
      <c r="C78" s="66">
        <f>24466547723.79</f>
        <v>24466547723.790001</v>
      </c>
      <c r="D78" s="66">
        <f>5288093046.92</f>
        <v>5288093046.9200001</v>
      </c>
      <c r="E78" s="66">
        <f>15283150395.2</f>
        <v>15283150395.200001</v>
      </c>
      <c r="F78" s="66">
        <f>509168786.46</f>
        <v>509168786.45999998</v>
      </c>
      <c r="G78" s="66">
        <f>0</f>
        <v>0</v>
      </c>
      <c r="H78" s="66">
        <f>2991947.23</f>
        <v>2991947.23</v>
      </c>
      <c r="I78" s="76">
        <f>0</f>
        <v>0</v>
      </c>
      <c r="J78" s="50">
        <f>IF($D$77=0,"",100*$D78/$D$77)</f>
        <v>70.412315433880863</v>
      </c>
      <c r="K78" s="50">
        <f>IF(C78=0,"",100*D78/C78)</f>
        <v>21.613564392569096</v>
      </c>
      <c r="L78" s="11"/>
    </row>
    <row r="79" spans="2:13" ht="20.100000000000001" customHeight="1" x14ac:dyDescent="0.2">
      <c r="B79" s="56" t="s">
        <v>79</v>
      </c>
      <c r="C79" s="66">
        <f t="shared" ref="C79:I79" si="10">C77-C78</f>
        <v>6810885295.5599976</v>
      </c>
      <c r="D79" s="66">
        <f t="shared" si="10"/>
        <v>2222088963.6199999</v>
      </c>
      <c r="E79" s="66">
        <f t="shared" si="10"/>
        <v>3666692104.4898987</v>
      </c>
      <c r="F79" s="66">
        <f t="shared" si="10"/>
        <v>55279716.780000031</v>
      </c>
      <c r="G79" s="66">
        <f t="shared" si="10"/>
        <v>0</v>
      </c>
      <c r="H79" s="66">
        <f t="shared" si="10"/>
        <v>12197.379999999888</v>
      </c>
      <c r="I79" s="76">
        <f t="shared" si="10"/>
        <v>0</v>
      </c>
      <c r="J79" s="50">
        <f>IF($D$77=0,"",100*$D79/$D$77)</f>
        <v>29.587684566119144</v>
      </c>
      <c r="K79" s="50">
        <f>IF(C79=0,"",100*D79/C79)</f>
        <v>32.625552585191464</v>
      </c>
    </row>
    <row r="80" spans="2:13" ht="20.25" x14ac:dyDescent="0.2">
      <c r="B80" s="89" t="str">
        <f>CONCATENATE("Informacja z wykonania budżetów jednostek samorządu terytorialnego za ",$D$112," ",$C$113," roku")</f>
        <v>Informacja z wykonania budżetów jednostek samorządu terytorialnego za II Kwartały 2022 roku</v>
      </c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</row>
    <row r="81" spans="2:11" ht="18" customHeight="1" x14ac:dyDescent="0.2">
      <c r="B81" s="40" t="s">
        <v>16</v>
      </c>
      <c r="C81" s="75" t="s">
        <v>17</v>
      </c>
      <c r="D81" s="75" t="s">
        <v>1</v>
      </c>
      <c r="E81" s="92" t="s">
        <v>59</v>
      </c>
      <c r="F81" s="93"/>
      <c r="G81" s="93"/>
      <c r="H81" s="93"/>
      <c r="I81" s="94"/>
      <c r="J81" s="19" t="s">
        <v>26</v>
      </c>
      <c r="K81" s="19" t="s">
        <v>27</v>
      </c>
    </row>
    <row r="82" spans="2:11" x14ac:dyDescent="0.2">
      <c r="B82" s="40"/>
      <c r="C82" s="107" t="s">
        <v>80</v>
      </c>
      <c r="D82" s="111"/>
      <c r="E82" s="95"/>
      <c r="F82" s="96"/>
      <c r="G82" s="96"/>
      <c r="H82" s="96"/>
      <c r="I82" s="97"/>
      <c r="J82" s="112" t="s">
        <v>4</v>
      </c>
      <c r="K82" s="113"/>
    </row>
    <row r="83" spans="2:11" x14ac:dyDescent="0.2">
      <c r="B83" s="38">
        <v>1</v>
      </c>
      <c r="C83" s="75">
        <v>2</v>
      </c>
      <c r="D83" s="75">
        <v>3</v>
      </c>
      <c r="E83" s="98"/>
      <c r="F83" s="99"/>
      <c r="G83" s="99"/>
      <c r="H83" s="99"/>
      <c r="I83" s="100"/>
      <c r="J83" s="39">
        <v>4</v>
      </c>
      <c r="K83" s="39">
        <v>5</v>
      </c>
    </row>
    <row r="84" spans="2:11" ht="25.5" x14ac:dyDescent="0.2">
      <c r="B84" s="37" t="s">
        <v>65</v>
      </c>
      <c r="C84" s="42">
        <f>58962363420.34</f>
        <v>58962363420.339996</v>
      </c>
      <c r="D84" s="42">
        <f>53021451764.65</f>
        <v>53021451764.650002</v>
      </c>
      <c r="E84" s="42" t="s">
        <v>59</v>
      </c>
      <c r="F84" s="42" t="s">
        <v>59</v>
      </c>
      <c r="G84" s="42" t="s">
        <v>59</v>
      </c>
      <c r="H84" s="42" t="s">
        <v>59</v>
      </c>
      <c r="I84" s="42" t="s">
        <v>59</v>
      </c>
      <c r="J84" s="41">
        <f>IF($D$84=0,"",100*$D84/$D$84)</f>
        <v>100</v>
      </c>
      <c r="K84" s="36">
        <f t="shared" ref="K84:K97" si="11">IF(C84=0,"",100*D84/C84)</f>
        <v>89.924230795605141</v>
      </c>
    </row>
    <row r="85" spans="2:11" ht="22.5" x14ac:dyDescent="0.2">
      <c r="B85" s="80" t="s">
        <v>90</v>
      </c>
      <c r="C85" s="43">
        <f>20426180032.57</f>
        <v>20426180032.57</v>
      </c>
      <c r="D85" s="43">
        <f>531250262.48</f>
        <v>531250262.48000002</v>
      </c>
      <c r="E85" s="42" t="s">
        <v>59</v>
      </c>
      <c r="F85" s="42" t="s">
        <v>59</v>
      </c>
      <c r="G85" s="42" t="s">
        <v>59</v>
      </c>
      <c r="H85" s="42" t="s">
        <v>59</v>
      </c>
      <c r="I85" s="42" t="s">
        <v>59</v>
      </c>
      <c r="J85" s="48">
        <f t="shared" ref="J85:J92" si="12">IF($D$84=0,"",100*$D85/$D$84)</f>
        <v>1.0019534448775516</v>
      </c>
      <c r="K85" s="49">
        <f t="shared" si="11"/>
        <v>2.6008302170690243</v>
      </c>
    </row>
    <row r="86" spans="2:11" ht="22.5" x14ac:dyDescent="0.2">
      <c r="B86" s="81" t="s">
        <v>91</v>
      </c>
      <c r="C86" s="69">
        <f>1348729936.58</f>
        <v>1348729936.5799999</v>
      </c>
      <c r="D86" s="69">
        <f>2000000</f>
        <v>2000000</v>
      </c>
      <c r="E86" s="42" t="s">
        <v>59</v>
      </c>
      <c r="F86" s="42" t="s">
        <v>59</v>
      </c>
      <c r="G86" s="42" t="s">
        <v>59</v>
      </c>
      <c r="H86" s="42" t="s">
        <v>59</v>
      </c>
      <c r="I86" s="42" t="s">
        <v>59</v>
      </c>
      <c r="J86" s="70">
        <f t="shared" si="12"/>
        <v>3.7720581640758137E-3</v>
      </c>
      <c r="K86" s="67">
        <f t="shared" si="11"/>
        <v>0.14828765535311228</v>
      </c>
    </row>
    <row r="87" spans="2:11" x14ac:dyDescent="0.2">
      <c r="B87" s="31" t="s">
        <v>92</v>
      </c>
      <c r="C87" s="69">
        <f>240653189.09</f>
        <v>240653189.09</v>
      </c>
      <c r="D87" s="69">
        <f>39581813.78</f>
        <v>39581813.780000001</v>
      </c>
      <c r="E87" s="42" t="s">
        <v>59</v>
      </c>
      <c r="F87" s="42" t="s">
        <v>59</v>
      </c>
      <c r="G87" s="42" t="s">
        <v>59</v>
      </c>
      <c r="H87" s="42" t="s">
        <v>59</v>
      </c>
      <c r="I87" s="42" t="s">
        <v>59</v>
      </c>
      <c r="J87" s="70">
        <f t="shared" si="12"/>
        <v>7.4652451908888778E-2</v>
      </c>
      <c r="K87" s="67">
        <f t="shared" si="11"/>
        <v>16.447658113185074</v>
      </c>
    </row>
    <row r="88" spans="2:11" ht="48" customHeight="1" x14ac:dyDescent="0.2">
      <c r="B88" s="31" t="s">
        <v>101</v>
      </c>
      <c r="C88" s="69">
        <f>4782031738.81</f>
        <v>4782031738.8100004</v>
      </c>
      <c r="D88" s="69">
        <f>8776138243.7</f>
        <v>8776138243.7000008</v>
      </c>
      <c r="E88" s="42" t="s">
        <v>59</v>
      </c>
      <c r="F88" s="42" t="s">
        <v>59</v>
      </c>
      <c r="G88" s="42" t="s">
        <v>59</v>
      </c>
      <c r="H88" s="42" t="s">
        <v>59</v>
      </c>
      <c r="I88" s="42" t="s">
        <v>59</v>
      </c>
      <c r="J88" s="70">
        <f t="shared" si="12"/>
        <v>16.552051955603282</v>
      </c>
      <c r="K88" s="67">
        <f t="shared" si="11"/>
        <v>183.52321195350171</v>
      </c>
    </row>
    <row r="89" spans="2:11" ht="33.75" x14ac:dyDescent="0.2">
      <c r="B89" s="31" t="s">
        <v>102</v>
      </c>
      <c r="C89" s="69">
        <f>10426115963.18</f>
        <v>10426115963.18</v>
      </c>
      <c r="D89" s="69">
        <f>11598465181.48</f>
        <v>11598465181.48</v>
      </c>
      <c r="E89" s="42" t="s">
        <v>59</v>
      </c>
      <c r="F89" s="42" t="s">
        <v>59</v>
      </c>
      <c r="G89" s="42" t="s">
        <v>59</v>
      </c>
      <c r="H89" s="42" t="s">
        <v>59</v>
      </c>
      <c r="I89" s="42" t="s">
        <v>59</v>
      </c>
      <c r="J89" s="70">
        <f t="shared" si="12"/>
        <v>21.87504263927535</v>
      </c>
      <c r="K89" s="67">
        <f t="shared" si="11"/>
        <v>111.24435237858633</v>
      </c>
    </row>
    <row r="90" spans="2:11" x14ac:dyDescent="0.2">
      <c r="B90" s="31" t="s">
        <v>93</v>
      </c>
      <c r="C90" s="69">
        <f>0</f>
        <v>0</v>
      </c>
      <c r="D90" s="69">
        <f>0</f>
        <v>0</v>
      </c>
      <c r="E90" s="42" t="s">
        <v>59</v>
      </c>
      <c r="F90" s="42" t="s">
        <v>59</v>
      </c>
      <c r="G90" s="42" t="s">
        <v>59</v>
      </c>
      <c r="H90" s="42" t="s">
        <v>59</v>
      </c>
      <c r="I90" s="42" t="s">
        <v>59</v>
      </c>
      <c r="J90" s="70">
        <f t="shared" si="12"/>
        <v>0</v>
      </c>
      <c r="K90" s="67" t="str">
        <f t="shared" si="11"/>
        <v/>
      </c>
    </row>
    <row r="91" spans="2:11" ht="33.75" x14ac:dyDescent="0.2">
      <c r="B91" s="31" t="s">
        <v>94</v>
      </c>
      <c r="C91" s="69">
        <f>22389130461.97</f>
        <v>22389130461.970001</v>
      </c>
      <c r="D91" s="69">
        <f>31690149864.6</f>
        <v>31690149864.599998</v>
      </c>
      <c r="E91" s="42" t="s">
        <v>59</v>
      </c>
      <c r="F91" s="42" t="s">
        <v>59</v>
      </c>
      <c r="G91" s="42" t="s">
        <v>59</v>
      </c>
      <c r="H91" s="42" t="s">
        <v>59</v>
      </c>
      <c r="I91" s="42" t="s">
        <v>59</v>
      </c>
      <c r="J91" s="70">
        <f t="shared" si="12"/>
        <v>59.768544258775236</v>
      </c>
      <c r="K91" s="67">
        <f t="shared" si="11"/>
        <v>141.54256646290321</v>
      </c>
    </row>
    <row r="92" spans="2:11" x14ac:dyDescent="0.2">
      <c r="B92" s="31" t="s">
        <v>82</v>
      </c>
      <c r="C92" s="69">
        <f>698252034.72</f>
        <v>698252034.72000003</v>
      </c>
      <c r="D92" s="69">
        <f>385866398.61</f>
        <v>385866398.61000001</v>
      </c>
      <c r="E92" s="42" t="s">
        <v>59</v>
      </c>
      <c r="F92" s="42" t="s">
        <v>59</v>
      </c>
      <c r="G92" s="42" t="s">
        <v>59</v>
      </c>
      <c r="H92" s="42" t="s">
        <v>59</v>
      </c>
      <c r="I92" s="42" t="s">
        <v>59</v>
      </c>
      <c r="J92" s="70">
        <f t="shared" si="12"/>
        <v>0.7277552495596914</v>
      </c>
      <c r="K92" s="67">
        <f t="shared" si="11"/>
        <v>55.261765010786242</v>
      </c>
    </row>
    <row r="93" spans="2:11" ht="25.5" x14ac:dyDescent="0.2">
      <c r="B93" s="37" t="s">
        <v>66</v>
      </c>
      <c r="C93" s="46">
        <f>10409675536.73</f>
        <v>10409675536.73</v>
      </c>
      <c r="D93" s="46">
        <f>6968760864.85</f>
        <v>6968760864.8500004</v>
      </c>
      <c r="E93" s="42" t="s">
        <v>59</v>
      </c>
      <c r="F93" s="42" t="s">
        <v>59</v>
      </c>
      <c r="G93" s="42" t="s">
        <v>59</v>
      </c>
      <c r="H93" s="42" t="s">
        <v>59</v>
      </c>
      <c r="I93" s="42" t="s">
        <v>59</v>
      </c>
      <c r="J93" s="41">
        <f>IF($D$93=0,"",100*$D93/$D$93)</f>
        <v>100</v>
      </c>
      <c r="K93" s="36">
        <f t="shared" si="11"/>
        <v>66.945034360207373</v>
      </c>
    </row>
    <row r="94" spans="2:11" ht="22.5" x14ac:dyDescent="0.2">
      <c r="B94" s="80" t="s">
        <v>95</v>
      </c>
      <c r="C94" s="43">
        <f>8977786600.38</f>
        <v>8977786600.3799992</v>
      </c>
      <c r="D94" s="45">
        <f>4131602835.68</f>
        <v>4131602835.6799998</v>
      </c>
      <c r="E94" s="42" t="s">
        <v>59</v>
      </c>
      <c r="F94" s="42" t="s">
        <v>59</v>
      </c>
      <c r="G94" s="42" t="s">
        <v>59</v>
      </c>
      <c r="H94" s="42" t="s">
        <v>59</v>
      </c>
      <c r="I94" s="42" t="s">
        <v>59</v>
      </c>
      <c r="J94" s="48">
        <f>IF($D$93=0,"",100*$D94/$D$93)</f>
        <v>59.287481889636211</v>
      </c>
      <c r="K94" s="49">
        <f t="shared" si="11"/>
        <v>46.020283390397395</v>
      </c>
    </row>
    <row r="95" spans="2:11" x14ac:dyDescent="0.2">
      <c r="B95" s="81" t="s">
        <v>96</v>
      </c>
      <c r="C95" s="69">
        <f>661974410</f>
        <v>661974410</v>
      </c>
      <c r="D95" s="69">
        <f>82646446</f>
        <v>82646446</v>
      </c>
      <c r="E95" s="42" t="s">
        <v>59</v>
      </c>
      <c r="F95" s="42" t="s">
        <v>59</v>
      </c>
      <c r="G95" s="42" t="s">
        <v>59</v>
      </c>
      <c r="H95" s="42" t="s">
        <v>59</v>
      </c>
      <c r="I95" s="42" t="s">
        <v>59</v>
      </c>
      <c r="J95" s="70">
        <f>IF($D$93=0,"",100*$D95/$D$93)</f>
        <v>1.1859561205043434</v>
      </c>
      <c r="K95" s="67">
        <f t="shared" si="11"/>
        <v>12.484840010658418</v>
      </c>
    </row>
    <row r="96" spans="2:11" x14ac:dyDescent="0.2">
      <c r="B96" s="31" t="s">
        <v>103</v>
      </c>
      <c r="C96" s="69">
        <f>234626828.56</f>
        <v>234626828.56</v>
      </c>
      <c r="D96" s="69">
        <f>123810854.72</f>
        <v>123810854.72</v>
      </c>
      <c r="E96" s="42" t="s">
        <v>59</v>
      </c>
      <c r="F96" s="42" t="s">
        <v>59</v>
      </c>
      <c r="G96" s="42" t="s">
        <v>59</v>
      </c>
      <c r="H96" s="42" t="s">
        <v>59</v>
      </c>
      <c r="I96" s="42" t="s">
        <v>59</v>
      </c>
      <c r="J96" s="70">
        <f>IF($D$93=0,"",100*$D96/$D$93)</f>
        <v>1.7766552350001605</v>
      </c>
      <c r="K96" s="67">
        <f t="shared" si="11"/>
        <v>52.769265765504066</v>
      </c>
    </row>
    <row r="97" spans="2:11" x14ac:dyDescent="0.2">
      <c r="B97" s="82" t="s">
        <v>33</v>
      </c>
      <c r="C97" s="43">
        <f>1197262107.79</f>
        <v>1197262107.79</v>
      </c>
      <c r="D97" s="43">
        <f>2713347174.45</f>
        <v>2713347174.4499998</v>
      </c>
      <c r="E97" s="42" t="s">
        <v>59</v>
      </c>
      <c r="F97" s="42" t="s">
        <v>59</v>
      </c>
      <c r="G97" s="42" t="s">
        <v>59</v>
      </c>
      <c r="H97" s="42" t="s">
        <v>59</v>
      </c>
      <c r="I97" s="42" t="s">
        <v>59</v>
      </c>
      <c r="J97" s="48">
        <f>IF($D$93=0,"",100*$D97/$D$93)</f>
        <v>38.935862875363618</v>
      </c>
      <c r="K97" s="49">
        <f t="shared" si="11"/>
        <v>226.6293367839485</v>
      </c>
    </row>
    <row r="99" spans="2:11" ht="18" customHeight="1" x14ac:dyDescent="0.2">
      <c r="B99" s="40" t="s">
        <v>16</v>
      </c>
      <c r="C99" s="75" t="s">
        <v>17</v>
      </c>
      <c r="D99" s="19" t="s">
        <v>1</v>
      </c>
    </row>
    <row r="100" spans="2:11" x14ac:dyDescent="0.2">
      <c r="B100" s="40"/>
      <c r="C100" s="107" t="s">
        <v>80</v>
      </c>
      <c r="D100" s="111"/>
    </row>
    <row r="101" spans="2:11" x14ac:dyDescent="0.2">
      <c r="B101" s="38">
        <v>1</v>
      </c>
      <c r="C101" s="75">
        <v>2</v>
      </c>
      <c r="D101" s="19">
        <v>3</v>
      </c>
    </row>
    <row r="102" spans="2:11" ht="33.75" x14ac:dyDescent="0.2">
      <c r="B102" s="47" t="s">
        <v>109</v>
      </c>
      <c r="C102" s="44">
        <f>48565282227.42</f>
        <v>48565282227.419998</v>
      </c>
      <c r="D102" s="27">
        <f>0</f>
        <v>0</v>
      </c>
    </row>
    <row r="103" spans="2:11" ht="33.75" x14ac:dyDescent="0.2">
      <c r="B103" s="88" t="s">
        <v>83</v>
      </c>
      <c r="C103" s="45">
        <f>1057399090.26</f>
        <v>1057399090.26</v>
      </c>
      <c r="D103" s="77">
        <f>0</f>
        <v>0</v>
      </c>
    </row>
    <row r="104" spans="2:11" x14ac:dyDescent="0.2">
      <c r="B104" s="88" t="s">
        <v>84</v>
      </c>
      <c r="C104" s="45">
        <f>14599782635.95</f>
        <v>14599782635.950001</v>
      </c>
      <c r="D104" s="77">
        <f>0</f>
        <v>0</v>
      </c>
    </row>
    <row r="105" spans="2:11" ht="22.5" x14ac:dyDescent="0.2">
      <c r="B105" s="88" t="s">
        <v>85</v>
      </c>
      <c r="C105" s="45">
        <f>0</f>
        <v>0</v>
      </c>
      <c r="D105" s="77">
        <f>0</f>
        <v>0</v>
      </c>
    </row>
    <row r="106" spans="2:11" ht="56.25" x14ac:dyDescent="0.2">
      <c r="B106" s="88" t="s">
        <v>104</v>
      </c>
      <c r="C106" s="45">
        <f>4000367242.95</f>
        <v>4000367242.9499998</v>
      </c>
      <c r="D106" s="77">
        <f>0</f>
        <v>0</v>
      </c>
    </row>
    <row r="107" spans="2:11" ht="78.75" x14ac:dyDescent="0.2">
      <c r="B107" s="88" t="s">
        <v>86</v>
      </c>
      <c r="C107" s="45">
        <f>18802545369.48</f>
        <v>18802545369.48</v>
      </c>
      <c r="D107" s="77">
        <f>0</f>
        <v>0</v>
      </c>
    </row>
    <row r="108" spans="2:11" ht="146.25" x14ac:dyDescent="0.2">
      <c r="B108" s="88" t="s">
        <v>106</v>
      </c>
      <c r="C108" s="45">
        <f>10051312972.57</f>
        <v>10051312972.57</v>
      </c>
      <c r="D108" s="77">
        <f>0</f>
        <v>0</v>
      </c>
    </row>
    <row r="109" spans="2:11" ht="22.5" x14ac:dyDescent="0.2">
      <c r="B109" s="88" t="s">
        <v>99</v>
      </c>
      <c r="C109" s="45">
        <f>53874916.21</f>
        <v>53874916.210000001</v>
      </c>
      <c r="D109" s="77">
        <f>0</f>
        <v>0</v>
      </c>
    </row>
    <row r="112" spans="2:11" x14ac:dyDescent="0.2">
      <c r="B112" s="32" t="s">
        <v>67</v>
      </c>
      <c r="C112" s="32">
        <f>2</f>
        <v>2</v>
      </c>
      <c r="D112" s="32" t="str">
        <f>IF(C112=1,"I Kwartał",IF(C112=2,"II Kwartały",IF(C112=3,"III Kwartały",IF(C112=4,"IV Kwartały","-"))))</f>
        <v>II Kwartały</v>
      </c>
    </row>
    <row r="113" spans="2:4" x14ac:dyDescent="0.2">
      <c r="B113" s="32" t="s">
        <v>68</v>
      </c>
      <c r="C113" s="91">
        <f>2022</f>
        <v>2022</v>
      </c>
    </row>
    <row r="114" spans="2:4" x14ac:dyDescent="0.2">
      <c r="B114" s="32" t="s">
        <v>69</v>
      </c>
      <c r="C114" s="109" t="str">
        <f>"Aug 18 2022 12:00AM"</f>
        <v>Aug 18 2022 12:00AM</v>
      </c>
      <c r="D114" s="110"/>
    </row>
  </sheetData>
  <mergeCells count="20">
    <mergeCell ref="C114:D114"/>
    <mergeCell ref="C100:D100"/>
    <mergeCell ref="J82:K82"/>
    <mergeCell ref="J61:K61"/>
    <mergeCell ref="K58:K60"/>
    <mergeCell ref="I58:I60"/>
    <mergeCell ref="J58:J60"/>
    <mergeCell ref="F58:H58"/>
    <mergeCell ref="G59:H59"/>
    <mergeCell ref="C82:D82"/>
    <mergeCell ref="E81:I83"/>
    <mergeCell ref="B3:B4"/>
    <mergeCell ref="J4:L4"/>
    <mergeCell ref="B58:B61"/>
    <mergeCell ref="C4:I4"/>
    <mergeCell ref="D58:D60"/>
    <mergeCell ref="E58:E60"/>
    <mergeCell ref="C61:H61"/>
    <mergeCell ref="C58:C60"/>
    <mergeCell ref="F59:F60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5" max="16383" man="1"/>
    <brk id="7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2022-08-19T13:37:18Z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2022-08-19T15:37:15.3264509+02:00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GRN-ad68bb32-4125-4a58-a37b-05c9a8f36736</vt:lpwstr>
  </property>
  <property fmtid="{D5CDD505-2E9C-101B-9397-08002B2CF9AE}" pid="7" name="MFHash">
    <vt:lpwstr>8Nefhlrw04KdTsRH3GpsPxMptgo8/X2zwFS8ckFh+1Y=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