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F5BF57E0-7575-4D52-AC6E-DE45B0A6CD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4" i="4" l="1"/>
  <c r="C133" i="4"/>
  <c r="C132" i="4"/>
  <c r="C131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K110" i="4" s="1"/>
  <c r="D109" i="4"/>
  <c r="C109" i="4"/>
  <c r="D108" i="4"/>
  <c r="C108" i="4"/>
  <c r="D107" i="4"/>
  <c r="C107" i="4"/>
  <c r="D106" i="4"/>
  <c r="C106" i="4"/>
  <c r="K106" i="4" s="1"/>
  <c r="D105" i="4"/>
  <c r="C105" i="4"/>
  <c r="D104" i="4"/>
  <c r="J104" i="4" s="1"/>
  <c r="C104" i="4"/>
  <c r="D103" i="4"/>
  <c r="J103" i="4" s="1"/>
  <c r="C103" i="4"/>
  <c r="D102" i="4"/>
  <c r="C102" i="4"/>
  <c r="D101" i="4"/>
  <c r="C101" i="4"/>
  <c r="D100" i="4"/>
  <c r="C100" i="4"/>
  <c r="I93" i="4"/>
  <c r="I94" i="4" s="1"/>
  <c r="H93" i="4"/>
  <c r="G93" i="4"/>
  <c r="F93" i="4"/>
  <c r="E93" i="4"/>
  <c r="D93" i="4"/>
  <c r="C93" i="4"/>
  <c r="I92" i="4"/>
  <c r="H92" i="4"/>
  <c r="G92" i="4"/>
  <c r="F92" i="4"/>
  <c r="E92" i="4"/>
  <c r="D92" i="4"/>
  <c r="C92" i="4"/>
  <c r="G88" i="4"/>
  <c r="F88" i="4"/>
  <c r="E88" i="4"/>
  <c r="D88" i="4"/>
  <c r="C88" i="4"/>
  <c r="G87" i="4"/>
  <c r="F87" i="4"/>
  <c r="E87" i="4"/>
  <c r="D87" i="4"/>
  <c r="C87" i="4"/>
  <c r="G83" i="4"/>
  <c r="F83" i="4"/>
  <c r="E83" i="4"/>
  <c r="D83" i="4"/>
  <c r="C83" i="4"/>
  <c r="G82" i="4"/>
  <c r="F82" i="4"/>
  <c r="E82" i="4"/>
  <c r="D82" i="4"/>
  <c r="C82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K40" i="4" s="1"/>
  <c r="D39" i="4"/>
  <c r="C39" i="4"/>
  <c r="D38" i="4"/>
  <c r="C38" i="4"/>
  <c r="K38" i="4" s="1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K30" i="4" s="1"/>
  <c r="D29" i="4"/>
  <c r="C29" i="4"/>
  <c r="D28" i="4"/>
  <c r="C28" i="4"/>
  <c r="I24" i="4"/>
  <c r="H24" i="4"/>
  <c r="G24" i="4"/>
  <c r="F24" i="4"/>
  <c r="E24" i="4"/>
  <c r="D24" i="4"/>
  <c r="C24" i="4"/>
  <c r="I23" i="4"/>
  <c r="H23" i="4"/>
  <c r="G23" i="4"/>
  <c r="F23" i="4"/>
  <c r="E23" i="4"/>
  <c r="D23" i="4"/>
  <c r="C23" i="4"/>
  <c r="K23" i="4" s="1"/>
  <c r="I22" i="4"/>
  <c r="H22" i="4"/>
  <c r="G22" i="4"/>
  <c r="F22" i="4"/>
  <c r="E22" i="4"/>
  <c r="D22" i="4"/>
  <c r="C22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I25" i="4" s="1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13" i="4"/>
  <c r="K16" i="4"/>
  <c r="J72" i="4"/>
  <c r="J66" i="4"/>
  <c r="J70" i="4"/>
  <c r="J71" i="4"/>
  <c r="D69" i="4"/>
  <c r="J69" i="4" s="1"/>
  <c r="D75" i="4"/>
  <c r="J75" i="4" s="1"/>
  <c r="J73" i="4"/>
  <c r="J67" i="4"/>
  <c r="J74" i="4"/>
  <c r="J68" i="4"/>
  <c r="J10" i="4"/>
  <c r="J39" i="4"/>
  <c r="J53" i="4"/>
  <c r="D55" i="4"/>
  <c r="J55" i="4" s="1"/>
  <c r="D57" i="4"/>
  <c r="J46" i="4"/>
  <c r="J17" i="4"/>
  <c r="J41" i="4"/>
  <c r="J6" i="4"/>
  <c r="J51" i="4"/>
  <c r="J16" i="4"/>
  <c r="J14" i="4"/>
  <c r="J35" i="4"/>
  <c r="J12" i="4"/>
  <c r="J52" i="4"/>
  <c r="J20" i="4"/>
  <c r="J32" i="4"/>
  <c r="J50" i="4"/>
  <c r="J44" i="4"/>
  <c r="J8" i="4"/>
  <c r="J49" i="4"/>
  <c r="J23" i="4"/>
  <c r="J33" i="4"/>
  <c r="J29" i="4"/>
  <c r="J56" i="4"/>
  <c r="J34" i="4"/>
  <c r="J48" i="4"/>
  <c r="J30" i="4"/>
  <c r="J18" i="4"/>
  <c r="J42" i="4"/>
  <c r="J19" i="4"/>
  <c r="J15" i="4"/>
  <c r="J21" i="4"/>
  <c r="J43" i="4"/>
  <c r="J40" i="4"/>
  <c r="J47" i="4"/>
  <c r="J36" i="4"/>
  <c r="J38" i="4"/>
  <c r="J11" i="4"/>
  <c r="J45" i="4"/>
  <c r="J31" i="4"/>
  <c r="J24" i="4"/>
  <c r="J9" i="4"/>
  <c r="J13" i="4"/>
  <c r="J22" i="4"/>
  <c r="D76" i="4"/>
  <c r="J37" i="4"/>
  <c r="J28" i="4"/>
  <c r="E7" i="4"/>
  <c r="E25" i="4"/>
  <c r="E55" i="4"/>
  <c r="E57" i="4" s="1"/>
  <c r="K66" i="4"/>
  <c r="C69" i="4"/>
  <c r="K46" i="4"/>
  <c r="F7" i="4"/>
  <c r="F25" i="4"/>
  <c r="F55" i="4"/>
  <c r="F57" i="4"/>
  <c r="K70" i="4"/>
  <c r="K39" i="4"/>
  <c r="E69" i="4"/>
  <c r="E75" i="4" s="1"/>
  <c r="H7" i="4"/>
  <c r="H25" i="4" s="1"/>
  <c r="H55" i="4"/>
  <c r="H57" i="4" s="1"/>
  <c r="K14" i="4"/>
  <c r="K111" i="4"/>
  <c r="K11" i="4"/>
  <c r="K51" i="4"/>
  <c r="K8" i="4"/>
  <c r="K32" i="4"/>
  <c r="K74" i="4"/>
  <c r="K9" i="4"/>
  <c r="K33" i="4"/>
  <c r="K44" i="4"/>
  <c r="J93" i="4"/>
  <c r="J92" i="4"/>
  <c r="D94" i="4"/>
  <c r="J94" i="4"/>
  <c r="G7" i="4"/>
  <c r="G55" i="4"/>
  <c r="G57" i="4" s="1"/>
  <c r="K28" i="4"/>
  <c r="D131" i="4"/>
  <c r="B95" i="4" s="1"/>
  <c r="K100" i="4"/>
  <c r="I7" i="4"/>
  <c r="I55" i="4"/>
  <c r="I57" i="4" s="1"/>
  <c r="K103" i="4"/>
  <c r="K104" i="4"/>
  <c r="K72" i="4"/>
  <c r="K105" i="4"/>
  <c r="K116" i="4"/>
  <c r="K50" i="4"/>
  <c r="D27" i="4"/>
  <c r="J27" i="4" s="1"/>
  <c r="J111" i="4"/>
  <c r="J113" i="4"/>
  <c r="J115" i="4"/>
  <c r="J116" i="4"/>
  <c r="J112" i="4"/>
  <c r="J114" i="4"/>
  <c r="K112" i="4"/>
  <c r="K20" i="4"/>
  <c r="K52" i="4"/>
  <c r="K92" i="4"/>
  <c r="C94" i="4"/>
  <c r="K94" i="4"/>
  <c r="K115" i="4"/>
  <c r="K21" i="4"/>
  <c r="E94" i="4"/>
  <c r="K18" i="4"/>
  <c r="K34" i="4"/>
  <c r="K45" i="4"/>
  <c r="K68" i="4"/>
  <c r="K29" i="4"/>
  <c r="K41" i="4"/>
  <c r="K53" i="4"/>
  <c r="F94" i="4"/>
  <c r="J105" i="4"/>
  <c r="J102" i="4"/>
  <c r="J106" i="4"/>
  <c r="J100" i="4"/>
  <c r="J110" i="4"/>
  <c r="J101" i="4"/>
  <c r="J107" i="4"/>
  <c r="K10" i="4"/>
  <c r="K22" i="4"/>
  <c r="G69" i="4"/>
  <c r="G75" i="4"/>
  <c r="K71" i="4"/>
  <c r="G94" i="4"/>
  <c r="K101" i="4"/>
  <c r="K107" i="4"/>
  <c r="K113" i="4"/>
  <c r="K17" i="4"/>
  <c r="K36" i="4"/>
  <c r="K42" i="4"/>
  <c r="K48" i="4"/>
  <c r="K56" i="4"/>
  <c r="H69" i="4"/>
  <c r="H75" i="4" s="1"/>
  <c r="H94" i="4"/>
  <c r="K47" i="4"/>
  <c r="I69" i="4"/>
  <c r="I75" i="4" s="1"/>
  <c r="K102" i="4"/>
  <c r="K114" i="4"/>
  <c r="K15" i="4"/>
  <c r="K35" i="4"/>
  <c r="F69" i="4"/>
  <c r="F75" i="4" s="1"/>
  <c r="K12" i="4"/>
  <c r="K24" i="4"/>
  <c r="K73" i="4"/>
  <c r="K6" i="4"/>
  <c r="C55" i="4"/>
  <c r="K55" i="4" s="1"/>
  <c r="K19" i="4"/>
  <c r="K37" i="4"/>
  <c r="K43" i="4"/>
  <c r="K49" i="4"/>
  <c r="K67" i="4"/>
  <c r="K93" i="4"/>
  <c r="G25" i="4" l="1"/>
  <c r="B59" i="4"/>
  <c r="B1" i="4"/>
  <c r="K69" i="4"/>
  <c r="D77" i="4"/>
  <c r="C75" i="4"/>
  <c r="K75" i="4" s="1"/>
  <c r="J57" i="4"/>
  <c r="C27" i="4"/>
  <c r="K27" i="4" s="1"/>
  <c r="D26" i="4"/>
  <c r="K31" i="4"/>
  <c r="C76" i="4"/>
  <c r="C57" i="4"/>
  <c r="C26" i="4" l="1"/>
  <c r="K26" i="4" s="1"/>
  <c r="J26" i="4"/>
  <c r="D7" i="4"/>
  <c r="K57" i="4"/>
  <c r="C77" i="4"/>
  <c r="C7" i="4" l="1"/>
  <c r="K7" i="4" s="1"/>
  <c r="J7" i="4"/>
  <c r="L24" i="4"/>
  <c r="L9" i="4"/>
  <c r="L11" i="4"/>
  <c r="L20" i="4"/>
  <c r="D25" i="4"/>
  <c r="L13" i="4"/>
  <c r="L16" i="4"/>
  <c r="L12" i="4"/>
  <c r="L17" i="4"/>
  <c r="L14" i="4"/>
  <c r="L21" i="4"/>
  <c r="L15" i="4"/>
  <c r="L18" i="4"/>
  <c r="L7" i="4"/>
  <c r="L19" i="4"/>
  <c r="L10" i="4"/>
  <c r="L22" i="4"/>
  <c r="L8" i="4"/>
  <c r="L23" i="4"/>
  <c r="C25" i="4" l="1"/>
  <c r="K25" i="4" s="1"/>
  <c r="J25" i="4"/>
  <c r="L25" i="4"/>
</calcChain>
</file>

<file path=xl/sharedStrings.xml><?xml version="1.0" encoding="utf-8"?>
<sst xmlns="http://schemas.openxmlformats.org/spreadsheetml/2006/main" count="384" uniqueCount="125">
  <si>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</si>
  <si>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</si>
  <si>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</si>
  <si>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</si>
  <si>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</si>
  <si>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</si>
  <si>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</si>
  <si>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</si>
  <si>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</si>
  <si>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</si>
  <si>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</si>
  <si>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</si>
  <si>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</si>
  <si>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</si>
  <si>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</si>
  <si>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</si>
  <si>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</si>
  <si>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</si>
  <si>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</si>
  <si>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podatek od środków transportowych</t>
  </si>
  <si>
    <t>dochody z majątku</t>
  </si>
  <si>
    <t xml:space="preserve">pozostałe dochody </t>
  </si>
  <si>
    <t>Struktura</t>
  </si>
  <si>
    <t>Wskaźnik</t>
  </si>
  <si>
    <t>podatek od czynności cywilnoprawnych</t>
  </si>
  <si>
    <t>wpływy z opłaty eksploatacyjnej</t>
  </si>
  <si>
    <t>wpływy z opłaty targowej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</si>
  <si>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</si>
  <si>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</si>
  <si>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</si>
  <si>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</si>
  <si>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</si>
  <si>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</si>
  <si>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</si>
  <si>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</si>
  <si>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część rekompensująca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</si>
  <si>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</si>
  <si>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</si>
  <si>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</si>
  <si>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</si>
  <si>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</si>
  <si>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</si>
  <si>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</si>
  <si>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</si>
  <si>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</si>
  <si>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#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</si>
  <si>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</si>
  <si>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</si>
  <si>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</si>
  <si>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</si>
  <si>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</si>
  <si>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</si>
  <si>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</si>
  <si>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</si>
  <si>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</si>
  <si>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</si>
  <si>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</si>
  <si>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</si>
  <si>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</si>
  <si>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</si>
  <si>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</si>
  <si>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</si>
  <si>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</si>
  <si>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</si>
  <si>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</si>
  <si>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</si>
  <si>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</si>
  <si>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</si>
  <si>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</si>
  <si>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</si>
  <si>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</si>
  <si>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wykup papierów wartościowych</t>
  </si>
  <si>
    <t>udzielone pożyczki</t>
  </si>
  <si>
    <t>Dotacje §§ 200 i 620</t>
  </si>
  <si>
    <t>w tym: inwestycyjne § 620</t>
  </si>
  <si>
    <t>Dotacje §§ 205 i 625</t>
  </si>
  <si>
    <t>w tym: inwestycyjne § 625</t>
  </si>
  <si>
    <t>otrzymane ze środków z Funduszu Przeciwdziałania COVID-19 (m.in. z Rządowego Funduszu Inwestycji Lokalnych)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</si>
  <si>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</si>
  <si>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</si>
  <si>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</si>
  <si>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</si>
  <si>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</si>
  <si>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</si>
  <si>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nadwyżka z lat ubiegłych, pomniejszona o niewykorzystane środki pieniężne, o których mowa w art. 217 ust. 2 pkt 8 ustawy o finansach publicznych</t>
  </si>
  <si>
    <t>Dotacje ogółem 
z tego:</t>
  </si>
  <si>
    <t>spłaty kredytów i pożyczek, wykup papierów wartościowych 
w tym: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</si>
  <si>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</si>
  <si>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Wydatki ogółem UE 
z tego:</t>
  </si>
  <si>
    <t>kredyty, pożyczki, emisja papierów wartościowych
w tym: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</si>
  <si>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</si>
  <si>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</si>
  <si>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</si>
  <si>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tytuł</t>
  </si>
  <si>
    <t>inne źródła, w tym:</t>
  </si>
  <si>
    <t>środki z lokat dokonanych w latach ubiegłych</t>
  </si>
  <si>
    <t>lokaty na okres wykraczający poza rok budżetowy</t>
  </si>
  <si>
    <t>FINANSOWANIE DEFICYTU (E1+E2+E3+E4+E5+E6+E7+E8)  
z tego:</t>
  </si>
  <si>
    <t>inne cele, w tym:</t>
  </si>
  <si>
    <t>niewykorzystane środki pieniężne o których mowa w art. 217 ust. 2 pkt 8 ustawy o finansach publicznych</t>
  </si>
  <si>
    <t>stan niespłaconych na koniec okresu sprawozdawczego zobowiązań przeznaczonych na cel , o którym mowa w art.. 89 ust. 1 pkt 1 ustawy o finansach publicznych</t>
  </si>
  <si>
    <t>podatek dochodowy od osób fizycznych</t>
  </si>
  <si>
    <t>podatek dochodowy od osób prawnych</t>
  </si>
  <si>
    <t>Subwencja ogólna, w tym: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</si>
  <si>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</si>
  <si>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</si>
  <si>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</si>
  <si>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</si>
  <si>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</si>
  <si>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podatek od nieruchomości</t>
  </si>
  <si>
    <t>podatek rolny</t>
  </si>
  <si>
    <t>podatek leśny       </t>
  </si>
  <si>
    <t>podatek od dział. gosp. osób fizycznych, opłacany w formie karty podatkowej</t>
  </si>
  <si>
    <t>wpływy z opłaty skarbowej       </t>
  </si>
  <si>
    <t>podatek od spadków i darowizn       </t>
  </si>
  <si>
    <t>opłata miejscowa</t>
  </si>
  <si>
    <t>opłata uzdrowiskowa</t>
  </si>
  <si>
    <t>opłata od posiadania psów</t>
  </si>
  <si>
    <t>opłata reklamowa</t>
  </si>
  <si>
    <t>Planowany</t>
  </si>
  <si>
    <t>Wynik budżetu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</si>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</sst>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7" fillId="0" borderId="0"/>
    <xf numFmtId="0" fontId="17" fillId="0" borderId="0"/>
  </cellStyleXfs>
  <cellXfs count="140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1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indent="2"/>
    </xf>
    <xf numFmtId="0" fontId="2" fillId="0" borderId="1" xfId="0" applyFont="1" applyBorder="1"/>
    <xf numFmtId="165" fontId="12" fillId="3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horizontal="right" vertical="center"/>
    </xf>
    <xf numFmtId="165" fontId="11" fillId="3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4" fontId="11" fillId="3" borderId="3" xfId="0" applyNumberFormat="1" applyFont="1" applyFill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165" fontId="11" fillId="5" borderId="1" xfId="1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 indent="2"/>
    </xf>
    <xf numFmtId="165" fontId="4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165" fontId="6" fillId="4" borderId="1" xfId="0" applyNumberFormat="1" applyFont="1" applyFill="1" applyBorder="1" applyAlignment="1">
      <alignment horizontal="right" vertical="center"/>
    </xf>
    <xf numFmtId="4" fontId="6" fillId="0" borderId="3" xfId="0" applyNumberFormat="1" applyFont="1" applyFill="1" applyBorder="1" applyAlignment="1">
      <alignment horizontal="right" vertical="center"/>
    </xf>
    <xf numFmtId="165" fontId="11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/>
    <xf numFmtId="4" fontId="4" fillId="0" borderId="1" xfId="0" applyNumberFormat="1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5" fillId="4" borderId="3" xfId="0" applyNumberFormat="1" applyFont="1" applyFill="1" applyBorder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wrapText="1" inden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2" fillId="0" borderId="4" xfId="0" applyFont="1" applyBorder="1"/>
    <xf numFmtId="0" fontId="7" fillId="4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4"/>
    </xf>
    <xf numFmtId="0" fontId="4" fillId="0" borderId="1" xfId="0" applyFont="1" applyBorder="1" applyAlignment="1">
      <alignment horizontal="left" vertical="center" wrapText="1" indent="4"/>
    </xf>
    <xf numFmtId="0" fontId="4" fillId="5" borderId="1" xfId="0" applyFont="1" applyFill="1" applyBorder="1" applyAlignment="1">
      <alignment horizontal="left" vertical="center" wrapText="1" indent="3"/>
    </xf>
    <xf numFmtId="0" fontId="18" fillId="0" borderId="1" xfId="4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18" fillId="4" borderId="1" xfId="3" applyFont="1" applyFill="1" applyBorder="1" applyAlignment="1">
      <alignment horizontal="left" vertical="center" wrapText="1"/>
    </xf>
    <xf numFmtId="0" fontId="18" fillId="0" borderId="1" xfId="3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horizontal="right" vertical="center" wrapText="1"/>
    </xf>
    <xf numFmtId="167" fontId="15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34"/>
  <sheetViews>
    <sheetView tabSelected="1" topLeftCell="B1" zoomScaleNormal="100" workbookViewId="0"/>
  </sheetViews>
  <sheetFormatPr defaultRowHeight="12.75" outlineLevelRow="1" outlineLevelCol="1" x14ac:dyDescent="0.2"/>
  <cols>
    <col min="1" max="1" width="3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7" width="13" style="1" customWidth="1" outlineLevel="1"/>
    <col min="8" max="8" width="11.85546875" style="1" customWidth="1" outlineLevel="1"/>
    <col min="9" max="9" width="13" style="1" customWidth="1" outlineLevel="1"/>
    <col min="10" max="10" width="7.7109375" style="1" bestFit="1" customWidth="1"/>
    <col min="11" max="11" width="7.5703125" style="1" bestFit="1" customWidth="1"/>
    <col min="12" max="13" width="8.140625" style="1" customWidth="1"/>
    <col min="14" max="16384" width="9.140625" style="1"/>
  </cols>
  <sheetData>
    <row r="1" spans="2:13" ht="15" x14ac:dyDescent="0.2">
      <c r="B1" s="90" t="str">
        <f>CONCATENATE("Informacja z wykonania budżetów gmin za ",$D$131," ",$C$132," rok     ",$C$134,"")</f>
        <v xml:space="preserve">Informacja z wykonania budżetów gmin za III Kwartały 2025 rok     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2:13" ht="0.75" customHeight="1" x14ac:dyDescent="0.2"/>
    <row r="3" spans="2:13" ht="69" customHeight="1" x14ac:dyDescent="0.2">
      <c r="B3" s="131" t="s">
        <v>0</v>
      </c>
      <c r="C3" s="15" t="s">
        <v>28</v>
      </c>
      <c r="D3" s="15" t="s">
        <v>29</v>
      </c>
      <c r="E3" s="15" t="s">
        <v>30</v>
      </c>
      <c r="F3" s="15" t="s">
        <v>31</v>
      </c>
      <c r="G3" s="15" t="s">
        <v>32</v>
      </c>
      <c r="H3" s="15" t="s">
        <v>33</v>
      </c>
      <c r="I3" s="15" t="s">
        <v>34</v>
      </c>
      <c r="J3" s="17" t="s">
        <v>2</v>
      </c>
      <c r="K3" s="15" t="s">
        <v>18</v>
      </c>
      <c r="L3" s="15" t="s">
        <v>3</v>
      </c>
    </row>
    <row r="4" spans="2:13" x14ac:dyDescent="0.2">
      <c r="B4" s="131"/>
      <c r="C4" s="128" t="s">
        <v>61</v>
      </c>
      <c r="D4" s="129"/>
      <c r="E4" s="129"/>
      <c r="F4" s="129"/>
      <c r="G4" s="129"/>
      <c r="H4" s="129"/>
      <c r="I4" s="130"/>
      <c r="J4" s="133" t="s">
        <v>4</v>
      </c>
      <c r="K4" s="133"/>
      <c r="L4" s="133"/>
    </row>
    <row r="5" spans="2:13" x14ac:dyDescent="0.2">
      <c r="B5" s="17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</row>
    <row r="6" spans="2:13" x14ac:dyDescent="0.2">
      <c r="B6" s="83" t="s">
        <v>5</v>
      </c>
      <c r="C6" s="45">
        <f>226462163284.75</f>
        <v>226462163284.75</v>
      </c>
      <c r="D6" s="45">
        <f>169912574924.96</f>
        <v>169912574924.95999</v>
      </c>
      <c r="E6" s="45">
        <f>4079184585.48</f>
        <v>4079184585.48</v>
      </c>
      <c r="F6" s="45">
        <f>554376994.96</f>
        <v>554376994.96000004</v>
      </c>
      <c r="G6" s="45">
        <f>60165510.5</f>
        <v>60165510.5</v>
      </c>
      <c r="H6" s="45">
        <f>113626401.16</f>
        <v>113626401.16</v>
      </c>
      <c r="I6" s="45">
        <f>4922927.52</f>
        <v>4922927.5199999996</v>
      </c>
      <c r="J6" s="46">
        <f t="shared" ref="J6:J57" si="0">IF($D$6=0,"",100*$D6/$D$6)</f>
        <v>100</v>
      </c>
      <c r="K6" s="46">
        <f t="shared" ref="K6:K53" si="1">IF(C6=0,"",100*D6/C6)</f>
        <v>75.0291229494768</v>
      </c>
      <c r="L6" s="46"/>
    </row>
    <row r="7" spans="2:13" ht="25.5" customHeight="1" x14ac:dyDescent="0.2">
      <c r="B7" s="84" t="s">
        <v>46</v>
      </c>
      <c r="C7" s="25">
        <f>C6-C26-C50</f>
        <v>142768553716.39999</v>
      </c>
      <c r="D7" s="25">
        <f>D6-D26-D50</f>
        <v>114454095642.20999</v>
      </c>
      <c r="E7" s="25">
        <f>E6</f>
        <v>4079184585.48</v>
      </c>
      <c r="F7" s="25">
        <f>F6</f>
        <v>554376994.96000004</v>
      </c>
      <c r="G7" s="25">
        <f>G6</f>
        <v>60165510.5</v>
      </c>
      <c r="H7" s="25">
        <f>H6</f>
        <v>113626401.16</v>
      </c>
      <c r="I7" s="25">
        <f>I6</f>
        <v>4922927.5199999996</v>
      </c>
      <c r="J7" s="34">
        <f t="shared" si="0"/>
        <v>67.360579811563326</v>
      </c>
      <c r="K7" s="34">
        <f t="shared" si="1"/>
        <v>80.167580789229859</v>
      </c>
      <c r="L7" s="34">
        <f t="shared" ref="L7:L25" si="2">IF($D$7=0,"",100*$D7/$D$7)</f>
        <v>100.00000000000001</v>
      </c>
    </row>
    <row r="8" spans="2:13" ht="22.5" customHeight="1" outlineLevel="1" x14ac:dyDescent="0.2">
      <c r="B8" s="54" t="s">
        <v>101</v>
      </c>
      <c r="C8" s="24">
        <f>79593251779.08</f>
        <v>79593251779.080002</v>
      </c>
      <c r="D8" s="24">
        <f>67348122402</f>
        <v>67348122402</v>
      </c>
      <c r="E8" s="24">
        <f>0</f>
        <v>0</v>
      </c>
      <c r="F8" s="24">
        <f>0</f>
        <v>0</v>
      </c>
      <c r="G8" s="24">
        <f>0</f>
        <v>0</v>
      </c>
      <c r="H8" s="24">
        <f>0</f>
        <v>0</v>
      </c>
      <c r="I8" s="24">
        <f>0</f>
        <v>0</v>
      </c>
      <c r="J8" s="35">
        <f t="shared" si="0"/>
        <v>39.636926479245901</v>
      </c>
      <c r="K8" s="35">
        <f t="shared" si="1"/>
        <v>84.615367379300281</v>
      </c>
      <c r="L8" s="35">
        <f t="shared" si="2"/>
        <v>58.842911670486707</v>
      </c>
    </row>
    <row r="9" spans="2:13" ht="22.5" customHeight="1" outlineLevel="1" x14ac:dyDescent="0.2">
      <c r="B9" s="54" t="s">
        <v>102</v>
      </c>
      <c r="C9" s="24">
        <f>3261171421.79</f>
        <v>3261171421.79</v>
      </c>
      <c r="D9" s="24">
        <f>2445871094.37</f>
        <v>2445871094.3699999</v>
      </c>
      <c r="E9" s="24">
        <f>0</f>
        <v>0</v>
      </c>
      <c r="F9" s="24">
        <f>0</f>
        <v>0</v>
      </c>
      <c r="G9" s="24">
        <f>0</f>
        <v>0</v>
      </c>
      <c r="H9" s="24">
        <f>0</f>
        <v>0</v>
      </c>
      <c r="I9" s="24">
        <f>0</f>
        <v>0</v>
      </c>
      <c r="J9" s="35">
        <f t="shared" si="0"/>
        <v>1.439487981069201</v>
      </c>
      <c r="K9" s="35">
        <f t="shared" si="1"/>
        <v>74.999770880719424</v>
      </c>
      <c r="L9" s="35">
        <f t="shared" si="2"/>
        <v>2.1369887033277797</v>
      </c>
    </row>
    <row r="10" spans="2:13" ht="13.35" customHeight="1" outlineLevel="1" x14ac:dyDescent="0.2">
      <c r="B10" s="54" t="s">
        <v>109</v>
      </c>
      <c r="C10" s="24">
        <f>23227083067.62</f>
        <v>23227083067.619999</v>
      </c>
      <c r="D10" s="24">
        <f>18241232022.08</f>
        <v>18241232022.080002</v>
      </c>
      <c r="E10" s="24">
        <f>2562612038.95</f>
        <v>2562612038.9499998</v>
      </c>
      <c r="F10" s="24">
        <f>547971061.95</f>
        <v>547971061.95000005</v>
      </c>
      <c r="G10" s="24">
        <f>42547559.49</f>
        <v>42547559.490000002</v>
      </c>
      <c r="H10" s="24">
        <f>86469873</f>
        <v>86469873</v>
      </c>
      <c r="I10" s="24">
        <f>3666457.69</f>
        <v>3666457.69</v>
      </c>
      <c r="J10" s="35">
        <f t="shared" si="0"/>
        <v>10.73565745804043</v>
      </c>
      <c r="K10" s="35">
        <f t="shared" si="1"/>
        <v>78.534321201569284</v>
      </c>
      <c r="L10" s="35">
        <f t="shared" si="2"/>
        <v>15.937596570683787</v>
      </c>
    </row>
    <row r="11" spans="2:13" ht="13.35" customHeight="1" outlineLevel="1" x14ac:dyDescent="0.2">
      <c r="B11" s="54" t="s">
        <v>110</v>
      </c>
      <c r="C11" s="24">
        <f>2256223101.28</f>
        <v>2256223101.2800002</v>
      </c>
      <c r="D11" s="53">
        <f>1798443096.9</f>
        <v>1798443096.9000001</v>
      </c>
      <c r="E11" s="24">
        <f>258917518.94</f>
        <v>258917518.94</v>
      </c>
      <c r="F11" s="24">
        <f>4236338.22</f>
        <v>4236338.22</v>
      </c>
      <c r="G11" s="24">
        <f>1867044.01</f>
        <v>1867044.01</v>
      </c>
      <c r="H11" s="24">
        <f>1720150.96</f>
        <v>1720150.96</v>
      </c>
      <c r="I11" s="24">
        <f>2067.62</f>
        <v>2067.62</v>
      </c>
      <c r="J11" s="35">
        <f t="shared" si="0"/>
        <v>1.0584520290474455</v>
      </c>
      <c r="K11" s="35">
        <f t="shared" si="1"/>
        <v>79.710339632623544</v>
      </c>
      <c r="L11" s="35">
        <f t="shared" si="2"/>
        <v>1.571322622234538</v>
      </c>
    </row>
    <row r="12" spans="2:13" ht="13.35" customHeight="1" outlineLevel="1" x14ac:dyDescent="0.2">
      <c r="B12" s="54" t="s">
        <v>111</v>
      </c>
      <c r="C12" s="24">
        <f>448368452.44</f>
        <v>448368452.44</v>
      </c>
      <c r="D12" s="53">
        <f>331206676.69</f>
        <v>331206676.69</v>
      </c>
      <c r="E12" s="24">
        <f>1601676.43</f>
        <v>1601676.43</v>
      </c>
      <c r="F12" s="24">
        <f>595923.66</f>
        <v>595923.66</v>
      </c>
      <c r="G12" s="24">
        <f>66787.31</f>
        <v>66787.31</v>
      </c>
      <c r="H12" s="24">
        <f>16573.12</f>
        <v>16573.12</v>
      </c>
      <c r="I12" s="24">
        <f>0</f>
        <v>0</v>
      </c>
      <c r="J12" s="35">
        <f t="shared" si="0"/>
        <v>0.19492770139954255</v>
      </c>
      <c r="K12" s="35">
        <f t="shared" si="1"/>
        <v>73.86930879895516</v>
      </c>
      <c r="L12" s="35">
        <f t="shared" si="2"/>
        <v>0.28937948863391566</v>
      </c>
    </row>
    <row r="13" spans="2:13" ht="13.35" customHeight="1" outlineLevel="1" x14ac:dyDescent="0.2">
      <c r="B13" s="54" t="s">
        <v>19</v>
      </c>
      <c r="C13" s="24">
        <f>1121323286.99</f>
        <v>1121323286.99</v>
      </c>
      <c r="D13" s="53">
        <f>991861807.73</f>
        <v>991861807.73000002</v>
      </c>
      <c r="E13" s="24">
        <f>1229214077.74</f>
        <v>1229214077.74</v>
      </c>
      <c r="F13" s="24">
        <f>1573671.13</f>
        <v>1573671.13</v>
      </c>
      <c r="G13" s="24">
        <f>1211497.66</f>
        <v>1211497.6599999999</v>
      </c>
      <c r="H13" s="24">
        <f>4543632.28</f>
        <v>4543632.28</v>
      </c>
      <c r="I13" s="24">
        <f>40525</f>
        <v>40525</v>
      </c>
      <c r="J13" s="35">
        <f t="shared" si="0"/>
        <v>0.58374832361174256</v>
      </c>
      <c r="K13" s="35">
        <f t="shared" si="1"/>
        <v>88.454580337173127</v>
      </c>
      <c r="L13" s="35">
        <f t="shared" si="2"/>
        <v>0.86660228466669853</v>
      </c>
    </row>
    <row r="14" spans="2:13" ht="22.5" outlineLevel="1" x14ac:dyDescent="0.2">
      <c r="B14" s="54" t="s">
        <v>24</v>
      </c>
      <c r="C14" s="24">
        <f>1804759237.56</f>
        <v>1804759237.5599999</v>
      </c>
      <c r="D14" s="53">
        <f>1588732301.92</f>
        <v>1588732301.9200001</v>
      </c>
      <c r="E14" s="24">
        <f>0</f>
        <v>0</v>
      </c>
      <c r="F14" s="24">
        <f>0</f>
        <v>0</v>
      </c>
      <c r="G14" s="24">
        <f>102304.35</f>
        <v>102304.35</v>
      </c>
      <c r="H14" s="24">
        <f>493947.27</f>
        <v>493947.27</v>
      </c>
      <c r="I14" s="24">
        <f>0</f>
        <v>0</v>
      </c>
      <c r="J14" s="35">
        <f t="shared" si="0"/>
        <v>0.9350292658572481</v>
      </c>
      <c r="K14" s="35">
        <f t="shared" si="1"/>
        <v>88.030152103165619</v>
      </c>
      <c r="L14" s="35">
        <f t="shared" si="2"/>
        <v>1.3880956317076389</v>
      </c>
    </row>
    <row r="15" spans="2:13" ht="33.75" outlineLevel="1" x14ac:dyDescent="0.2">
      <c r="B15" s="54" t="s">
        <v>112</v>
      </c>
      <c r="C15" s="24">
        <f>91383489.04</f>
        <v>91383489.040000007</v>
      </c>
      <c r="D15" s="53">
        <f>70697663.91</f>
        <v>70697663.909999996</v>
      </c>
      <c r="E15" s="24">
        <f>0</f>
        <v>0</v>
      </c>
      <c r="F15" s="24">
        <f>0</f>
        <v>0</v>
      </c>
      <c r="G15" s="24">
        <f>23347.18</f>
        <v>23347.18</v>
      </c>
      <c r="H15" s="24">
        <f>70764.24</f>
        <v>70764.240000000005</v>
      </c>
      <c r="I15" s="24">
        <f>0</f>
        <v>0</v>
      </c>
      <c r="J15" s="35">
        <f t="shared" si="0"/>
        <v>4.1608258800870296E-2</v>
      </c>
      <c r="K15" s="35">
        <f t="shared" si="1"/>
        <v>77.363717070437644</v>
      </c>
      <c r="L15" s="35">
        <f t="shared" si="2"/>
        <v>6.1769448715059454E-2</v>
      </c>
    </row>
    <row r="16" spans="2:13" ht="13.35" customHeight="1" outlineLevel="1" x14ac:dyDescent="0.2">
      <c r="B16" s="54" t="s">
        <v>113</v>
      </c>
      <c r="C16" s="24">
        <f>195384594.08</f>
        <v>195384594.08000001</v>
      </c>
      <c r="D16" s="53">
        <f>156167566.45</f>
        <v>156167566.44999999</v>
      </c>
      <c r="E16" s="24">
        <f>0</f>
        <v>0</v>
      </c>
      <c r="F16" s="24">
        <f>0</f>
        <v>0</v>
      </c>
      <c r="G16" s="24">
        <f>176</f>
        <v>176</v>
      </c>
      <c r="H16" s="24">
        <f>2</f>
        <v>2</v>
      </c>
      <c r="I16" s="24">
        <f>0</f>
        <v>0</v>
      </c>
      <c r="J16" s="35">
        <f t="shared" si="0"/>
        <v>9.1910540770139978E-2</v>
      </c>
      <c r="K16" s="35">
        <f t="shared" si="1"/>
        <v>79.928290756669043</v>
      </c>
      <c r="L16" s="35">
        <f t="shared" si="2"/>
        <v>0.13644559032486586</v>
      </c>
    </row>
    <row r="17" spans="2:12" ht="13.35" customHeight="1" outlineLevel="1" x14ac:dyDescent="0.2">
      <c r="B17" s="54" t="s">
        <v>25</v>
      </c>
      <c r="C17" s="24">
        <f>454400312.92</f>
        <v>454400312.92000002</v>
      </c>
      <c r="D17" s="53">
        <f>458122718.44</f>
        <v>458122718.44</v>
      </c>
      <c r="E17" s="24">
        <f>0</f>
        <v>0</v>
      </c>
      <c r="F17" s="24">
        <f>0</f>
        <v>0</v>
      </c>
      <c r="G17" s="24">
        <f>39420</f>
        <v>39420</v>
      </c>
      <c r="H17" s="24">
        <f>342064.22</f>
        <v>342064.22</v>
      </c>
      <c r="I17" s="24">
        <f>0</f>
        <v>0</v>
      </c>
      <c r="J17" s="35">
        <f t="shared" si="0"/>
        <v>0.26962260953453554</v>
      </c>
      <c r="K17" s="35">
        <f t="shared" si="1"/>
        <v>100.81919079150268</v>
      </c>
      <c r="L17" s="35">
        <f t="shared" si="2"/>
        <v>0.40026764954931598</v>
      </c>
    </row>
    <row r="18" spans="2:12" ht="13.35" customHeight="1" outlineLevel="1" x14ac:dyDescent="0.2">
      <c r="B18" s="54" t="s">
        <v>114</v>
      </c>
      <c r="C18" s="24">
        <f>242948876.99</f>
        <v>242948876.99000001</v>
      </c>
      <c r="D18" s="53">
        <f>217679661.25</f>
        <v>217679661.25</v>
      </c>
      <c r="E18" s="24">
        <f>0</f>
        <v>0</v>
      </c>
      <c r="F18" s="24">
        <f>0</f>
        <v>0</v>
      </c>
      <c r="G18" s="24">
        <f>3247291.93</f>
        <v>3247291.93</v>
      </c>
      <c r="H18" s="24">
        <f>6202566.67</f>
        <v>6202566.6699999999</v>
      </c>
      <c r="I18" s="24">
        <f>0</f>
        <v>0</v>
      </c>
      <c r="J18" s="35">
        <f t="shared" si="0"/>
        <v>0.12811274347771837</v>
      </c>
      <c r="K18" s="35">
        <f t="shared" si="1"/>
        <v>89.59895758602741</v>
      </c>
      <c r="L18" s="35">
        <f t="shared" si="2"/>
        <v>0.19018949040537528</v>
      </c>
    </row>
    <row r="19" spans="2:12" ht="13.35" customHeight="1" outlineLevel="1" x14ac:dyDescent="0.2">
      <c r="B19" s="54" t="s">
        <v>26</v>
      </c>
      <c r="C19" s="24">
        <f>115759821.86</f>
        <v>115759821.86</v>
      </c>
      <c r="D19" s="53">
        <f>87857873.19</f>
        <v>87857873.189999998</v>
      </c>
      <c r="E19" s="24">
        <f>1573181</f>
        <v>1573181</v>
      </c>
      <c r="F19" s="24">
        <f>0</f>
        <v>0</v>
      </c>
      <c r="G19" s="24">
        <f>0</f>
        <v>0</v>
      </c>
      <c r="H19" s="24">
        <f>0</f>
        <v>0</v>
      </c>
      <c r="I19" s="24">
        <f>0</f>
        <v>0</v>
      </c>
      <c r="J19" s="35">
        <f t="shared" si="0"/>
        <v>5.1707693341002843E-2</v>
      </c>
      <c r="K19" s="35">
        <f t="shared" ref="K19:K25" si="3">IF(C19=0,"",100*D19/C19)</f>
        <v>75.896690041779237</v>
      </c>
      <c r="L19" s="35">
        <f t="shared" si="2"/>
        <v>7.6762541957999225E-2</v>
      </c>
    </row>
    <row r="20" spans="2:12" ht="13.35" customHeight="1" outlineLevel="1" x14ac:dyDescent="0.2">
      <c r="B20" s="54" t="s">
        <v>115</v>
      </c>
      <c r="C20" s="24">
        <f>72108557.68</f>
        <v>72108557.680000007</v>
      </c>
      <c r="D20" s="53">
        <f>61404646.11</f>
        <v>61404646.109999999</v>
      </c>
      <c r="E20" s="24">
        <f>490245.57</f>
        <v>490245.57</v>
      </c>
      <c r="F20" s="24">
        <f>0</f>
        <v>0</v>
      </c>
      <c r="G20" s="24">
        <f>0</f>
        <v>0</v>
      </c>
      <c r="H20" s="24">
        <f>0</f>
        <v>0</v>
      </c>
      <c r="I20" s="24">
        <f>0</f>
        <v>0</v>
      </c>
      <c r="J20" s="35">
        <f t="shared" si="0"/>
        <v>3.6138965074903183E-2</v>
      </c>
      <c r="K20" s="35">
        <f t="shared" si="3"/>
        <v>85.155837373004559</v>
      </c>
      <c r="L20" s="35">
        <f t="shared" si="2"/>
        <v>5.3650020792575581E-2</v>
      </c>
    </row>
    <row r="21" spans="2:12" ht="13.35" customHeight="1" outlineLevel="1" x14ac:dyDescent="0.2">
      <c r="B21" s="54" t="s">
        <v>116</v>
      </c>
      <c r="C21" s="24">
        <f>103401555</f>
        <v>103401555</v>
      </c>
      <c r="D21" s="53">
        <f>80678812.27</f>
        <v>80678812.269999996</v>
      </c>
      <c r="E21" s="24">
        <f>300400.82</f>
        <v>300400.82</v>
      </c>
      <c r="F21" s="24">
        <f>0</f>
        <v>0</v>
      </c>
      <c r="G21" s="24">
        <f>247.8</f>
        <v>247.8</v>
      </c>
      <c r="H21" s="24">
        <f>0</f>
        <v>0</v>
      </c>
      <c r="I21" s="24">
        <f>0</f>
        <v>0</v>
      </c>
      <c r="J21" s="35">
        <f t="shared" si="0"/>
        <v>4.7482543481923517E-2</v>
      </c>
      <c r="K21" s="35">
        <f t="shared" si="3"/>
        <v>78.024757238902254</v>
      </c>
      <c r="L21" s="35">
        <f t="shared" si="2"/>
        <v>7.0490105065533479E-2</v>
      </c>
    </row>
    <row r="22" spans="2:12" ht="13.35" customHeight="1" outlineLevel="1" x14ac:dyDescent="0.2">
      <c r="B22" s="54" t="s">
        <v>117</v>
      </c>
      <c r="C22" s="24">
        <f>3054834</f>
        <v>3054834</v>
      </c>
      <c r="D22" s="53">
        <f>2626191.58</f>
        <v>2626191.58</v>
      </c>
      <c r="E22" s="24">
        <f>1423326.07</f>
        <v>1423326.07</v>
      </c>
      <c r="F22" s="24">
        <f>0</f>
        <v>0</v>
      </c>
      <c r="G22" s="24">
        <f>892</f>
        <v>892</v>
      </c>
      <c r="H22" s="24">
        <f>0</f>
        <v>0</v>
      </c>
      <c r="I22" s="24">
        <f>1194.26</f>
        <v>1194.26</v>
      </c>
      <c r="J22" s="35">
        <f t="shared" si="0"/>
        <v>1.5456134315896446E-3</v>
      </c>
      <c r="K22" s="35">
        <f t="shared" si="3"/>
        <v>85.968389117051856</v>
      </c>
      <c r="L22" s="35">
        <f t="shared" si="2"/>
        <v>2.2945370065302201E-3</v>
      </c>
    </row>
    <row r="23" spans="2:12" ht="13.35" customHeight="1" outlineLevel="1" x14ac:dyDescent="0.2">
      <c r="B23" s="54" t="s">
        <v>118</v>
      </c>
      <c r="C23" s="24">
        <f>1064775</f>
        <v>1064775</v>
      </c>
      <c r="D23" s="53">
        <f>962736.73</f>
        <v>962736.73</v>
      </c>
      <c r="E23" s="24">
        <f>0</f>
        <v>0</v>
      </c>
      <c r="F23" s="24">
        <f>0</f>
        <v>0</v>
      </c>
      <c r="G23" s="24">
        <f>0</f>
        <v>0</v>
      </c>
      <c r="H23" s="24">
        <f>0</f>
        <v>0</v>
      </c>
      <c r="I23" s="24">
        <f>0</f>
        <v>0</v>
      </c>
      <c r="J23" s="35">
        <f t="shared" si="0"/>
        <v>5.6660710981820033E-4</v>
      </c>
      <c r="K23" s="35">
        <f t="shared" si="3"/>
        <v>90.416917189077509</v>
      </c>
      <c r="L23" s="35">
        <f t="shared" si="2"/>
        <v>8.4115533358419055E-4</v>
      </c>
    </row>
    <row r="24" spans="2:12" ht="13.35" customHeight="1" outlineLevel="1" x14ac:dyDescent="0.2">
      <c r="B24" s="54" t="s">
        <v>20</v>
      </c>
      <c r="C24" s="24">
        <f>5152910160.2</f>
        <v>5152910160.1999998</v>
      </c>
      <c r="D24" s="53">
        <f>3021018680.74</f>
        <v>3021018680.7399998</v>
      </c>
      <c r="E24" s="24">
        <f>0</f>
        <v>0</v>
      </c>
      <c r="F24" s="24">
        <f>0</f>
        <v>0</v>
      </c>
      <c r="G24" s="24">
        <f>20986.65</f>
        <v>20986.65</v>
      </c>
      <c r="H24" s="24">
        <f>68810.86</f>
        <v>68810.86</v>
      </c>
      <c r="I24" s="24">
        <f>0</f>
        <v>0</v>
      </c>
      <c r="J24" s="35">
        <f t="shared" si="0"/>
        <v>1.7779841674897807</v>
      </c>
      <c r="K24" s="35">
        <f t="shared" si="3"/>
        <v>58.627427741195966</v>
      </c>
      <c r="L24" s="35">
        <f t="shared" si="2"/>
        <v>2.6395024693427103</v>
      </c>
    </row>
    <row r="25" spans="2:12" ht="13.35" customHeight="1" outlineLevel="1" x14ac:dyDescent="0.2">
      <c r="B25" s="54" t="s">
        <v>21</v>
      </c>
      <c r="C25" s="24">
        <f>C7-C8-C9-C10-C11-C12-C13-C14-C15-C16-C17-C18-C19-C20-C21-C22-C23-C24</f>
        <v>24623956392.869984</v>
      </c>
      <c r="D25" s="24">
        <f t="shared" ref="D25:I25" si="4">D7-D8-D9-D10-D11-D12-D13-D14-D15-D16-D17-D18-D19-D20-D21-D22-D23-D24</f>
        <v>17551409689.849991</v>
      </c>
      <c r="E25" s="24">
        <f t="shared" si="4"/>
        <v>23052119.960000075</v>
      </c>
      <c r="F25" s="24">
        <f t="shared" si="4"/>
        <v>-9.3132257461547852E-9</v>
      </c>
      <c r="G25" s="24">
        <f t="shared" si="4"/>
        <v>11037956.119999997</v>
      </c>
      <c r="H25" s="24">
        <f t="shared" si="4"/>
        <v>13698016.539999997</v>
      </c>
      <c r="I25" s="24">
        <f t="shared" si="4"/>
        <v>1212682.9499999995</v>
      </c>
      <c r="J25" s="35">
        <f t="shared" si="0"/>
        <v>10.32967083077952</v>
      </c>
      <c r="K25" s="35">
        <f t="shared" si="3"/>
        <v>71.277780913111542</v>
      </c>
      <c r="L25" s="35">
        <f t="shared" si="2"/>
        <v>15.334890019765387</v>
      </c>
    </row>
    <row r="26" spans="2:12" ht="27" customHeight="1" x14ac:dyDescent="0.2">
      <c r="B26" s="84" t="s">
        <v>85</v>
      </c>
      <c r="C26" s="45">
        <f>C27+C46+C48</f>
        <v>59202545765.349998</v>
      </c>
      <c r="D26" s="45">
        <f>D27+D46+D48</f>
        <v>34774038307.099998</v>
      </c>
      <c r="E26" s="41" t="s">
        <v>45</v>
      </c>
      <c r="F26" s="41" t="s">
        <v>45</v>
      </c>
      <c r="G26" s="41" t="s">
        <v>45</v>
      </c>
      <c r="H26" s="41" t="s">
        <v>45</v>
      </c>
      <c r="I26" s="41" t="s">
        <v>45</v>
      </c>
      <c r="J26" s="46">
        <f t="shared" si="0"/>
        <v>20.465841520239199</v>
      </c>
      <c r="K26" s="46">
        <f t="shared" si="1"/>
        <v>58.737403700387006</v>
      </c>
      <c r="L26" s="29"/>
    </row>
    <row r="27" spans="2:12" ht="27" customHeight="1" outlineLevel="1" x14ac:dyDescent="0.2">
      <c r="B27" s="92" t="s">
        <v>47</v>
      </c>
      <c r="C27" s="45">
        <f>C28+C30+C32+C34+C36+C38+C40+C42+C44</f>
        <v>47638405688.019997</v>
      </c>
      <c r="D27" s="45">
        <f>D28+D30+D32+D34+D36+D38+D40+D42+D44</f>
        <v>30815159356.610001</v>
      </c>
      <c r="E27" s="41" t="s">
        <v>45</v>
      </c>
      <c r="F27" s="41" t="s">
        <v>45</v>
      </c>
      <c r="G27" s="41" t="s">
        <v>45</v>
      </c>
      <c r="H27" s="41" t="s">
        <v>45</v>
      </c>
      <c r="I27" s="41" t="s">
        <v>45</v>
      </c>
      <c r="J27" s="46">
        <f t="shared" si="0"/>
        <v>18.135890984065878</v>
      </c>
      <c r="K27" s="46">
        <f t="shared" si="1"/>
        <v>64.685538719360054</v>
      </c>
      <c r="L27" s="29"/>
    </row>
    <row r="28" spans="2:12" ht="22.5" customHeight="1" outlineLevel="1" x14ac:dyDescent="0.2">
      <c r="B28" s="82" t="s">
        <v>9</v>
      </c>
      <c r="C28" s="24">
        <f>15900060846.32</f>
        <v>15900060846.32</v>
      </c>
      <c r="D28" s="24">
        <f>13500160663.56</f>
        <v>13500160663.559999</v>
      </c>
      <c r="E28" s="24" t="s">
        <v>45</v>
      </c>
      <c r="F28" s="24" t="s">
        <v>45</v>
      </c>
      <c r="G28" s="24" t="s">
        <v>45</v>
      </c>
      <c r="H28" s="24" t="s">
        <v>45</v>
      </c>
      <c r="I28" s="24" t="s">
        <v>45</v>
      </c>
      <c r="J28" s="35">
        <f t="shared" si="0"/>
        <v>7.9453569987519739</v>
      </c>
      <c r="K28" s="35">
        <f t="shared" si="1"/>
        <v>84.906345919327435</v>
      </c>
      <c r="L28" s="29"/>
    </row>
    <row r="29" spans="2:12" ht="13.5" customHeight="1" outlineLevel="1" x14ac:dyDescent="0.2">
      <c r="B29" s="93" t="s">
        <v>6</v>
      </c>
      <c r="C29" s="24">
        <f>80036153.86</f>
        <v>80036153.859999999</v>
      </c>
      <c r="D29" s="24">
        <f>15993378.33</f>
        <v>15993378.33</v>
      </c>
      <c r="E29" s="24" t="s">
        <v>45</v>
      </c>
      <c r="F29" s="24" t="s">
        <v>45</v>
      </c>
      <c r="G29" s="24" t="s">
        <v>45</v>
      </c>
      <c r="H29" s="24" t="s">
        <v>45</v>
      </c>
      <c r="I29" s="24" t="s">
        <v>45</v>
      </c>
      <c r="J29" s="35">
        <f t="shared" si="0"/>
        <v>9.4127102346976375E-3</v>
      </c>
      <c r="K29" s="35">
        <f t="shared" si="1"/>
        <v>19.982692269265925</v>
      </c>
      <c r="L29" s="29"/>
    </row>
    <row r="30" spans="2:12" ht="13.5" customHeight="1" outlineLevel="1" x14ac:dyDescent="0.2">
      <c r="B30" s="82" t="s">
        <v>7</v>
      </c>
      <c r="C30" s="24">
        <f>5835627419.18</f>
        <v>5835627419.1800003</v>
      </c>
      <c r="D30" s="24">
        <f>3479006223.07</f>
        <v>3479006223.0700002</v>
      </c>
      <c r="E30" s="24" t="s">
        <v>45</v>
      </c>
      <c r="F30" s="24" t="s">
        <v>45</v>
      </c>
      <c r="G30" s="24" t="s">
        <v>45</v>
      </c>
      <c r="H30" s="24" t="s">
        <v>45</v>
      </c>
      <c r="I30" s="24" t="s">
        <v>45</v>
      </c>
      <c r="J30" s="35">
        <f t="shared" si="0"/>
        <v>2.0475272207524751</v>
      </c>
      <c r="K30" s="35">
        <f t="shared" si="1"/>
        <v>59.616661126026038</v>
      </c>
      <c r="L30" s="29"/>
    </row>
    <row r="31" spans="2:12" ht="13.5" customHeight="1" outlineLevel="1" x14ac:dyDescent="0.2">
      <c r="B31" s="93" t="s">
        <v>6</v>
      </c>
      <c r="C31" s="24">
        <f>1656713752.48</f>
        <v>1656713752.48</v>
      </c>
      <c r="D31" s="24">
        <f>524488433.17</f>
        <v>524488433.17000002</v>
      </c>
      <c r="E31" s="24" t="s">
        <v>45</v>
      </c>
      <c r="F31" s="24" t="s">
        <v>45</v>
      </c>
      <c r="G31" s="24" t="s">
        <v>45</v>
      </c>
      <c r="H31" s="24" t="s">
        <v>45</v>
      </c>
      <c r="I31" s="24" t="s">
        <v>45</v>
      </c>
      <c r="J31" s="35">
        <f t="shared" si="0"/>
        <v>0.30868135180791328</v>
      </c>
      <c r="K31" s="35">
        <f t="shared" si="1"/>
        <v>31.658361764962272</v>
      </c>
      <c r="L31" s="29"/>
    </row>
    <row r="32" spans="2:12" ht="35.1" customHeight="1" outlineLevel="1" x14ac:dyDescent="0.2">
      <c r="B32" s="82" t="s">
        <v>10</v>
      </c>
      <c r="C32" s="24">
        <f>47792320.64</f>
        <v>47792320.640000001</v>
      </c>
      <c r="D32" s="24">
        <f>22417794.44</f>
        <v>22417794.440000001</v>
      </c>
      <c r="E32" s="24" t="s">
        <v>45</v>
      </c>
      <c r="F32" s="24" t="s">
        <v>45</v>
      </c>
      <c r="G32" s="24" t="s">
        <v>45</v>
      </c>
      <c r="H32" s="24" t="s">
        <v>45</v>
      </c>
      <c r="I32" s="24" t="s">
        <v>45</v>
      </c>
      <c r="J32" s="35">
        <f t="shared" si="0"/>
        <v>1.3193722977772876E-2</v>
      </c>
      <c r="K32" s="35">
        <f t="shared" si="1"/>
        <v>46.906687392027003</v>
      </c>
      <c r="L32" s="29"/>
    </row>
    <row r="33" spans="2:12" ht="13.5" customHeight="1" outlineLevel="1" x14ac:dyDescent="0.2">
      <c r="B33" s="93" t="s">
        <v>6</v>
      </c>
      <c r="C33" s="24">
        <f>25043224.66</f>
        <v>25043224.66</v>
      </c>
      <c r="D33" s="24">
        <f>7985553.62</f>
        <v>7985553.6200000001</v>
      </c>
      <c r="E33" s="24" t="s">
        <v>45</v>
      </c>
      <c r="F33" s="24" t="s">
        <v>45</v>
      </c>
      <c r="G33" s="24" t="s">
        <v>45</v>
      </c>
      <c r="H33" s="24" t="s">
        <v>45</v>
      </c>
      <c r="I33" s="24" t="s">
        <v>45</v>
      </c>
      <c r="J33" s="35">
        <f t="shared" si="0"/>
        <v>4.6998014264257549E-3</v>
      </c>
      <c r="K33" s="35">
        <f t="shared" si="1"/>
        <v>31.887082148629336</v>
      </c>
      <c r="L33" s="29"/>
    </row>
    <row r="34" spans="2:12" ht="24" customHeight="1" outlineLevel="1" x14ac:dyDescent="0.2">
      <c r="B34" s="82" t="s">
        <v>11</v>
      </c>
      <c r="C34" s="24">
        <f>951336562.53</f>
        <v>951336562.52999997</v>
      </c>
      <c r="D34" s="24">
        <f>472883151.16</f>
        <v>472883151.16000003</v>
      </c>
      <c r="E34" s="24" t="s">
        <v>45</v>
      </c>
      <c r="F34" s="24" t="s">
        <v>45</v>
      </c>
      <c r="G34" s="24" t="s">
        <v>45</v>
      </c>
      <c r="H34" s="24" t="s">
        <v>45</v>
      </c>
      <c r="I34" s="24" t="s">
        <v>45</v>
      </c>
      <c r="J34" s="35">
        <f t="shared" si="0"/>
        <v>0.27830968447676319</v>
      </c>
      <c r="K34" s="35">
        <f t="shared" si="1"/>
        <v>49.707240295948139</v>
      </c>
      <c r="L34" s="29"/>
    </row>
    <row r="35" spans="2:12" ht="13.5" customHeight="1" outlineLevel="1" x14ac:dyDescent="0.2">
      <c r="B35" s="93" t="s">
        <v>6</v>
      </c>
      <c r="C35" s="24">
        <f>364766350.04</f>
        <v>364766350.04000002</v>
      </c>
      <c r="D35" s="24">
        <f>89360834.79</f>
        <v>89360834.790000007</v>
      </c>
      <c r="E35" s="24" t="s">
        <v>45</v>
      </c>
      <c r="F35" s="24" t="s">
        <v>45</v>
      </c>
      <c r="G35" s="24" t="s">
        <v>45</v>
      </c>
      <c r="H35" s="24" t="s">
        <v>45</v>
      </c>
      <c r="I35" s="24" t="s">
        <v>45</v>
      </c>
      <c r="J35" s="35">
        <f t="shared" si="0"/>
        <v>5.2592243293037744E-2</v>
      </c>
      <c r="K35" s="35">
        <f t="shared" si="1"/>
        <v>24.498102629313465</v>
      </c>
      <c r="L35" s="29"/>
    </row>
    <row r="36" spans="2:12" ht="35.1" customHeight="1" outlineLevel="1" x14ac:dyDescent="0.2">
      <c r="B36" s="82" t="s">
        <v>62</v>
      </c>
      <c r="C36" s="24">
        <f>1218752889.3</f>
        <v>1218752889.3</v>
      </c>
      <c r="D36" s="24">
        <f>559378173.29</f>
        <v>559378173.28999996</v>
      </c>
      <c r="E36" s="24" t="s">
        <v>45</v>
      </c>
      <c r="F36" s="24" t="s">
        <v>45</v>
      </c>
      <c r="G36" s="24" t="s">
        <v>45</v>
      </c>
      <c r="H36" s="24" t="s">
        <v>45</v>
      </c>
      <c r="I36" s="24" t="s">
        <v>45</v>
      </c>
      <c r="J36" s="35">
        <f t="shared" si="0"/>
        <v>0.32921528823693197</v>
      </c>
      <c r="K36" s="35">
        <f t="shared" si="1"/>
        <v>45.897587460185072</v>
      </c>
      <c r="L36" s="29"/>
    </row>
    <row r="37" spans="2:12" ht="13.5" customHeight="1" outlineLevel="1" x14ac:dyDescent="0.2">
      <c r="B37" s="93" t="s">
        <v>6</v>
      </c>
      <c r="C37" s="24">
        <f>1064374602.54</f>
        <v>1064374602.54</v>
      </c>
      <c r="D37" s="24">
        <f>452173097.95</f>
        <v>452173097.94999999</v>
      </c>
      <c r="E37" s="24" t="s">
        <v>45</v>
      </c>
      <c r="F37" s="24" t="s">
        <v>45</v>
      </c>
      <c r="G37" s="24" t="s">
        <v>45</v>
      </c>
      <c r="H37" s="24" t="s">
        <v>45</v>
      </c>
      <c r="I37" s="24" t="s">
        <v>45</v>
      </c>
      <c r="J37" s="35">
        <f t="shared" si="0"/>
        <v>0.26612103203644416</v>
      </c>
      <c r="K37" s="35">
        <f t="shared" si="1"/>
        <v>42.482514790464201</v>
      </c>
      <c r="L37" s="29"/>
    </row>
    <row r="38" spans="2:12" ht="13.5" customHeight="1" outlineLevel="1" x14ac:dyDescent="0.2">
      <c r="B38" s="82" t="s">
        <v>8</v>
      </c>
      <c r="C38" s="24">
        <f>773656757.69</f>
        <v>773656757.69000006</v>
      </c>
      <c r="D38" s="24">
        <f>287858539.66</f>
        <v>287858539.66000003</v>
      </c>
      <c r="E38" s="24" t="s">
        <v>45</v>
      </c>
      <c r="F38" s="24" t="s">
        <v>45</v>
      </c>
      <c r="G38" s="24" t="s">
        <v>45</v>
      </c>
      <c r="H38" s="24" t="s">
        <v>45</v>
      </c>
      <c r="I38" s="24" t="s">
        <v>45</v>
      </c>
      <c r="J38" s="35">
        <f t="shared" si="0"/>
        <v>0.16941567731942711</v>
      </c>
      <c r="K38" s="35">
        <f t="shared" si="1"/>
        <v>37.207526050634378</v>
      </c>
      <c r="L38" s="29"/>
    </row>
    <row r="39" spans="2:12" ht="13.5" customHeight="1" outlineLevel="1" x14ac:dyDescent="0.2">
      <c r="B39" s="94" t="s">
        <v>6</v>
      </c>
      <c r="C39" s="22">
        <f>731415571.04</f>
        <v>731415571.03999996</v>
      </c>
      <c r="D39" s="22">
        <f>261509789.47</f>
        <v>261509789.47</v>
      </c>
      <c r="E39" s="24" t="s">
        <v>45</v>
      </c>
      <c r="F39" s="24" t="s">
        <v>45</v>
      </c>
      <c r="G39" s="24" t="s">
        <v>45</v>
      </c>
      <c r="H39" s="24" t="s">
        <v>45</v>
      </c>
      <c r="I39" s="24" t="s">
        <v>45</v>
      </c>
      <c r="J39" s="35">
        <f t="shared" si="0"/>
        <v>0.15390843766889703</v>
      </c>
      <c r="K39" s="35">
        <f t="shared" si="1"/>
        <v>35.753927018283079</v>
      </c>
      <c r="L39" s="29"/>
    </row>
    <row r="40" spans="2:12" ht="71.099999999999994" customHeight="1" outlineLevel="1" x14ac:dyDescent="0.2">
      <c r="B40" s="82" t="s">
        <v>79</v>
      </c>
      <c r="C40" s="22">
        <f>17750423.38</f>
        <v>17750423.379999999</v>
      </c>
      <c r="D40" s="22">
        <f>4336195.65</f>
        <v>4336195.6500000004</v>
      </c>
      <c r="E40" s="24" t="s">
        <v>45</v>
      </c>
      <c r="F40" s="24" t="s">
        <v>45</v>
      </c>
      <c r="G40" s="24" t="s">
        <v>45</v>
      </c>
      <c r="H40" s="24" t="s">
        <v>45</v>
      </c>
      <c r="I40" s="24" t="s">
        <v>45</v>
      </c>
      <c r="J40" s="35">
        <f t="shared" si="0"/>
        <v>2.5520157362779261E-3</v>
      </c>
      <c r="K40" s="35">
        <f>IF(C40=0,"",100*D40/C40)</f>
        <v>24.428688584891663</v>
      </c>
      <c r="L40" s="29"/>
    </row>
    <row r="41" spans="2:12" ht="13.5" customHeight="1" outlineLevel="1" x14ac:dyDescent="0.2">
      <c r="B41" s="94" t="s">
        <v>80</v>
      </c>
      <c r="C41" s="22">
        <f>16103450.53</f>
        <v>16103450.529999999</v>
      </c>
      <c r="D41" s="22">
        <f>2899889.5</f>
        <v>2899889.5</v>
      </c>
      <c r="E41" s="24" t="s">
        <v>45</v>
      </c>
      <c r="F41" s="24" t="s">
        <v>45</v>
      </c>
      <c r="G41" s="24" t="s">
        <v>45</v>
      </c>
      <c r="H41" s="24" t="s">
        <v>45</v>
      </c>
      <c r="I41" s="24" t="s">
        <v>45</v>
      </c>
      <c r="J41" s="35">
        <f t="shared" si="0"/>
        <v>1.7066950467207645E-3</v>
      </c>
      <c r="K41" s="35">
        <f>IF(C41=0,"",100*D41/C41)</f>
        <v>18.007876601338559</v>
      </c>
      <c r="L41" s="29"/>
    </row>
    <row r="42" spans="2:12" ht="48" customHeight="1" outlineLevel="1" x14ac:dyDescent="0.2">
      <c r="B42" s="95" t="s">
        <v>77</v>
      </c>
      <c r="C42" s="22">
        <f>21889032378.44</f>
        <v>21889032378.439999</v>
      </c>
      <c r="D42" s="22">
        <f>11517171842.31</f>
        <v>11517171842.309999</v>
      </c>
      <c r="E42" s="24" t="s">
        <v>45</v>
      </c>
      <c r="F42" s="24" t="s">
        <v>45</v>
      </c>
      <c r="G42" s="24" t="s">
        <v>45</v>
      </c>
      <c r="H42" s="24" t="s">
        <v>45</v>
      </c>
      <c r="I42" s="24" t="s">
        <v>45</v>
      </c>
      <c r="J42" s="35">
        <f t="shared" si="0"/>
        <v>6.7782928058128906</v>
      </c>
      <c r="K42" s="35">
        <f t="shared" si="1"/>
        <v>52.616176189012577</v>
      </c>
      <c r="L42" s="29"/>
    </row>
    <row r="43" spans="2:12" ht="13.5" customHeight="1" outlineLevel="1" x14ac:dyDescent="0.2">
      <c r="B43" s="94" t="s">
        <v>6</v>
      </c>
      <c r="C43" s="22">
        <f>21800571587.95</f>
        <v>21800571587.950001</v>
      </c>
      <c r="D43" s="22">
        <f>11453939186.6</f>
        <v>11453939186.6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35">
        <f t="shared" si="0"/>
        <v>6.7410779876995601</v>
      </c>
      <c r="K43" s="35">
        <f t="shared" si="1"/>
        <v>52.539627873477521</v>
      </c>
      <c r="L43" s="29"/>
    </row>
    <row r="44" spans="2:12" ht="22.5" outlineLevel="1" x14ac:dyDescent="0.2">
      <c r="B44" s="95" t="s">
        <v>90</v>
      </c>
      <c r="C44" s="22">
        <f>1004396090.54</f>
        <v>1004396090.54</v>
      </c>
      <c r="D44" s="22">
        <f>971946773.47</f>
        <v>971946773.47000003</v>
      </c>
      <c r="E44" s="24" t="s">
        <v>45</v>
      </c>
      <c r="F44" s="24" t="s">
        <v>45</v>
      </c>
      <c r="G44" s="24" t="s">
        <v>45</v>
      </c>
      <c r="H44" s="24" t="s">
        <v>45</v>
      </c>
      <c r="I44" s="24" t="s">
        <v>45</v>
      </c>
      <c r="J44" s="35">
        <f t="shared" si="0"/>
        <v>0.57202757000136661</v>
      </c>
      <c r="K44" s="35">
        <f t="shared" si="1"/>
        <v>96.769270870762341</v>
      </c>
      <c r="L44" s="29"/>
    </row>
    <row r="45" spans="2:12" ht="13.5" customHeight="1" outlineLevel="1" x14ac:dyDescent="0.2">
      <c r="B45" s="94" t="s">
        <v>6</v>
      </c>
      <c r="C45" s="22">
        <f>1926984.58</f>
        <v>1926984.58</v>
      </c>
      <c r="D45" s="22">
        <f>1910184.58</f>
        <v>1910184.58</v>
      </c>
      <c r="E45" s="24" t="s">
        <v>45</v>
      </c>
      <c r="F45" s="24" t="s">
        <v>45</v>
      </c>
      <c r="G45" s="24" t="s">
        <v>45</v>
      </c>
      <c r="H45" s="24" t="s">
        <v>45</v>
      </c>
      <c r="I45" s="24" t="s">
        <v>45</v>
      </c>
      <c r="J45" s="35">
        <f t="shared" si="0"/>
        <v>1.1242161334107331E-3</v>
      </c>
      <c r="K45" s="35">
        <f t="shared" si="1"/>
        <v>99.128171539390308</v>
      </c>
      <c r="L45" s="29"/>
    </row>
    <row r="46" spans="2:12" outlineLevel="1" x14ac:dyDescent="0.2">
      <c r="B46" s="92" t="s">
        <v>73</v>
      </c>
      <c r="C46" s="45">
        <f>839117115.47</f>
        <v>839117115.47000003</v>
      </c>
      <c r="D46" s="45">
        <f>279963278.59</f>
        <v>279963278.58999997</v>
      </c>
      <c r="E46" s="41" t="s">
        <v>45</v>
      </c>
      <c r="F46" s="41" t="s">
        <v>45</v>
      </c>
      <c r="G46" s="41" t="s">
        <v>45</v>
      </c>
      <c r="H46" s="41" t="s">
        <v>45</v>
      </c>
      <c r="I46" s="41" t="s">
        <v>45</v>
      </c>
      <c r="J46" s="46">
        <f t="shared" si="0"/>
        <v>0.1647690164860621</v>
      </c>
      <c r="K46" s="46">
        <f t="shared" si="1"/>
        <v>33.364029100179778</v>
      </c>
      <c r="L46" s="29"/>
    </row>
    <row r="47" spans="2:12" ht="13.5" customHeight="1" outlineLevel="1" x14ac:dyDescent="0.2">
      <c r="B47" s="94" t="s">
        <v>74</v>
      </c>
      <c r="C47" s="22">
        <f>692135389.6</f>
        <v>692135389.60000002</v>
      </c>
      <c r="D47" s="22">
        <f>192997245.4</f>
        <v>192997245.40000001</v>
      </c>
      <c r="E47" s="24" t="s">
        <v>45</v>
      </c>
      <c r="F47" s="24" t="s">
        <v>45</v>
      </c>
      <c r="G47" s="24" t="s">
        <v>45</v>
      </c>
      <c r="H47" s="24" t="s">
        <v>45</v>
      </c>
      <c r="I47" s="24" t="s">
        <v>45</v>
      </c>
      <c r="J47" s="35">
        <f t="shared" si="0"/>
        <v>0.11358620483812637</v>
      </c>
      <c r="K47" s="35">
        <f t="shared" si="1"/>
        <v>27.884319787713395</v>
      </c>
      <c r="L47" s="29"/>
    </row>
    <row r="48" spans="2:12" ht="13.5" customHeight="1" outlineLevel="1" x14ac:dyDescent="0.2">
      <c r="B48" s="92" t="s">
        <v>75</v>
      </c>
      <c r="C48" s="41">
        <f>10725022961.86</f>
        <v>10725022961.860001</v>
      </c>
      <c r="D48" s="41">
        <f>3678915671.9</f>
        <v>3678915671.9000001</v>
      </c>
      <c r="E48" s="41" t="s">
        <v>45</v>
      </c>
      <c r="F48" s="41" t="s">
        <v>45</v>
      </c>
      <c r="G48" s="41" t="s">
        <v>45</v>
      </c>
      <c r="H48" s="41" t="s">
        <v>45</v>
      </c>
      <c r="I48" s="41" t="s">
        <v>45</v>
      </c>
      <c r="J48" s="55">
        <f t="shared" si="0"/>
        <v>2.1651815196872581</v>
      </c>
      <c r="K48" s="55">
        <f t="shared" si="1"/>
        <v>34.302170587259788</v>
      </c>
      <c r="L48" s="29"/>
    </row>
    <row r="49" spans="1:26" ht="13.5" customHeight="1" outlineLevel="1" x14ac:dyDescent="0.2">
      <c r="B49" s="94" t="s">
        <v>76</v>
      </c>
      <c r="C49" s="22">
        <f>9029875938.39001</f>
        <v>9029875938.3900108</v>
      </c>
      <c r="D49" s="22">
        <f>2683209001.88</f>
        <v>2683209001.8800001</v>
      </c>
      <c r="E49" s="24" t="s">
        <v>45</v>
      </c>
      <c r="F49" s="24" t="s">
        <v>45</v>
      </c>
      <c r="G49" s="24" t="s">
        <v>45</v>
      </c>
      <c r="H49" s="24" t="s">
        <v>45</v>
      </c>
      <c r="I49" s="24" t="s">
        <v>45</v>
      </c>
      <c r="J49" s="35">
        <f t="shared" si="0"/>
        <v>1.5791703486719624</v>
      </c>
      <c r="K49" s="35">
        <f t="shared" si="1"/>
        <v>29.71479364929575</v>
      </c>
      <c r="L49" s="29"/>
    </row>
    <row r="50" spans="1:26" s="5" customFormat="1" ht="25.5" customHeight="1" x14ac:dyDescent="0.2">
      <c r="B50" s="84" t="s">
        <v>103</v>
      </c>
      <c r="C50" s="25">
        <f>24491063803</f>
        <v>24491063803</v>
      </c>
      <c r="D50" s="45">
        <f>20684440975.65</f>
        <v>20684440975.650002</v>
      </c>
      <c r="E50" s="23" t="s">
        <v>45</v>
      </c>
      <c r="F50" s="23" t="s">
        <v>45</v>
      </c>
      <c r="G50" s="23" t="s">
        <v>45</v>
      </c>
      <c r="H50" s="23" t="s">
        <v>45</v>
      </c>
      <c r="I50" s="23" t="s">
        <v>45</v>
      </c>
      <c r="J50" s="34">
        <f t="shared" si="0"/>
        <v>12.173578668197488</v>
      </c>
      <c r="K50" s="34">
        <f t="shared" si="1"/>
        <v>84.457094808255292</v>
      </c>
      <c r="L50" s="30"/>
    </row>
    <row r="51" spans="1:26" ht="13.5" customHeight="1" outlineLevel="1" x14ac:dyDescent="0.2">
      <c r="B51" s="32" t="s">
        <v>35</v>
      </c>
      <c r="C51" s="22">
        <f>236435</f>
        <v>236435</v>
      </c>
      <c r="D51" s="22">
        <f>0</f>
        <v>0</v>
      </c>
      <c r="E51" s="24" t="s">
        <v>45</v>
      </c>
      <c r="F51" s="24" t="s">
        <v>45</v>
      </c>
      <c r="G51" s="24" t="s">
        <v>45</v>
      </c>
      <c r="H51" s="24" t="s">
        <v>45</v>
      </c>
      <c r="I51" s="24" t="s">
        <v>45</v>
      </c>
      <c r="J51" s="35">
        <f t="shared" si="0"/>
        <v>0</v>
      </c>
      <c r="K51" s="35">
        <f t="shared" si="1"/>
        <v>0</v>
      </c>
      <c r="L51" s="29"/>
    </row>
    <row r="52" spans="1:26" ht="22.5" outlineLevel="1" x14ac:dyDescent="0.2">
      <c r="B52" s="54" t="s">
        <v>104</v>
      </c>
      <c r="C52" s="24">
        <f>2032035800.65</f>
        <v>2032035800.6500001</v>
      </c>
      <c r="D52" s="24">
        <f>1682769013.85</f>
        <v>1682769013.8499999</v>
      </c>
      <c r="E52" s="24" t="s">
        <v>45</v>
      </c>
      <c r="F52" s="24" t="s">
        <v>45</v>
      </c>
      <c r="G52" s="24" t="s">
        <v>45</v>
      </c>
      <c r="H52" s="24" t="s">
        <v>45</v>
      </c>
      <c r="I52" s="24" t="s">
        <v>45</v>
      </c>
      <c r="J52" s="35">
        <f t="shared" si="0"/>
        <v>0.99037344033728891</v>
      </c>
      <c r="K52" s="35">
        <f t="shared" si="1"/>
        <v>82.811976703940061</v>
      </c>
      <c r="L52" s="29"/>
    </row>
    <row r="53" spans="1:26" ht="13.5" customHeight="1" outlineLevel="1" x14ac:dyDescent="0.2">
      <c r="B53" s="82" t="s">
        <v>6</v>
      </c>
      <c r="C53" s="24">
        <f>189513192.22</f>
        <v>189513192.22</v>
      </c>
      <c r="D53" s="24">
        <f>218412169.58</f>
        <v>218412169.58000001</v>
      </c>
      <c r="E53" s="24" t="s">
        <v>45</v>
      </c>
      <c r="F53" s="24" t="s">
        <v>45</v>
      </c>
      <c r="G53" s="24" t="s">
        <v>45</v>
      </c>
      <c r="H53" s="24" t="s">
        <v>45</v>
      </c>
      <c r="I53" s="24" t="s">
        <v>45</v>
      </c>
      <c r="J53" s="35">
        <f t="shared" si="0"/>
        <v>0.12854385243497093</v>
      </c>
      <c r="K53" s="35">
        <f t="shared" si="1"/>
        <v>115.24905840140779</v>
      </c>
      <c r="L53" s="29"/>
    </row>
    <row r="54" spans="1:26" s="5" customFormat="1" x14ac:dyDescent="0.2">
      <c r="A54" s="2"/>
      <c r="B54" s="20"/>
      <c r="C54" s="7"/>
      <c r="D54" s="8"/>
      <c r="E54" s="16"/>
      <c r="F54" s="16"/>
      <c r="G54" s="16"/>
      <c r="H54" s="16"/>
      <c r="I54" s="16"/>
      <c r="J54" s="9"/>
      <c r="K54" s="9"/>
      <c r="L54" s="3"/>
    </row>
    <row r="55" spans="1:26" s="5" customFormat="1" ht="13.5" customHeight="1" x14ac:dyDescent="0.2">
      <c r="A55" s="2"/>
      <c r="B55" s="83" t="s">
        <v>5</v>
      </c>
      <c r="C55" s="41">
        <f t="shared" ref="C55:I55" si="5">+C6</f>
        <v>226462163284.75</v>
      </c>
      <c r="D55" s="41">
        <f t="shared" si="5"/>
        <v>169912574924.95999</v>
      </c>
      <c r="E55" s="41">
        <f t="shared" si="5"/>
        <v>4079184585.48</v>
      </c>
      <c r="F55" s="41">
        <f t="shared" si="5"/>
        <v>554376994.96000004</v>
      </c>
      <c r="G55" s="41">
        <f t="shared" si="5"/>
        <v>60165510.5</v>
      </c>
      <c r="H55" s="41">
        <f t="shared" si="5"/>
        <v>113626401.16</v>
      </c>
      <c r="I55" s="41">
        <f t="shared" si="5"/>
        <v>4922927.5199999996</v>
      </c>
      <c r="J55" s="56">
        <f t="shared" si="0"/>
        <v>100</v>
      </c>
      <c r="K55" s="77">
        <f>IF(C55=0,"",100*D55/C55)</f>
        <v>75.0291229494768</v>
      </c>
      <c r="L55" s="79"/>
    </row>
    <row r="56" spans="1:26" s="5" customFormat="1" ht="13.5" customHeight="1" x14ac:dyDescent="0.2">
      <c r="A56" s="2"/>
      <c r="B56" s="85" t="s">
        <v>57</v>
      </c>
      <c r="C56" s="24">
        <f>43256917708.43</f>
        <v>43256917708.43</v>
      </c>
      <c r="D56" s="24">
        <f>19484870874.77</f>
        <v>19484870874.77</v>
      </c>
      <c r="E56" s="24">
        <f>0</f>
        <v>0</v>
      </c>
      <c r="F56" s="24">
        <f>0</f>
        <v>0</v>
      </c>
      <c r="G56" s="24">
        <f>0</f>
        <v>0</v>
      </c>
      <c r="H56" s="24">
        <f>0</f>
        <v>0</v>
      </c>
      <c r="I56" s="24">
        <f>0</f>
        <v>0</v>
      </c>
      <c r="J56" s="38">
        <f t="shared" si="0"/>
        <v>11.467586129734823</v>
      </c>
      <c r="K56" s="78">
        <f>IF(C56=0,"",100*D56/C56)</f>
        <v>45.044519829420828</v>
      </c>
      <c r="L56" s="79"/>
    </row>
    <row r="57" spans="1:26" s="5" customFormat="1" ht="13.5" customHeight="1" x14ac:dyDescent="0.2">
      <c r="A57" s="2"/>
      <c r="B57" s="85" t="s">
        <v>58</v>
      </c>
      <c r="C57" s="24">
        <f>C55-C56</f>
        <v>183205245576.32001</v>
      </c>
      <c r="D57" s="24">
        <f t="shared" ref="D57:I57" si="6">D55-D56</f>
        <v>150427704050.19</v>
      </c>
      <c r="E57" s="24">
        <f t="shared" si="6"/>
        <v>4079184585.48</v>
      </c>
      <c r="F57" s="24">
        <f t="shared" si="6"/>
        <v>554376994.96000004</v>
      </c>
      <c r="G57" s="24">
        <f t="shared" si="6"/>
        <v>60165510.5</v>
      </c>
      <c r="H57" s="24">
        <f t="shared" si="6"/>
        <v>113626401.16</v>
      </c>
      <c r="I57" s="24">
        <f t="shared" si="6"/>
        <v>4922927.5199999996</v>
      </c>
      <c r="J57" s="38">
        <f t="shared" si="0"/>
        <v>88.532413870265188</v>
      </c>
      <c r="K57" s="78">
        <f>IF(C57=0,"",100*D57/C57)</f>
        <v>82.108841139881292</v>
      </c>
      <c r="L57" s="79"/>
    </row>
    <row r="58" spans="1:26" s="5" customFormat="1" ht="13.5" customHeight="1" x14ac:dyDescent="0.2">
      <c r="A58" s="2"/>
      <c r="B58" s="104" t="s">
        <v>91</v>
      </c>
      <c r="C58" s="104"/>
      <c r="D58" s="104"/>
      <c r="E58" s="104"/>
      <c r="F58" s="75"/>
      <c r="G58" s="75"/>
      <c r="H58" s="75"/>
      <c r="I58" s="75"/>
      <c r="J58" s="9"/>
      <c r="K58" s="9"/>
      <c r="L58" s="9"/>
    </row>
    <row r="59" spans="1:26" ht="15" x14ac:dyDescent="0.2">
      <c r="B59" s="90" t="str">
        <f>CONCATENATE("Informacja z wykonania budżetów gmin za ",$D$131," ",$C$132," rok     ",$C$134,"")</f>
        <v xml:space="preserve">Informacja z wykonania budżetów gmin za III Kwartały 2025 rok     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</row>
    <row r="60" spans="1:26" s="5" customFormat="1" ht="7.5" customHeight="1" x14ac:dyDescent="0.2">
      <c r="B60" s="6"/>
      <c r="C60" s="7"/>
      <c r="D60" s="8"/>
      <c r="E60" s="8"/>
      <c r="F60" s="4"/>
      <c r="G60" s="4"/>
      <c r="H60" s="4"/>
      <c r="I60" s="4"/>
      <c r="J60" s="4"/>
      <c r="K60" s="9"/>
      <c r="L60" s="9"/>
      <c r="M60" s="3"/>
    </row>
    <row r="61" spans="1:26" ht="29.25" customHeight="1" x14ac:dyDescent="0.2">
      <c r="B61" s="131" t="s">
        <v>0</v>
      </c>
      <c r="C61" s="115" t="s">
        <v>41</v>
      </c>
      <c r="D61" s="115" t="s">
        <v>43</v>
      </c>
      <c r="E61" s="115" t="s">
        <v>42</v>
      </c>
      <c r="F61" s="115" t="s">
        <v>12</v>
      </c>
      <c r="G61" s="115"/>
      <c r="H61" s="115"/>
      <c r="I61" s="134" t="s">
        <v>67</v>
      </c>
      <c r="J61" s="115" t="s">
        <v>2</v>
      </c>
      <c r="K61" s="112" t="s">
        <v>18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">
      <c r="B62" s="131"/>
      <c r="C62" s="115"/>
      <c r="D62" s="115"/>
      <c r="E62" s="116"/>
      <c r="F62" s="117" t="s">
        <v>44</v>
      </c>
      <c r="G62" s="118" t="s">
        <v>27</v>
      </c>
      <c r="H62" s="116"/>
      <c r="I62" s="135"/>
      <c r="J62" s="115"/>
      <c r="K62" s="112"/>
      <c r="L62" s="11"/>
      <c r="M62" s="12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.75" customHeight="1" x14ac:dyDescent="0.2">
      <c r="B63" s="131"/>
      <c r="C63" s="115"/>
      <c r="D63" s="115"/>
      <c r="E63" s="116"/>
      <c r="F63" s="116"/>
      <c r="G63" s="18" t="s">
        <v>39</v>
      </c>
      <c r="H63" s="18" t="s">
        <v>40</v>
      </c>
      <c r="I63" s="136"/>
      <c r="J63" s="115"/>
      <c r="K63" s="112"/>
      <c r="L63" s="11"/>
      <c r="M63" s="10"/>
      <c r="N63" s="21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5" customHeight="1" x14ac:dyDescent="0.2">
      <c r="B64" s="131"/>
      <c r="C64" s="128" t="s">
        <v>61</v>
      </c>
      <c r="D64" s="129"/>
      <c r="E64" s="129"/>
      <c r="F64" s="129"/>
      <c r="G64" s="129"/>
      <c r="H64" s="129"/>
      <c r="I64" s="130"/>
      <c r="J64" s="133" t="s">
        <v>4</v>
      </c>
      <c r="K64" s="133"/>
      <c r="N64" s="21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0"/>
      <c r="N65" s="21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2:26" ht="25.5" customHeight="1" x14ac:dyDescent="0.2">
      <c r="B66" s="83" t="s">
        <v>48</v>
      </c>
      <c r="C66" s="57">
        <f>243705495978.02</f>
        <v>243705495978.01999</v>
      </c>
      <c r="D66" s="67">
        <f>150258341234.98</f>
        <v>150258341234.98001</v>
      </c>
      <c r="E66" s="67">
        <f>194593619110.86</f>
        <v>194593619110.85999</v>
      </c>
      <c r="F66" s="57">
        <f>4725329966.28</f>
        <v>4725329966.2799997</v>
      </c>
      <c r="G66" s="57">
        <f>5651345.05</f>
        <v>5651345.0499999998</v>
      </c>
      <c r="H66" s="57">
        <f>15003409.59</f>
        <v>15003409.59</v>
      </c>
      <c r="I66" s="68">
        <f>0</f>
        <v>0</v>
      </c>
      <c r="J66" s="52">
        <f>IF($D$66=0,"",100*$D66/$D$66)</f>
        <v>100</v>
      </c>
      <c r="K66" s="52">
        <f>IF(C66=0,"",100*D66/C66)</f>
        <v>61.655704821910113</v>
      </c>
      <c r="N66" s="76"/>
    </row>
    <row r="67" spans="2:26" ht="13.5" customHeight="1" x14ac:dyDescent="0.2">
      <c r="B67" s="84" t="s">
        <v>14</v>
      </c>
      <c r="C67" s="26">
        <f>67748483629.2999</f>
        <v>67748483629.299896</v>
      </c>
      <c r="D67" s="26">
        <f>28039451294.79</f>
        <v>28039451294.790001</v>
      </c>
      <c r="E67" s="26">
        <f>45386915479.48</f>
        <v>45386915479.480003</v>
      </c>
      <c r="F67" s="26">
        <f>1787625937.37</f>
        <v>1787625937.3699999</v>
      </c>
      <c r="G67" s="26">
        <f>487651.73</f>
        <v>487651.73</v>
      </c>
      <c r="H67" s="26">
        <f>1443797.22</f>
        <v>1443797.22</v>
      </c>
      <c r="I67" s="69">
        <f>0</f>
        <v>0</v>
      </c>
      <c r="J67" s="52">
        <f t="shared" ref="J67:J75" si="7">IF($D$66=0,"",100*$D67/$D$66)</f>
        <v>18.660828453403983</v>
      </c>
      <c r="K67" s="52">
        <f t="shared" ref="K67:K75" si="8">IF(C67=0,"",100*D67/C67)</f>
        <v>41.387570308161827</v>
      </c>
      <c r="N67" s="60"/>
    </row>
    <row r="68" spans="2:26" ht="13.5" customHeight="1" outlineLevel="1" x14ac:dyDescent="0.2">
      <c r="B68" s="32" t="s">
        <v>13</v>
      </c>
      <c r="C68" s="22">
        <f>65833917094.5499</f>
        <v>65833917094.549896</v>
      </c>
      <c r="D68" s="22">
        <f>26717113956.69</f>
        <v>26717113956.689999</v>
      </c>
      <c r="E68" s="22">
        <f>43988711911.41</f>
        <v>43988711911.410004</v>
      </c>
      <c r="F68" s="22">
        <f>1776860737.37</f>
        <v>1776860737.3699999</v>
      </c>
      <c r="G68" s="22">
        <f>487651.73</f>
        <v>487651.73</v>
      </c>
      <c r="H68" s="22">
        <f>1443797.22</f>
        <v>1443797.22</v>
      </c>
      <c r="I68" s="65">
        <f>0</f>
        <v>0</v>
      </c>
      <c r="J68" s="52">
        <f t="shared" si="7"/>
        <v>17.780785903199018</v>
      </c>
      <c r="K68" s="52">
        <f t="shared" si="8"/>
        <v>40.582598052488954</v>
      </c>
      <c r="N68" s="75"/>
    </row>
    <row r="69" spans="2:26" ht="27" customHeight="1" x14ac:dyDescent="0.2">
      <c r="B69" s="84" t="s">
        <v>49</v>
      </c>
      <c r="C69" s="26">
        <f t="shared" ref="C69:I69" si="9">C66-C67</f>
        <v>175957012348.72009</v>
      </c>
      <c r="D69" s="26">
        <f>D66-D67</f>
        <v>122218889940.19</v>
      </c>
      <c r="E69" s="26">
        <f>E66-E67</f>
        <v>149206703631.37997</v>
      </c>
      <c r="F69" s="26">
        <f t="shared" si="9"/>
        <v>2937704028.9099998</v>
      </c>
      <c r="G69" s="26">
        <f t="shared" si="9"/>
        <v>5163693.32</v>
      </c>
      <c r="H69" s="26">
        <f t="shared" si="9"/>
        <v>13559612.369999999</v>
      </c>
      <c r="I69" s="69">
        <f t="shared" si="9"/>
        <v>0</v>
      </c>
      <c r="J69" s="52">
        <f t="shared" si="7"/>
        <v>81.339171546596006</v>
      </c>
      <c r="K69" s="52">
        <f t="shared" si="8"/>
        <v>69.459516451649407</v>
      </c>
      <c r="N69" s="60"/>
    </row>
    <row r="70" spans="2:26" ht="22.5" outlineLevel="1" x14ac:dyDescent="0.2">
      <c r="B70" s="32" t="s">
        <v>83</v>
      </c>
      <c r="C70" s="22">
        <f>83381893930.3</f>
        <v>83381893930.300003</v>
      </c>
      <c r="D70" s="22">
        <f>59992031223.7198</f>
        <v>59992031223.719803</v>
      </c>
      <c r="E70" s="22">
        <f>76763838116.5899</f>
        <v>76763838116.589905</v>
      </c>
      <c r="F70" s="22">
        <f>1450740781.1</f>
        <v>1450740781.0999999</v>
      </c>
      <c r="G70" s="22">
        <f>606673.97</f>
        <v>606673.97</v>
      </c>
      <c r="H70" s="22">
        <f>629615.14</f>
        <v>629615.14</v>
      </c>
      <c r="I70" s="65">
        <f>0</f>
        <v>0</v>
      </c>
      <c r="J70" s="52">
        <f t="shared" si="7"/>
        <v>39.925924065607688</v>
      </c>
      <c r="K70" s="52">
        <f t="shared" si="8"/>
        <v>71.94851111665551</v>
      </c>
      <c r="N70" s="75"/>
    </row>
    <row r="71" spans="2:26" ht="13.5" customHeight="1" outlineLevel="1" x14ac:dyDescent="0.2">
      <c r="B71" s="54" t="s">
        <v>38</v>
      </c>
      <c r="C71" s="59">
        <f>17405564906.12</f>
        <v>17405564906.119999</v>
      </c>
      <c r="D71" s="59">
        <f>12984248961.98</f>
        <v>12984248961.98</v>
      </c>
      <c r="E71" s="59">
        <f>14596806650.12</f>
        <v>14596806650.120001</v>
      </c>
      <c r="F71" s="59">
        <f>43281579.03</f>
        <v>43281579.030000001</v>
      </c>
      <c r="G71" s="59">
        <f>0</f>
        <v>0</v>
      </c>
      <c r="H71" s="59">
        <f>8503.26</f>
        <v>8503.26</v>
      </c>
      <c r="I71" s="70">
        <f>0</f>
        <v>0</v>
      </c>
      <c r="J71" s="52">
        <f t="shared" si="7"/>
        <v>8.6412833093070756</v>
      </c>
      <c r="K71" s="52">
        <f t="shared" si="8"/>
        <v>74.598262291473148</v>
      </c>
      <c r="N71" s="74"/>
    </row>
    <row r="72" spans="2:26" ht="13.5" customHeight="1" outlineLevel="1" x14ac:dyDescent="0.2">
      <c r="B72" s="54" t="s">
        <v>37</v>
      </c>
      <c r="C72" s="24">
        <f>2852748981.91</f>
        <v>2852748981.9099998</v>
      </c>
      <c r="D72" s="24">
        <f>1718349002.9</f>
        <v>1718349002.9000001</v>
      </c>
      <c r="E72" s="24">
        <f>1993524737.1</f>
        <v>1993524737.0999999</v>
      </c>
      <c r="F72" s="24">
        <f>82550290.6</f>
        <v>82550290.599999994</v>
      </c>
      <c r="G72" s="24">
        <f>0</f>
        <v>0</v>
      </c>
      <c r="H72" s="24">
        <f>0</f>
        <v>0</v>
      </c>
      <c r="I72" s="71">
        <f>0</f>
        <v>0</v>
      </c>
      <c r="J72" s="52">
        <f t="shared" si="7"/>
        <v>1.1435964145330055</v>
      </c>
      <c r="K72" s="52">
        <f t="shared" si="8"/>
        <v>60.234847643325232</v>
      </c>
      <c r="N72" s="75"/>
    </row>
    <row r="73" spans="2:26" ht="24" customHeight="1" outlineLevel="1" x14ac:dyDescent="0.2">
      <c r="B73" s="54" t="s">
        <v>55</v>
      </c>
      <c r="C73" s="59">
        <f>109198462.95</f>
        <v>109198462.95</v>
      </c>
      <c r="D73" s="59">
        <f>1275242.25</f>
        <v>1275242.25</v>
      </c>
      <c r="E73" s="59">
        <f>3978046.06</f>
        <v>3978046.06</v>
      </c>
      <c r="F73" s="59">
        <f>0</f>
        <v>0</v>
      </c>
      <c r="G73" s="59">
        <f>0</f>
        <v>0</v>
      </c>
      <c r="H73" s="59">
        <f>0</f>
        <v>0</v>
      </c>
      <c r="I73" s="70">
        <f>0</f>
        <v>0</v>
      </c>
      <c r="J73" s="52">
        <f t="shared" si="7"/>
        <v>8.4869980562724641E-4</v>
      </c>
      <c r="K73" s="52">
        <f t="shared" si="8"/>
        <v>1.1678206959597135</v>
      </c>
      <c r="N73" s="74"/>
    </row>
    <row r="74" spans="2:26" ht="22.5" outlineLevel="1" x14ac:dyDescent="0.2">
      <c r="B74" s="54" t="s">
        <v>56</v>
      </c>
      <c r="C74" s="59">
        <f>17627485066.43</f>
        <v>17627485066.43</v>
      </c>
      <c r="D74" s="59">
        <f>13818810403.81</f>
        <v>13818810403.809999</v>
      </c>
      <c r="E74" s="59">
        <f>15655164659.38</f>
        <v>15655164659.379999</v>
      </c>
      <c r="F74" s="59">
        <f>134896284.86</f>
        <v>134896284.86000001</v>
      </c>
      <c r="G74" s="59">
        <f>185612.13</f>
        <v>185612.13</v>
      </c>
      <c r="H74" s="59">
        <f>260486.32</f>
        <v>260486.32</v>
      </c>
      <c r="I74" s="72">
        <f>0</f>
        <v>0</v>
      </c>
      <c r="J74" s="52">
        <f t="shared" si="7"/>
        <v>9.1967010218751124</v>
      </c>
      <c r="K74" s="52">
        <f t="shared" si="8"/>
        <v>78.393544806494901</v>
      </c>
      <c r="N74" s="74"/>
    </row>
    <row r="75" spans="2:26" ht="13.5" customHeight="1" outlineLevel="1" x14ac:dyDescent="0.2">
      <c r="B75" s="54" t="s">
        <v>36</v>
      </c>
      <c r="C75" s="24">
        <f t="shared" ref="C75:I75" si="10">C69-C70-C71-C72-C73-C74</f>
        <v>54580121001.010094</v>
      </c>
      <c r="D75" s="24">
        <f>D69-D70-D71-D72-D73-D74</f>
        <v>33704175105.530205</v>
      </c>
      <c r="E75" s="24">
        <f>E69-E70-E71-E72-E73-E74</f>
        <v>40193391422.130074</v>
      </c>
      <c r="F75" s="24">
        <f t="shared" si="10"/>
        <v>1226235093.3200002</v>
      </c>
      <c r="G75" s="24">
        <f t="shared" si="10"/>
        <v>4371407.2200000007</v>
      </c>
      <c r="H75" s="24">
        <f t="shared" si="10"/>
        <v>12661007.649999999</v>
      </c>
      <c r="I75" s="70">
        <f t="shared" si="10"/>
        <v>0</v>
      </c>
      <c r="J75" s="52">
        <f t="shared" si="7"/>
        <v>22.430818035467507</v>
      </c>
      <c r="K75" s="52">
        <f t="shared" si="8"/>
        <v>61.751741270244629</v>
      </c>
      <c r="N75" s="75"/>
    </row>
    <row r="76" spans="2:26" ht="18" customHeight="1" x14ac:dyDescent="0.2">
      <c r="B76" s="83" t="s">
        <v>15</v>
      </c>
      <c r="C76" s="26">
        <f>C6-C66</f>
        <v>-17243332693.269989</v>
      </c>
      <c r="D76" s="26">
        <f>D6-D66</f>
        <v>19654233689.97998</v>
      </c>
      <c r="E76" s="80"/>
      <c r="F76" s="60"/>
      <c r="G76" s="60"/>
      <c r="H76" s="60"/>
      <c r="I76" s="81"/>
      <c r="J76" s="28"/>
      <c r="K76" s="28"/>
      <c r="L76" s="13"/>
      <c r="N76" s="60"/>
    </row>
    <row r="77" spans="2:26" ht="25.5" x14ac:dyDescent="0.2">
      <c r="B77" s="86" t="s">
        <v>123</v>
      </c>
      <c r="C77" s="26">
        <f>+C57-C69</f>
        <v>7248233227.5999146</v>
      </c>
      <c r="D77" s="26">
        <f>+D57-D69</f>
        <v>28208814110</v>
      </c>
      <c r="E77" s="80"/>
      <c r="F77" s="60"/>
      <c r="G77" s="60"/>
      <c r="H77" s="60"/>
      <c r="I77" s="60"/>
      <c r="J77" s="28"/>
      <c r="K77" s="28"/>
      <c r="L77" s="13"/>
      <c r="N77" s="60"/>
    </row>
    <row r="78" spans="2:26" outlineLevel="1" x14ac:dyDescent="0.2">
      <c r="B78" s="105"/>
      <c r="C78" s="60"/>
      <c r="D78" s="60"/>
      <c r="E78" s="60"/>
      <c r="F78" s="60"/>
      <c r="G78" s="60"/>
      <c r="H78" s="60"/>
      <c r="I78" s="60"/>
      <c r="J78" s="28"/>
      <c r="K78" s="28"/>
      <c r="L78" s="13"/>
      <c r="N78" s="60"/>
    </row>
    <row r="79" spans="2:26" outlineLevel="1" x14ac:dyDescent="0.2">
      <c r="B79" s="105"/>
      <c r="C79" s="60"/>
      <c r="D79" s="60"/>
      <c r="E79" s="60"/>
      <c r="F79" s="60"/>
      <c r="G79" s="60"/>
      <c r="H79" s="60"/>
      <c r="I79" s="60"/>
      <c r="J79" s="28"/>
      <c r="K79" s="28"/>
      <c r="L79" s="13"/>
      <c r="N79" s="60"/>
    </row>
    <row r="80" spans="2:26" ht="12.75" customHeight="1" outlineLevel="1" x14ac:dyDescent="0.2">
      <c r="B80" s="138" t="s">
        <v>120</v>
      </c>
      <c r="C80" s="139" t="s">
        <v>105</v>
      </c>
      <c r="D80" s="139"/>
      <c r="E80" s="139" t="s">
        <v>106</v>
      </c>
      <c r="F80" s="139"/>
      <c r="G80" s="106" t="s">
        <v>124</v>
      </c>
      <c r="H80" s="60"/>
      <c r="I80" s="28"/>
      <c r="J80" s="28"/>
      <c r="K80" s="13"/>
      <c r="M80" s="60"/>
    </row>
    <row r="81" spans="1:14" outlineLevel="1" x14ac:dyDescent="0.2">
      <c r="B81" s="138"/>
      <c r="C81" s="107" t="s">
        <v>107</v>
      </c>
      <c r="D81" s="107" t="s">
        <v>108</v>
      </c>
      <c r="E81" s="107" t="s">
        <v>107</v>
      </c>
      <c r="F81" s="107" t="s">
        <v>108</v>
      </c>
      <c r="G81" s="107" t="s">
        <v>107</v>
      </c>
      <c r="H81" s="60"/>
      <c r="I81" s="28"/>
      <c r="J81" s="28"/>
      <c r="K81" s="13"/>
      <c r="M81" s="60"/>
    </row>
    <row r="82" spans="1:14" outlineLevel="1" x14ac:dyDescent="0.2">
      <c r="B82" s="110" t="s">
        <v>119</v>
      </c>
      <c r="C82" s="108">
        <f>152</f>
        <v>152</v>
      </c>
      <c r="D82" s="111">
        <f>289583188.51</f>
        <v>289583188.50999999</v>
      </c>
      <c r="E82" s="108">
        <f>2256</f>
        <v>2256</v>
      </c>
      <c r="F82" s="111">
        <f>+-17532915881.78</f>
        <v>-17532915881.779999</v>
      </c>
      <c r="G82" s="108">
        <f>5</f>
        <v>5</v>
      </c>
      <c r="H82" s="60"/>
      <c r="I82" s="28"/>
      <c r="J82" s="28"/>
      <c r="K82" s="13"/>
      <c r="M82" s="60"/>
    </row>
    <row r="83" spans="1:14" outlineLevel="1" x14ac:dyDescent="0.2">
      <c r="B83" s="110" t="s">
        <v>121</v>
      </c>
      <c r="C83" s="108">
        <f>2225</f>
        <v>2225</v>
      </c>
      <c r="D83" s="111">
        <f>20321676979.97</f>
        <v>20321676979.970001</v>
      </c>
      <c r="E83" s="108">
        <f>188</f>
        <v>188</v>
      </c>
      <c r="F83" s="111">
        <f>+-667443289.99</f>
        <v>-667443289.99000001</v>
      </c>
      <c r="G83" s="108">
        <f>0</f>
        <v>0</v>
      </c>
      <c r="H83" s="60"/>
      <c r="I83" s="28"/>
      <c r="J83" s="28"/>
      <c r="K83" s="13"/>
      <c r="M83" s="60"/>
    </row>
    <row r="84" spans="1:14" outlineLevel="1" x14ac:dyDescent="0.2">
      <c r="A84" s="33"/>
      <c r="B84" s="109"/>
      <c r="C84" s="109"/>
      <c r="D84" s="109"/>
      <c r="E84" s="109"/>
      <c r="F84" s="109"/>
      <c r="G84" s="109"/>
      <c r="H84" s="60"/>
      <c r="I84" s="28"/>
      <c r="J84" s="28"/>
      <c r="K84" s="13"/>
      <c r="M84" s="60"/>
    </row>
    <row r="85" spans="1:14" ht="12.75" customHeight="1" outlineLevel="1" x14ac:dyDescent="0.2">
      <c r="A85" s="33"/>
      <c r="B85" s="138" t="s">
        <v>122</v>
      </c>
      <c r="C85" s="139" t="s">
        <v>105</v>
      </c>
      <c r="D85" s="139"/>
      <c r="E85" s="139" t="s">
        <v>106</v>
      </c>
      <c r="F85" s="139"/>
      <c r="G85" s="106" t="s">
        <v>124</v>
      </c>
      <c r="H85" s="60"/>
      <c r="I85" s="28"/>
      <c r="J85" s="28"/>
      <c r="K85" s="13"/>
      <c r="M85" s="60"/>
    </row>
    <row r="86" spans="1:14" outlineLevel="1" x14ac:dyDescent="0.2">
      <c r="A86" s="33"/>
      <c r="B86" s="138"/>
      <c r="C86" s="107" t="s">
        <v>107</v>
      </c>
      <c r="D86" s="107" t="s">
        <v>108</v>
      </c>
      <c r="E86" s="107" t="s">
        <v>107</v>
      </c>
      <c r="F86" s="107" t="s">
        <v>108</v>
      </c>
      <c r="G86" s="107" t="s">
        <v>107</v>
      </c>
      <c r="H86" s="60"/>
      <c r="I86" s="28"/>
      <c r="J86" s="28"/>
      <c r="K86" s="13"/>
      <c r="M86" s="60"/>
    </row>
    <row r="87" spans="1:14" outlineLevel="1" x14ac:dyDescent="0.2">
      <c r="A87" s="33"/>
      <c r="B87" s="110" t="s">
        <v>119</v>
      </c>
      <c r="C87" s="108">
        <f>2002</f>
        <v>2002</v>
      </c>
      <c r="D87" s="111">
        <f>8056402936.56</f>
        <v>8056402936.5600004</v>
      </c>
      <c r="E87" s="108">
        <f>408</f>
        <v>408</v>
      </c>
      <c r="F87" s="111">
        <f>+-808169708.96</f>
        <v>-808169708.96000004</v>
      </c>
      <c r="G87" s="108">
        <f>3</f>
        <v>3</v>
      </c>
      <c r="H87" s="60"/>
      <c r="I87" s="28"/>
      <c r="J87" s="28"/>
      <c r="K87" s="13"/>
      <c r="M87" s="60"/>
    </row>
    <row r="88" spans="1:14" outlineLevel="1" x14ac:dyDescent="0.2">
      <c r="A88" s="33"/>
      <c r="B88" s="110" t="s">
        <v>121</v>
      </c>
      <c r="C88" s="108">
        <f>2409</f>
        <v>2409</v>
      </c>
      <c r="D88" s="111">
        <f>28212495257.6401</f>
        <v>28212495257.640099</v>
      </c>
      <c r="E88" s="108">
        <f>4</f>
        <v>4</v>
      </c>
      <c r="F88" s="111">
        <f>+-3681147.64</f>
        <v>-3681147.64</v>
      </c>
      <c r="G88" s="108">
        <f>0</f>
        <v>0</v>
      </c>
      <c r="H88" s="60"/>
      <c r="I88" s="28"/>
      <c r="J88" s="28"/>
      <c r="K88" s="13"/>
      <c r="M88" s="60"/>
    </row>
    <row r="89" spans="1:14" outlineLevel="1" x14ac:dyDescent="0.2">
      <c r="B89" s="105"/>
      <c r="C89" s="60"/>
      <c r="D89" s="60"/>
      <c r="E89" s="60"/>
      <c r="F89" s="60"/>
      <c r="G89" s="60"/>
      <c r="H89" s="60"/>
      <c r="I89" s="60"/>
      <c r="J89" s="28"/>
      <c r="K89" s="28"/>
      <c r="L89" s="13"/>
      <c r="N89" s="60"/>
    </row>
    <row r="90" spans="1:14" x14ac:dyDescent="0.2">
      <c r="B90" s="105"/>
      <c r="C90" s="60"/>
      <c r="D90" s="60"/>
      <c r="E90" s="60"/>
      <c r="F90" s="60"/>
      <c r="G90" s="60"/>
      <c r="H90" s="60"/>
      <c r="I90" s="60"/>
      <c r="J90" s="28"/>
      <c r="K90" s="28"/>
      <c r="L90" s="13"/>
      <c r="N90" s="60"/>
    </row>
    <row r="91" spans="1:14" ht="14.25" customHeight="1" x14ac:dyDescent="0.2">
      <c r="B91" s="102" t="s">
        <v>92</v>
      </c>
      <c r="C91" s="103"/>
      <c r="D91" s="103"/>
      <c r="E91" s="103"/>
      <c r="F91" s="103"/>
      <c r="G91" s="60"/>
      <c r="H91" s="60"/>
      <c r="I91" s="60"/>
      <c r="J91" s="60"/>
      <c r="K91" s="28"/>
      <c r="L91" s="28"/>
      <c r="M91" s="13"/>
    </row>
    <row r="92" spans="1:14" ht="27" customHeight="1" x14ac:dyDescent="0.2">
      <c r="B92" s="83" t="s">
        <v>88</v>
      </c>
      <c r="C92" s="41">
        <f>14973634803.98</f>
        <v>14973634803.98</v>
      </c>
      <c r="D92" s="41">
        <f>5228336554.11999</f>
        <v>5228336554.1199903</v>
      </c>
      <c r="E92" s="41">
        <f>8309730861.11003</f>
        <v>8309730861.1100302</v>
      </c>
      <c r="F92" s="41">
        <f>299550174.71</f>
        <v>299550174.70999998</v>
      </c>
      <c r="G92" s="41">
        <f>205442.95</f>
        <v>205442.95</v>
      </c>
      <c r="H92" s="41">
        <f>536922.53</f>
        <v>536922.53</v>
      </c>
      <c r="I92" s="41">
        <f>0</f>
        <v>0</v>
      </c>
      <c r="J92" s="61">
        <f>IF($D$92=0,"",100*$D92/$D$92)</f>
        <v>100</v>
      </c>
      <c r="K92" s="61">
        <f>IF(C92=0,"",100*D92/C92)</f>
        <v>34.916949842601312</v>
      </c>
      <c r="L92" s="13"/>
    </row>
    <row r="93" spans="1:14" ht="15" customHeight="1" x14ac:dyDescent="0.2">
      <c r="B93" s="87" t="s">
        <v>59</v>
      </c>
      <c r="C93" s="22">
        <f>12568978101.3</f>
        <v>12568978101.299999</v>
      </c>
      <c r="D93" s="22">
        <f>4302452061.71</f>
        <v>4302452061.71</v>
      </c>
      <c r="E93" s="22">
        <f>7052725637.09001</f>
        <v>7052725637.0900097</v>
      </c>
      <c r="F93" s="22">
        <f>277684893.08</f>
        <v>277684893.07999998</v>
      </c>
      <c r="G93" s="22">
        <f>205442.95</f>
        <v>205442.95</v>
      </c>
      <c r="H93" s="22">
        <f>530059.03</f>
        <v>530059.03</v>
      </c>
      <c r="I93" s="22">
        <f>0</f>
        <v>0</v>
      </c>
      <c r="J93" s="61">
        <f>IF($D$92=0,"",100*$D93/$D$92)</f>
        <v>82.29103113722887</v>
      </c>
      <c r="K93" s="61">
        <f>IF(C93=0,"",100*D93/C93)</f>
        <v>34.230722872092528</v>
      </c>
      <c r="L93" s="13"/>
    </row>
    <row r="94" spans="1:14" ht="14.25" customHeight="1" x14ac:dyDescent="0.2">
      <c r="B94" s="88" t="s">
        <v>60</v>
      </c>
      <c r="C94" s="22">
        <f>+C92-C93</f>
        <v>2404656702.6800003</v>
      </c>
      <c r="D94" s="22">
        <f t="shared" ref="D94:I94" si="11">+D92-D93</f>
        <v>925884492.40999031</v>
      </c>
      <c r="E94" s="22">
        <f t="shared" si="11"/>
        <v>1257005224.0200205</v>
      </c>
      <c r="F94" s="22">
        <f t="shared" si="11"/>
        <v>21865281.629999995</v>
      </c>
      <c r="G94" s="22">
        <f t="shared" si="11"/>
        <v>0</v>
      </c>
      <c r="H94" s="22">
        <f t="shared" si="11"/>
        <v>6863.5</v>
      </c>
      <c r="I94" s="22">
        <f t="shared" si="11"/>
        <v>0</v>
      </c>
      <c r="J94" s="61">
        <f>IF($D$92=0,"",100*$D94/$D$92)</f>
        <v>17.708968862771133</v>
      </c>
      <c r="K94" s="61">
        <f>IF(C94=0,"",100*D94/C94)</f>
        <v>38.503811848821826</v>
      </c>
      <c r="L94" s="10"/>
    </row>
    <row r="95" spans="1:14" ht="15" x14ac:dyDescent="0.2">
      <c r="B95" s="90" t="str">
        <f>CONCATENATE("Informacja z wykonania budżetów gmin za ",$D$131," ",$C$132," rok     ",$C$134,"")</f>
        <v xml:space="preserve">Informacja z wykonania budżetów gmin za III Kwartały 2025 rok     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</row>
    <row r="97" spans="2:13" ht="18" customHeight="1" x14ac:dyDescent="0.2">
      <c r="B97" s="40" t="s">
        <v>16</v>
      </c>
      <c r="C97" s="66" t="s">
        <v>17</v>
      </c>
      <c r="D97" s="66" t="s">
        <v>1</v>
      </c>
      <c r="E97" s="119" t="s">
        <v>45</v>
      </c>
      <c r="F97" s="120"/>
      <c r="G97" s="120"/>
      <c r="H97" s="120"/>
      <c r="I97" s="121"/>
      <c r="J97" s="19" t="s">
        <v>22</v>
      </c>
      <c r="K97" s="19" t="s">
        <v>23</v>
      </c>
    </row>
    <row r="98" spans="2:13" ht="13.5" customHeight="1" x14ac:dyDescent="0.2">
      <c r="B98" s="40"/>
      <c r="C98" s="117" t="s">
        <v>61</v>
      </c>
      <c r="D98" s="132"/>
      <c r="E98" s="122"/>
      <c r="F98" s="123"/>
      <c r="G98" s="123"/>
      <c r="H98" s="123"/>
      <c r="I98" s="124"/>
      <c r="J98" s="117" t="s">
        <v>4</v>
      </c>
      <c r="K98" s="137"/>
      <c r="M98" s="14"/>
    </row>
    <row r="99" spans="2:13" ht="11.25" customHeight="1" x14ac:dyDescent="0.2">
      <c r="B99" s="39">
        <v>1</v>
      </c>
      <c r="C99" s="42">
        <v>2</v>
      </c>
      <c r="D99" s="42">
        <v>3</v>
      </c>
      <c r="E99" s="125"/>
      <c r="F99" s="126"/>
      <c r="G99" s="126"/>
      <c r="H99" s="126"/>
      <c r="I99" s="127"/>
      <c r="J99" s="31">
        <v>4</v>
      </c>
      <c r="K99" s="31">
        <v>5</v>
      </c>
      <c r="M99" s="10"/>
    </row>
    <row r="100" spans="2:13" ht="27" customHeight="1" x14ac:dyDescent="0.2">
      <c r="B100" s="89" t="s">
        <v>50</v>
      </c>
      <c r="C100" s="43">
        <f>23823529184.84</f>
        <v>23823529184.84</v>
      </c>
      <c r="D100" s="43">
        <f>22133686759.92</f>
        <v>22133686759.919998</v>
      </c>
      <c r="E100" s="43" t="s">
        <v>45</v>
      </c>
      <c r="F100" s="43" t="s">
        <v>45</v>
      </c>
      <c r="G100" s="43" t="s">
        <v>45</v>
      </c>
      <c r="H100" s="43" t="s">
        <v>45</v>
      </c>
      <c r="I100" s="43" t="s">
        <v>45</v>
      </c>
      <c r="J100" s="37">
        <f t="shared" ref="J100:J110" si="12">IF($D$100=0,"",100*$D100/$D$100)</f>
        <v>100.00000000000001</v>
      </c>
      <c r="K100" s="36">
        <f t="shared" ref="K100:K115" si="13">IF(C100=0,"",100*D100/C100)</f>
        <v>92.906834198203839</v>
      </c>
    </row>
    <row r="101" spans="2:13" ht="36" customHeight="1" x14ac:dyDescent="0.2">
      <c r="B101" s="97" t="s">
        <v>89</v>
      </c>
      <c r="C101" s="44">
        <f>10957245303.81</f>
        <v>10957245303.809999</v>
      </c>
      <c r="D101" s="44">
        <f>1667412552.11</f>
        <v>1667412552.1099999</v>
      </c>
      <c r="E101" s="43" t="s">
        <v>45</v>
      </c>
      <c r="F101" s="43" t="s">
        <v>45</v>
      </c>
      <c r="G101" s="43" t="s">
        <v>45</v>
      </c>
      <c r="H101" s="43" t="s">
        <v>45</v>
      </c>
      <c r="I101" s="43" t="s">
        <v>45</v>
      </c>
      <c r="J101" s="50">
        <f t="shared" si="12"/>
        <v>7.5333701529081676</v>
      </c>
      <c r="K101" s="51">
        <f t="shared" si="13"/>
        <v>15.2174429418881</v>
      </c>
    </row>
    <row r="102" spans="2:13" ht="22.5" x14ac:dyDescent="0.2">
      <c r="B102" s="98" t="s">
        <v>68</v>
      </c>
      <c r="C102" s="62">
        <f>327561323.37</f>
        <v>327561323.37</v>
      </c>
      <c r="D102" s="62">
        <f>37500000</f>
        <v>37500000</v>
      </c>
      <c r="E102" s="43" t="s">
        <v>45</v>
      </c>
      <c r="F102" s="43" t="s">
        <v>45</v>
      </c>
      <c r="G102" s="43" t="s">
        <v>45</v>
      </c>
      <c r="H102" s="43" t="s">
        <v>45</v>
      </c>
      <c r="I102" s="43" t="s">
        <v>45</v>
      </c>
      <c r="J102" s="63">
        <f t="shared" si="12"/>
        <v>0.16942500545325123</v>
      </c>
      <c r="K102" s="58">
        <f t="shared" si="13"/>
        <v>11.448238031949064</v>
      </c>
    </row>
    <row r="103" spans="2:13" ht="13.5" customHeight="1" x14ac:dyDescent="0.2">
      <c r="B103" s="99" t="s">
        <v>69</v>
      </c>
      <c r="C103" s="62">
        <f>197776957.05</f>
        <v>197776957.05000001</v>
      </c>
      <c r="D103" s="62">
        <f>130612418.78</f>
        <v>130612418.78</v>
      </c>
      <c r="E103" s="43" t="s">
        <v>45</v>
      </c>
      <c r="F103" s="43" t="s">
        <v>45</v>
      </c>
      <c r="G103" s="43" t="s">
        <v>45</v>
      </c>
      <c r="H103" s="43" t="s">
        <v>45</v>
      </c>
      <c r="I103" s="43" t="s">
        <v>45</v>
      </c>
      <c r="J103" s="63">
        <f t="shared" si="12"/>
        <v>0.5901069270417022</v>
      </c>
      <c r="K103" s="58">
        <f t="shared" si="13"/>
        <v>66.040261073983388</v>
      </c>
    </row>
    <row r="104" spans="2:13" ht="50.1" customHeight="1" x14ac:dyDescent="0.2">
      <c r="B104" s="99" t="s">
        <v>84</v>
      </c>
      <c r="C104" s="62">
        <f>3092718879.2</f>
        <v>3092718879.1999998</v>
      </c>
      <c r="D104" s="62">
        <f>6569632480.78</f>
        <v>6569632480.7799997</v>
      </c>
      <c r="E104" s="43" t="s">
        <v>45</v>
      </c>
      <c r="F104" s="43" t="s">
        <v>45</v>
      </c>
      <c r="G104" s="43" t="s">
        <v>45</v>
      </c>
      <c r="H104" s="43" t="s">
        <v>45</v>
      </c>
      <c r="I104" s="43" t="s">
        <v>45</v>
      </c>
      <c r="J104" s="63">
        <f t="shared" si="12"/>
        <v>29.681600503520208</v>
      </c>
      <c r="K104" s="58">
        <f t="shared" si="13"/>
        <v>212.42255560192982</v>
      </c>
    </row>
    <row r="105" spans="2:13" ht="35.1" customHeight="1" x14ac:dyDescent="0.2">
      <c r="B105" s="99" t="s">
        <v>99</v>
      </c>
      <c r="C105" s="62">
        <f>2299768575.16</f>
        <v>2299768575.1599998</v>
      </c>
      <c r="D105" s="62">
        <f>2713911895.47</f>
        <v>2713911895.4699998</v>
      </c>
      <c r="E105" s="43" t="s">
        <v>45</v>
      </c>
      <c r="F105" s="43" t="s">
        <v>45</v>
      </c>
      <c r="G105" s="43" t="s">
        <v>45</v>
      </c>
      <c r="H105" s="43" t="s">
        <v>45</v>
      </c>
      <c r="I105" s="43" t="s">
        <v>45</v>
      </c>
      <c r="J105" s="63">
        <f t="shared" si="12"/>
        <v>12.261454338390614</v>
      </c>
      <c r="K105" s="58">
        <f t="shared" si="13"/>
        <v>118.00804327805841</v>
      </c>
    </row>
    <row r="106" spans="2:13" ht="13.5" customHeight="1" x14ac:dyDescent="0.2">
      <c r="B106" s="99" t="s">
        <v>70</v>
      </c>
      <c r="C106" s="62">
        <f>0</f>
        <v>0</v>
      </c>
      <c r="D106" s="62">
        <f>0</f>
        <v>0</v>
      </c>
      <c r="E106" s="43" t="s">
        <v>45</v>
      </c>
      <c r="F106" s="43" t="s">
        <v>45</v>
      </c>
      <c r="G106" s="43" t="s">
        <v>45</v>
      </c>
      <c r="H106" s="43" t="s">
        <v>45</v>
      </c>
      <c r="I106" s="43" t="s">
        <v>45</v>
      </c>
      <c r="J106" s="63">
        <f t="shared" si="12"/>
        <v>0</v>
      </c>
      <c r="K106" s="58" t="str">
        <f t="shared" si="13"/>
        <v/>
      </c>
    </row>
    <row r="107" spans="2:13" ht="35.1" customHeight="1" x14ac:dyDescent="0.2">
      <c r="B107" s="99" t="s">
        <v>78</v>
      </c>
      <c r="C107" s="62">
        <f>6742951497.39</f>
        <v>6742951497.3900003</v>
      </c>
      <c r="D107" s="62">
        <f>10237202709.7</f>
        <v>10237202709.700001</v>
      </c>
      <c r="E107" s="43" t="s">
        <v>45</v>
      </c>
      <c r="F107" s="43" t="s">
        <v>45</v>
      </c>
      <c r="G107" s="43" t="s">
        <v>45</v>
      </c>
      <c r="H107" s="43" t="s">
        <v>45</v>
      </c>
      <c r="I107" s="43" t="s">
        <v>45</v>
      </c>
      <c r="J107" s="63">
        <f t="shared" si="12"/>
        <v>46.251683331118954</v>
      </c>
      <c r="K107" s="58">
        <f t="shared" si="13"/>
        <v>151.8207970747309</v>
      </c>
    </row>
    <row r="108" spans="2:13" ht="56.25" x14ac:dyDescent="0.2">
      <c r="B108" s="99" t="s">
        <v>100</v>
      </c>
      <c r="C108" s="62">
        <f>0</f>
        <v>0</v>
      </c>
      <c r="D108" s="62">
        <f>303744231.27</f>
        <v>303744231.26999998</v>
      </c>
      <c r="E108" s="43" t="s">
        <v>45</v>
      </c>
      <c r="F108" s="43" t="s">
        <v>45</v>
      </c>
      <c r="G108" s="43" t="s">
        <v>45</v>
      </c>
      <c r="H108" s="43" t="s">
        <v>45</v>
      </c>
      <c r="I108" s="43" t="s">
        <v>45</v>
      </c>
      <c r="J108" s="63"/>
      <c r="K108" s="58"/>
    </row>
    <row r="109" spans="2:13" x14ac:dyDescent="0.2">
      <c r="B109" s="99" t="s">
        <v>94</v>
      </c>
      <c r="C109" s="62">
        <f>533067972.23</f>
        <v>533067972.23000002</v>
      </c>
      <c r="D109" s="62">
        <f>511170471.81</f>
        <v>511170471.81</v>
      </c>
      <c r="E109" s="43" t="s">
        <v>45</v>
      </c>
      <c r="F109" s="43" t="s">
        <v>45</v>
      </c>
      <c r="G109" s="43" t="s">
        <v>45</v>
      </c>
      <c r="H109" s="43" t="s">
        <v>45</v>
      </c>
      <c r="I109" s="43" t="s">
        <v>45</v>
      </c>
      <c r="J109" s="63"/>
      <c r="K109" s="58"/>
    </row>
    <row r="110" spans="2:13" ht="22.5" x14ac:dyDescent="0.2">
      <c r="B110" s="98" t="s">
        <v>95</v>
      </c>
      <c r="C110" s="62">
        <f>513633704.98</f>
        <v>513633704.98000002</v>
      </c>
      <c r="D110" s="62">
        <f>500408110.45</f>
        <v>500408110.44999999</v>
      </c>
      <c r="E110" s="43" t="s">
        <v>45</v>
      </c>
      <c r="F110" s="43" t="s">
        <v>45</v>
      </c>
      <c r="G110" s="43" t="s">
        <v>45</v>
      </c>
      <c r="H110" s="43" t="s">
        <v>45</v>
      </c>
      <c r="I110" s="43" t="s">
        <v>45</v>
      </c>
      <c r="J110" s="63">
        <f t="shared" si="12"/>
        <v>2.2608439157824636</v>
      </c>
      <c r="K110" s="58">
        <f t="shared" si="13"/>
        <v>97.425092161637835</v>
      </c>
    </row>
    <row r="111" spans="2:13" ht="27" customHeight="1" x14ac:dyDescent="0.2">
      <c r="B111" s="89" t="s">
        <v>51</v>
      </c>
      <c r="C111" s="49">
        <f>6577536287.46</f>
        <v>6577536287.46</v>
      </c>
      <c r="D111" s="49">
        <f>4620112691.35</f>
        <v>4620112691.3500004</v>
      </c>
      <c r="E111" s="43" t="s">
        <v>45</v>
      </c>
      <c r="F111" s="43" t="s">
        <v>45</v>
      </c>
      <c r="G111" s="43" t="s">
        <v>45</v>
      </c>
      <c r="H111" s="43" t="s">
        <v>45</v>
      </c>
      <c r="I111" s="43" t="s">
        <v>45</v>
      </c>
      <c r="J111" s="37">
        <f t="shared" ref="J111:J116" si="14">IF($D$111=0,"",100*$D111/$D$111)</f>
        <v>100</v>
      </c>
      <c r="K111" s="36">
        <f t="shared" si="13"/>
        <v>70.240778453145055</v>
      </c>
    </row>
    <row r="112" spans="2:13" ht="36" customHeight="1" x14ac:dyDescent="0.2">
      <c r="B112" s="97" t="s">
        <v>86</v>
      </c>
      <c r="C112" s="44">
        <f>6096718025.09</f>
        <v>6096718025.0900002</v>
      </c>
      <c r="D112" s="48">
        <f>3489137240.51</f>
        <v>3489137240.5100002</v>
      </c>
      <c r="E112" s="43" t="s">
        <v>45</v>
      </c>
      <c r="F112" s="43" t="s">
        <v>45</v>
      </c>
      <c r="G112" s="43" t="s">
        <v>45</v>
      </c>
      <c r="H112" s="43" t="s">
        <v>45</v>
      </c>
      <c r="I112" s="43" t="s">
        <v>45</v>
      </c>
      <c r="J112" s="50">
        <f t="shared" si="14"/>
        <v>75.520608989528171</v>
      </c>
      <c r="K112" s="51">
        <f t="shared" si="13"/>
        <v>57.229762409070794</v>
      </c>
    </row>
    <row r="113" spans="2:11" ht="13.5" customHeight="1" x14ac:dyDescent="0.2">
      <c r="B113" s="98" t="s">
        <v>71</v>
      </c>
      <c r="C113" s="62">
        <f>273407016</f>
        <v>273407016</v>
      </c>
      <c r="D113" s="62">
        <f>31794184</f>
        <v>31794184</v>
      </c>
      <c r="E113" s="43" t="s">
        <v>45</v>
      </c>
      <c r="F113" s="43" t="s">
        <v>45</v>
      </c>
      <c r="G113" s="43" t="s">
        <v>45</v>
      </c>
      <c r="H113" s="43" t="s">
        <v>45</v>
      </c>
      <c r="I113" s="43" t="s">
        <v>45</v>
      </c>
      <c r="J113" s="63">
        <f t="shared" si="14"/>
        <v>0.68816901500101102</v>
      </c>
      <c r="K113" s="58">
        <f t="shared" si="13"/>
        <v>11.62888372988936</v>
      </c>
    </row>
    <row r="114" spans="2:11" ht="13.5" customHeight="1" x14ac:dyDescent="0.2">
      <c r="B114" s="99" t="s">
        <v>72</v>
      </c>
      <c r="C114" s="62">
        <f>117893472.63</f>
        <v>117893472.63</v>
      </c>
      <c r="D114" s="62">
        <f>101534496.07</f>
        <v>101534496.06999999</v>
      </c>
      <c r="E114" s="43" t="s">
        <v>45</v>
      </c>
      <c r="F114" s="43" t="s">
        <v>45</v>
      </c>
      <c r="G114" s="43" t="s">
        <v>45</v>
      </c>
      <c r="H114" s="43" t="s">
        <v>45</v>
      </c>
      <c r="I114" s="43" t="s">
        <v>45</v>
      </c>
      <c r="J114" s="63">
        <f t="shared" si="14"/>
        <v>2.1976627596140204</v>
      </c>
      <c r="K114" s="58">
        <f t="shared" si="13"/>
        <v>86.123933585923425</v>
      </c>
    </row>
    <row r="115" spans="2:11" ht="13.5" customHeight="1" x14ac:dyDescent="0.2">
      <c r="B115" s="99" t="s">
        <v>98</v>
      </c>
      <c r="C115" s="62">
        <f>362924789.74</f>
        <v>362924789.74000001</v>
      </c>
      <c r="D115" s="62">
        <f>1029440954.77</f>
        <v>1029440954.77</v>
      </c>
      <c r="E115" s="43" t="s">
        <v>45</v>
      </c>
      <c r="F115" s="43" t="s">
        <v>45</v>
      </c>
      <c r="G115" s="43" t="s">
        <v>45</v>
      </c>
      <c r="H115" s="43" t="s">
        <v>45</v>
      </c>
      <c r="I115" s="43" t="s">
        <v>45</v>
      </c>
      <c r="J115" s="63">
        <f t="shared" si="14"/>
        <v>22.281728250857807</v>
      </c>
      <c r="K115" s="58">
        <f t="shared" si="13"/>
        <v>283.65131946690479</v>
      </c>
    </row>
    <row r="116" spans="2:11" ht="22.5" x14ac:dyDescent="0.2">
      <c r="B116" s="98" t="s">
        <v>96</v>
      </c>
      <c r="C116" s="62">
        <f>291626638.55</f>
        <v>291626638.55000001</v>
      </c>
      <c r="D116" s="62">
        <f>153105863.48</f>
        <v>153105863.47999999</v>
      </c>
      <c r="E116" s="43" t="s">
        <v>45</v>
      </c>
      <c r="F116" s="43" t="s">
        <v>45</v>
      </c>
      <c r="G116" s="43" t="s">
        <v>45</v>
      </c>
      <c r="H116" s="43" t="s">
        <v>45</v>
      </c>
      <c r="I116" s="43" t="s">
        <v>45</v>
      </c>
      <c r="J116" s="63">
        <f t="shared" si="14"/>
        <v>3.3138988961600919</v>
      </c>
      <c r="K116" s="58">
        <f>IF(C116=0,"",100*D116/C116)</f>
        <v>52.500644056818444</v>
      </c>
    </row>
    <row r="117" spans="2:11" ht="7.5" customHeight="1" x14ac:dyDescent="0.2"/>
    <row r="118" spans="2:11" x14ac:dyDescent="0.2">
      <c r="B118" s="40" t="s">
        <v>16</v>
      </c>
      <c r="C118" s="66" t="s">
        <v>17</v>
      </c>
      <c r="D118" s="19" t="s">
        <v>1</v>
      </c>
    </row>
    <row r="119" spans="2:11" x14ac:dyDescent="0.2">
      <c r="B119" s="40"/>
      <c r="C119" s="117" t="s">
        <v>61</v>
      </c>
      <c r="D119" s="132"/>
    </row>
    <row r="120" spans="2:11" x14ac:dyDescent="0.2">
      <c r="B120" s="39">
        <v>1</v>
      </c>
      <c r="C120" s="42">
        <v>2</v>
      </c>
      <c r="D120" s="31">
        <v>3</v>
      </c>
    </row>
    <row r="121" spans="2:11" ht="37.5" customHeight="1" x14ac:dyDescent="0.2">
      <c r="B121" s="100" t="s">
        <v>97</v>
      </c>
      <c r="C121" s="47">
        <f>17535814843.56</f>
        <v>17535814843.560001</v>
      </c>
      <c r="D121" s="27">
        <f>0</f>
        <v>0</v>
      </c>
    </row>
    <row r="122" spans="2:11" ht="36" customHeight="1" x14ac:dyDescent="0.2">
      <c r="B122" s="101" t="s">
        <v>63</v>
      </c>
      <c r="C122" s="48">
        <f>265209334.62</f>
        <v>265209334.62</v>
      </c>
      <c r="D122" s="73">
        <f>0</f>
        <v>0</v>
      </c>
    </row>
    <row r="123" spans="2:11" ht="13.5" customHeight="1" x14ac:dyDescent="0.2">
      <c r="B123" s="101" t="s">
        <v>64</v>
      </c>
      <c r="C123" s="48">
        <f>6820745781.83</f>
        <v>6820745781.8299999</v>
      </c>
      <c r="D123" s="73">
        <f>0</f>
        <v>0</v>
      </c>
    </row>
    <row r="124" spans="2:11" ht="25.5" customHeight="1" x14ac:dyDescent="0.2">
      <c r="B124" s="101" t="s">
        <v>65</v>
      </c>
      <c r="C124" s="48">
        <f>0</f>
        <v>0</v>
      </c>
      <c r="D124" s="73">
        <f>0</f>
        <v>0</v>
      </c>
    </row>
    <row r="125" spans="2:11" ht="57.95" customHeight="1" x14ac:dyDescent="0.2">
      <c r="B125" s="101" t="s">
        <v>82</v>
      </c>
      <c r="C125" s="48">
        <f>2791812938.12</f>
        <v>2791812938.1199999</v>
      </c>
      <c r="D125" s="73">
        <f>0</f>
        <v>0</v>
      </c>
    </row>
    <row r="126" spans="2:11" ht="81.95" customHeight="1" x14ac:dyDescent="0.2">
      <c r="B126" s="101" t="s">
        <v>66</v>
      </c>
      <c r="C126" s="48">
        <f>5100723279.14</f>
        <v>5100723279.1400003</v>
      </c>
      <c r="D126" s="73">
        <f>0</f>
        <v>0</v>
      </c>
    </row>
    <row r="127" spans="2:11" ht="150.94999999999999" customHeight="1" x14ac:dyDescent="0.2">
      <c r="B127" s="96" t="s">
        <v>87</v>
      </c>
      <c r="C127" s="48">
        <f>2106171092.94</f>
        <v>2106171092.9400001</v>
      </c>
      <c r="D127" s="73">
        <f>0</f>
        <v>0</v>
      </c>
    </row>
    <row r="128" spans="2:11" ht="22.5" x14ac:dyDescent="0.2">
      <c r="B128" s="96" t="s">
        <v>81</v>
      </c>
      <c r="C128" s="48">
        <f>82977243.66</f>
        <v>82977243.659999996</v>
      </c>
      <c r="D128" s="73">
        <f>0</f>
        <v>0</v>
      </c>
    </row>
    <row r="129" spans="2:4" ht="22.5" x14ac:dyDescent="0.2">
      <c r="B129" s="96" t="s">
        <v>95</v>
      </c>
      <c r="C129" s="48">
        <f>368175173.25</f>
        <v>368175173.25</v>
      </c>
      <c r="D129" s="73">
        <f>0</f>
        <v>0</v>
      </c>
    </row>
    <row r="130" spans="2:4" ht="28.5" customHeight="1" x14ac:dyDescent="0.2"/>
    <row r="131" spans="2:4" x14ac:dyDescent="0.2">
      <c r="B131" s="64" t="s">
        <v>52</v>
      </c>
      <c r="C131" s="33">
        <f>3</f>
        <v>3</v>
      </c>
      <c r="D131" s="33" t="str">
        <f>IF(C131=1,"I Kwartał",IF(C131=2,"II Kwartały",IF(C131=3,"III Kwartały",IF(C131=4,"IV Kwartały",IF(C131="M1","Styczeń",IF(C131="M11","Listopad",IF(C131="M12","Grudzień","-")))))))</f>
        <v>III Kwartały</v>
      </c>
    </row>
    <row r="132" spans="2:4" x14ac:dyDescent="0.2">
      <c r="B132" s="64" t="s">
        <v>53</v>
      </c>
      <c r="C132" s="91">
        <f>2025</f>
        <v>2025</v>
      </c>
    </row>
    <row r="133" spans="2:4" x14ac:dyDescent="0.2">
      <c r="B133" s="64" t="s">
        <v>54</v>
      </c>
      <c r="C133" s="113" t="str">
        <f>"Nov 14 2025 12:00AM"</f>
        <v>Nov 14 2025 12:00AM</v>
      </c>
      <c r="D133" s="114"/>
    </row>
    <row r="134" spans="2:4" hidden="1" x14ac:dyDescent="0.2">
      <c r="B134" s="1" t="s">
        <v>93</v>
      </c>
      <c r="C134" s="1" t="str">
        <f>""</f>
        <v/>
      </c>
    </row>
  </sheetData>
  <mergeCells count="26">
    <mergeCell ref="B3:B4"/>
    <mergeCell ref="C119:D119"/>
    <mergeCell ref="B61:B64"/>
    <mergeCell ref="C98:D98"/>
    <mergeCell ref="J4:L4"/>
    <mergeCell ref="I61:I63"/>
    <mergeCell ref="J64:K64"/>
    <mergeCell ref="C4:I4"/>
    <mergeCell ref="J98:K98"/>
    <mergeCell ref="J61:J63"/>
    <mergeCell ref="B80:B81"/>
    <mergeCell ref="C80:D80"/>
    <mergeCell ref="E80:F80"/>
    <mergeCell ref="B85:B86"/>
    <mergeCell ref="C85:D85"/>
    <mergeCell ref="E85:F85"/>
    <mergeCell ref="K61:K63"/>
    <mergeCell ref="C133:D133"/>
    <mergeCell ref="D61:D63"/>
    <mergeCell ref="E61:E63"/>
    <mergeCell ref="F62:F63"/>
    <mergeCell ref="F61:H61"/>
    <mergeCell ref="G62:H62"/>
    <mergeCell ref="E97:I99"/>
    <mergeCell ref="C61:C63"/>
    <mergeCell ref="C64:I64"/>
  </mergeCells>
  <phoneticPr fontId="0" type="noConversion"/>
  <printOptions horizontalCentered="1"/>
  <pageMargins left="0" right="0" top="0" bottom="0" header="0" footer="0"/>
  <pageSetup paperSize="9" scale="95" orientation="landscape" useFirstPageNumber="1" r:id="rId1"/>
  <headerFooter alignWithMargins="0">
    <oddFooter>&amp;RStrona &amp;P z &amp;N</oddFooter>
  </headerFooter>
  <rowBreaks count="5" manualBreakCount="5">
    <brk id="25" max="16383" man="1"/>
    <brk id="53" min="1" max="11" man="1"/>
    <brk id="58" max="16383" man="1"/>
    <brk id="94" max="16383" man="1"/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2025-02-07T08:52:30Z</cp:lastPrinted>
  <dcterms:created xsi:type="dcterms:W3CDTF">2001-05-17T08:58:03Z</dcterms:created>
  <dcterms:modified xsi:type="dcterms:W3CDTF">2025-11-20T08:24:10Z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2022-06-01T15:11:49.7443772+02:00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GRN-a157e64f-b2d8-4344-b63a-be4ab8451fe4</vt:lpwstr>
  </property>
  <property fmtid="{D5CDD505-2E9C-101B-9397-08002B2CF9AE}" pid="7" name="MFHash">
    <vt:lpwstr>lKoZPOlwMDvHqF38lv0pfu8g3MmyOnNc8oYSPpdBgYA=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