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Users\Michal\Documents\Zlecenia\IBDIM przepusty\Arkusz przepusty OST\"/>
    </mc:Choice>
  </mc:AlternateContent>
  <bookViews>
    <workbookView xWindow="0" yWindow="0" windowWidth="20490" windowHeight="7755"/>
  </bookViews>
  <sheets>
    <sheet name="Typy przepustów" sheetId="6" r:id="rId1"/>
    <sheet name="Typ 1" sheetId="11" r:id="rId2"/>
    <sheet name="Typ 2" sheetId="10" r:id="rId3"/>
    <sheet name="Typ 3" sheetId="12" r:id="rId4"/>
    <sheet name="Typ 4" sheetId="13" r:id="rId5"/>
    <sheet name="Typ 5" sheetId="14" r:id="rId6"/>
    <sheet name="Typ 6" sheetId="16" r:id="rId7"/>
    <sheet name="Przewód kołowy" sheetId="4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16" l="1"/>
  <c r="C42" i="12"/>
  <c r="C42" i="10"/>
  <c r="C42" i="11"/>
  <c r="C30" i="4"/>
  <c r="B32" i="4" l="1"/>
  <c r="B30" i="4"/>
  <c r="B33" i="4" s="1"/>
  <c r="B16" i="4"/>
  <c r="C14" i="4"/>
  <c r="B14" i="4"/>
  <c r="R10" i="13"/>
  <c r="R10" i="12"/>
  <c r="R10" i="10"/>
  <c r="R10" i="11"/>
  <c r="R10" i="16"/>
  <c r="M29" i="16"/>
  <c r="M35" i="16" s="1"/>
  <c r="N24" i="16"/>
  <c r="B50" i="16"/>
  <c r="B53" i="16"/>
  <c r="B34" i="4" l="1"/>
  <c r="D14" i="4"/>
  <c r="E14" i="4" s="1"/>
  <c r="B17" i="4" s="1"/>
  <c r="M41" i="16"/>
  <c r="L43" i="16" s="1"/>
  <c r="N37" i="16"/>
  <c r="O38" i="16" s="1"/>
  <c r="N31" i="16"/>
  <c r="O32" i="16" s="1"/>
  <c r="E34" i="16"/>
  <c r="B52" i="16"/>
  <c r="B44" i="16"/>
  <c r="B42" i="16"/>
  <c r="B36" i="16"/>
  <c r="C34" i="16"/>
  <c r="B34" i="16"/>
  <c r="B28" i="16"/>
  <c r="D26" i="16"/>
  <c r="E26" i="16" s="1"/>
  <c r="F26" i="16" s="1"/>
  <c r="B29" i="16" s="1"/>
  <c r="C26" i="16"/>
  <c r="B26" i="16"/>
  <c r="R12" i="16"/>
  <c r="Q29" i="16" s="1"/>
  <c r="L12" i="16"/>
  <c r="R11" i="16"/>
  <c r="R9" i="16"/>
  <c r="R8" i="16"/>
  <c r="R7" i="16"/>
  <c r="R6" i="16"/>
  <c r="R5" i="16"/>
  <c r="R34" i="16" l="1"/>
  <c r="S35" i="16" s="1"/>
  <c r="Q37" i="16"/>
  <c r="P40" i="16" s="1"/>
  <c r="R24" i="16"/>
  <c r="S29" i="16" s="1"/>
  <c r="S32" i="16" s="1"/>
  <c r="B18" i="4"/>
  <c r="D34" i="16"/>
  <c r="B54" i="16" s="1"/>
  <c r="B45" i="16"/>
  <c r="B46" i="16" s="1"/>
  <c r="B30" i="16"/>
  <c r="B55" i="12"/>
  <c r="B49" i="13"/>
  <c r="R10" i="14"/>
  <c r="R8" i="14"/>
  <c r="B48" i="14"/>
  <c r="B46" i="14"/>
  <c r="B45" i="14"/>
  <c r="B49" i="14" s="1"/>
  <c r="B41" i="14"/>
  <c r="B36" i="14"/>
  <c r="C34" i="14"/>
  <c r="B34" i="14"/>
  <c r="D34" i="14" s="1"/>
  <c r="E34" i="14" s="1"/>
  <c r="B37" i="14" s="1"/>
  <c r="B28" i="14"/>
  <c r="D26" i="14"/>
  <c r="C26" i="14"/>
  <c r="B26" i="14"/>
  <c r="L14" i="14"/>
  <c r="R12" i="14"/>
  <c r="R11" i="14"/>
  <c r="R9" i="14"/>
  <c r="R7" i="14"/>
  <c r="R6" i="14"/>
  <c r="R5" i="14"/>
  <c r="B41" i="13"/>
  <c r="T24" i="16" l="1"/>
  <c r="U25" i="16" s="1"/>
  <c r="B37" i="16"/>
  <c r="B38" i="16" s="1"/>
  <c r="N26" i="14"/>
  <c r="M31" i="14"/>
  <c r="M37" i="14" s="1"/>
  <c r="E26" i="14"/>
  <c r="F26" i="14" s="1"/>
  <c r="B29" i="14" s="1"/>
  <c r="N33" i="14"/>
  <c r="O34" i="14" s="1"/>
  <c r="Q31" i="14"/>
  <c r="R36" i="14" s="1"/>
  <c r="S37" i="14" s="1"/>
  <c r="B30" i="14"/>
  <c r="R26" i="14"/>
  <c r="B38" i="14"/>
  <c r="B50" i="14"/>
  <c r="M43" i="14" l="1"/>
  <c r="L45" i="14" s="1"/>
  <c r="N39" i="14"/>
  <c r="O40" i="14" s="1"/>
  <c r="Q39" i="14"/>
  <c r="P42" i="14" s="1"/>
  <c r="S31" i="14"/>
  <c r="S34" i="14" s="1"/>
  <c r="T26" i="14"/>
  <c r="U27" i="14" s="1"/>
  <c r="B46" i="13" l="1"/>
  <c r="R8" i="12"/>
  <c r="R8" i="10"/>
  <c r="R8" i="11"/>
  <c r="R8" i="13"/>
  <c r="N31" i="12"/>
  <c r="B45" i="13"/>
  <c r="C34" i="13"/>
  <c r="B34" i="13"/>
  <c r="R7" i="13"/>
  <c r="B48" i="13"/>
  <c r="B36" i="13"/>
  <c r="B28" i="13"/>
  <c r="D26" i="13"/>
  <c r="C26" i="13"/>
  <c r="B26" i="13"/>
  <c r="R12" i="13"/>
  <c r="L14" i="13"/>
  <c r="R11" i="13"/>
  <c r="R9" i="13"/>
  <c r="R6" i="13"/>
  <c r="R5" i="13"/>
  <c r="M31" i="13" s="1"/>
  <c r="M37" i="13" l="1"/>
  <c r="N33" i="13"/>
  <c r="O34" i="13" s="1"/>
  <c r="N26" i="13"/>
  <c r="Q31" i="13" s="1"/>
  <c r="R36" i="13" s="1"/>
  <c r="D34" i="13"/>
  <c r="E34" i="13" s="1"/>
  <c r="E26" i="13"/>
  <c r="F26" i="13" s="1"/>
  <c r="B29" i="13" s="1"/>
  <c r="B30" i="13" s="1"/>
  <c r="Q39" i="13" l="1"/>
  <c r="P42" i="13" s="1"/>
  <c r="R26" i="13"/>
  <c r="T26" i="13" s="1"/>
  <c r="U27" i="13" s="1"/>
  <c r="N39" i="13"/>
  <c r="O40" i="13" s="1"/>
  <c r="M43" i="13"/>
  <c r="L45" i="13" s="1"/>
  <c r="S37" i="13"/>
  <c r="B50" i="13"/>
  <c r="B37" i="13"/>
  <c r="B38" i="13" s="1"/>
  <c r="S31" i="13" l="1"/>
  <c r="S34" i="13" s="1"/>
  <c r="B52" i="12" l="1"/>
  <c r="B54" i="12"/>
  <c r="B50" i="12"/>
  <c r="B44" i="12"/>
  <c r="B42" i="12"/>
  <c r="B36" i="12"/>
  <c r="C34" i="12"/>
  <c r="B34" i="12"/>
  <c r="D34" i="12" s="1"/>
  <c r="E34" i="12" s="1"/>
  <c r="B51" i="12" s="1"/>
  <c r="B28" i="12"/>
  <c r="D26" i="12"/>
  <c r="C26" i="12"/>
  <c r="B26" i="12"/>
  <c r="R12" i="12"/>
  <c r="L12" i="12"/>
  <c r="R11" i="12"/>
  <c r="R9" i="12"/>
  <c r="R7" i="12"/>
  <c r="R6" i="12"/>
  <c r="R5" i="12"/>
  <c r="B52" i="11"/>
  <c r="B50" i="11"/>
  <c r="B44" i="11"/>
  <c r="B42" i="11"/>
  <c r="B45" i="11" s="1"/>
  <c r="B46" i="11" s="1"/>
  <c r="B36" i="11"/>
  <c r="C34" i="11"/>
  <c r="B34" i="11"/>
  <c r="D34" i="11" s="1"/>
  <c r="E34" i="11" s="1"/>
  <c r="B37" i="11" s="1"/>
  <c r="B38" i="11" s="1"/>
  <c r="B28" i="11"/>
  <c r="D26" i="11"/>
  <c r="C26" i="11"/>
  <c r="B26" i="11"/>
  <c r="R12" i="11"/>
  <c r="L12" i="11"/>
  <c r="R11" i="11"/>
  <c r="R9" i="11"/>
  <c r="R7" i="11"/>
  <c r="R6" i="11"/>
  <c r="R5" i="11"/>
  <c r="M29" i="11" s="1"/>
  <c r="M35" i="11" s="1"/>
  <c r="B53" i="11" l="1"/>
  <c r="B54" i="11" s="1"/>
  <c r="N24" i="12"/>
  <c r="M29" i="12"/>
  <c r="B45" i="12"/>
  <c r="B46" i="12" s="1"/>
  <c r="E26" i="11"/>
  <c r="F26" i="11" s="1"/>
  <c r="B29" i="11" s="1"/>
  <c r="B30" i="11" s="1"/>
  <c r="N24" i="11"/>
  <c r="Q29" i="11" s="1"/>
  <c r="R34" i="11" s="1"/>
  <c r="S35" i="11" s="1"/>
  <c r="B56" i="12"/>
  <c r="E26" i="12"/>
  <c r="F26" i="12" s="1"/>
  <c r="B29" i="12" s="1"/>
  <c r="B30" i="12" s="1"/>
  <c r="B37" i="12"/>
  <c r="B38" i="12" s="1"/>
  <c r="M41" i="11"/>
  <c r="L43" i="11" s="1"/>
  <c r="N37" i="11"/>
  <c r="O38" i="11" s="1"/>
  <c r="N31" i="11"/>
  <c r="O32" i="11" s="1"/>
  <c r="R24" i="11"/>
  <c r="Q37" i="11" l="1"/>
  <c r="P40" i="11" s="1"/>
  <c r="M35" i="12"/>
  <c r="O32" i="12"/>
  <c r="Q29" i="12"/>
  <c r="R24" i="12"/>
  <c r="S29" i="11"/>
  <c r="S32" i="11" s="1"/>
  <c r="T24" i="11"/>
  <c r="U25" i="11" s="1"/>
  <c r="S29" i="12" l="1"/>
  <c r="S32" i="12" s="1"/>
  <c r="T24" i="12"/>
  <c r="U25" i="12" s="1"/>
  <c r="Q37" i="12"/>
  <c r="P40" i="12" s="1"/>
  <c r="R34" i="12"/>
  <c r="S35" i="12" s="1"/>
  <c r="M41" i="12"/>
  <c r="L43" i="12" s="1"/>
  <c r="N37" i="12"/>
  <c r="O38" i="12" s="1"/>
  <c r="L12" i="10"/>
  <c r="R9" i="10"/>
  <c r="R7" i="10"/>
  <c r="R6" i="10"/>
  <c r="B50" i="10"/>
  <c r="R12" i="10" l="1"/>
  <c r="R11" i="10"/>
  <c r="B53" i="10"/>
  <c r="B36" i="10"/>
  <c r="R5" i="10"/>
  <c r="M29" i="10" l="1"/>
  <c r="N24" i="10"/>
  <c r="Q29" i="10" s="1"/>
  <c r="B44" i="10"/>
  <c r="B42" i="10"/>
  <c r="C34" i="10"/>
  <c r="B34" i="10"/>
  <c r="B28" i="10"/>
  <c r="D26" i="10"/>
  <c r="C26" i="10"/>
  <c r="B26" i="10"/>
  <c r="R24" i="10" l="1"/>
  <c r="M35" i="10"/>
  <c r="N31" i="10"/>
  <c r="O32" i="10" s="1"/>
  <c r="S29" i="10"/>
  <c r="S32" i="10" s="1"/>
  <c r="T24" i="10"/>
  <c r="U25" i="10" s="1"/>
  <c r="Q37" i="10"/>
  <c r="P40" i="10" s="1"/>
  <c r="R34" i="10"/>
  <c r="S35" i="10" s="1"/>
  <c r="E26" i="10"/>
  <c r="F26" i="10" s="1"/>
  <c r="B45" i="10"/>
  <c r="B46" i="10" s="1"/>
  <c r="D34" i="10"/>
  <c r="N37" i="10" l="1"/>
  <c r="O38" i="10" s="1"/>
  <c r="M41" i="10"/>
  <c r="L43" i="10" s="1"/>
  <c r="B29" i="10"/>
  <c r="B30" i="10" s="1"/>
  <c r="E34" i="10"/>
  <c r="B37" i="10" l="1"/>
  <c r="B38" i="10" s="1"/>
  <c r="B51" i="10"/>
  <c r="B54" i="10" s="1"/>
  <c r="B55" i="10" s="1"/>
  <c r="E20" i="6" l="1"/>
  <c r="I20" i="6" s="1"/>
  <c r="K20" i="6" s="1"/>
  <c r="L21" i="6" s="1"/>
  <c r="D25" i="6"/>
  <c r="D31" i="6" s="1"/>
  <c r="D37" i="6" s="1"/>
  <c r="H25" i="6" l="1"/>
  <c r="J25" i="6"/>
  <c r="J28" i="6" s="1"/>
  <c r="E33" i="6"/>
  <c r="F34" i="6" s="1"/>
  <c r="C39" i="6"/>
  <c r="E27" i="6"/>
  <c r="F28" i="6" s="1"/>
  <c r="I30" i="6" l="1"/>
  <c r="J31" i="6" s="1"/>
  <c r="H33" i="6"/>
  <c r="G36" i="6" s="1"/>
</calcChain>
</file>

<file path=xl/comments1.xml><?xml version="1.0" encoding="utf-8"?>
<comments xmlns="http://schemas.openxmlformats.org/spreadsheetml/2006/main">
  <authors>
    <author>Michał Kubrak</author>
  </authors>
  <commentList>
    <comment ref="B9" authorId="0" shapeId="0">
      <text>
        <r>
          <rPr>
            <sz val="10"/>
            <color indexed="81"/>
            <rFont val="Arial"/>
            <family val="2"/>
            <charset val="238"/>
          </rPr>
          <t xml:space="preserve">spadek hydrauliczny przy przepływie </t>
        </r>
        <r>
          <rPr>
            <i/>
            <sz val="10"/>
            <color indexed="81"/>
            <rFont val="Arial"/>
            <family val="2"/>
            <charset val="238"/>
          </rPr>
          <t>Q</t>
        </r>
        <r>
          <rPr>
            <i/>
            <vertAlign val="subscript"/>
            <sz val="10"/>
            <color indexed="81"/>
            <rFont val="Arial"/>
            <family val="2"/>
            <charset val="238"/>
          </rPr>
          <t>m</t>
        </r>
        <r>
          <rPr>
            <sz val="10"/>
            <color indexed="81"/>
            <rFont val="Arial"/>
            <family val="2"/>
            <charset val="238"/>
          </rPr>
          <t xml:space="preserve"> wypełniającym cały przekrój przewodu przepustu</t>
        </r>
      </text>
    </comment>
  </commentList>
</comments>
</file>

<file path=xl/comments2.xml><?xml version="1.0" encoding="utf-8"?>
<comments xmlns="http://schemas.openxmlformats.org/spreadsheetml/2006/main">
  <authors>
    <author>Michał Kubrak</author>
  </authors>
  <commentList>
    <comment ref="Q10" authorId="0" shapeId="0">
      <text>
        <r>
          <rPr>
            <sz val="10"/>
            <color indexed="81"/>
            <rFont val="Arial"/>
            <family val="2"/>
            <charset val="238"/>
          </rPr>
          <t xml:space="preserve">spadek hydrauliczny przy przepływie </t>
        </r>
        <r>
          <rPr>
            <i/>
            <sz val="10"/>
            <color indexed="81"/>
            <rFont val="Arial"/>
            <family val="2"/>
            <charset val="238"/>
          </rPr>
          <t>Q</t>
        </r>
        <r>
          <rPr>
            <i/>
            <vertAlign val="subscript"/>
            <sz val="10"/>
            <color indexed="81"/>
            <rFont val="Arial"/>
            <family val="2"/>
            <charset val="238"/>
          </rPr>
          <t>m</t>
        </r>
        <r>
          <rPr>
            <sz val="10"/>
            <color indexed="81"/>
            <rFont val="Arial"/>
            <family val="2"/>
            <charset val="238"/>
          </rPr>
          <t xml:space="preserve"> wypełniającym cały przekrój przewodu przepustu</t>
        </r>
      </text>
    </comment>
    <comment ref="A25" authorId="0" shapeId="0">
      <text>
        <r>
          <rPr>
            <sz val="9"/>
            <color indexed="81"/>
            <rFont val="Arial"/>
            <family val="2"/>
            <charset val="238"/>
          </rPr>
          <t xml:space="preserve">głębokość miarodajna - napełnienie koryta przy przepływie </t>
        </r>
        <r>
          <rPr>
            <i/>
            <sz val="9"/>
            <color indexed="81"/>
            <rFont val="Arial"/>
            <family val="2"/>
            <charset val="238"/>
          </rPr>
          <t>Q</t>
        </r>
        <r>
          <rPr>
            <i/>
            <vertAlign val="subscript"/>
            <sz val="9"/>
            <color indexed="81"/>
            <rFont val="Arial"/>
            <family val="2"/>
            <charset val="238"/>
          </rPr>
          <t>m</t>
        </r>
        <r>
          <rPr>
            <i/>
            <sz val="9"/>
            <color indexed="81"/>
            <rFont val="Arial"/>
            <family val="2"/>
            <charset val="238"/>
          </rPr>
          <t xml:space="preserve">
</t>
        </r>
        <r>
          <rPr>
            <sz val="9"/>
            <color indexed="81"/>
            <rFont val="Arial"/>
            <family val="2"/>
            <charset val="238"/>
          </rPr>
          <t xml:space="preserve">w przypadku gdy </t>
        </r>
        <r>
          <rPr>
            <i/>
            <sz val="9"/>
            <color indexed="81"/>
            <rFont val="Arial"/>
            <family val="2"/>
            <charset val="238"/>
          </rPr>
          <t>p</t>
        </r>
        <r>
          <rPr>
            <sz val="9"/>
            <color indexed="81"/>
            <rFont val="Arial"/>
            <family val="2"/>
            <charset val="238"/>
          </rPr>
          <t xml:space="preserve"> = 0, </t>
        </r>
        <r>
          <rPr>
            <i/>
            <sz val="9"/>
            <color indexed="81"/>
            <rFont val="Arial"/>
            <family val="2"/>
            <charset val="238"/>
          </rPr>
          <t>h</t>
        </r>
        <r>
          <rPr>
            <i/>
            <vertAlign val="subscript"/>
            <sz val="9"/>
            <color indexed="81"/>
            <rFont val="Arial"/>
            <family val="2"/>
            <charset val="238"/>
          </rPr>
          <t>m</t>
        </r>
        <r>
          <rPr>
            <sz val="9"/>
            <color indexed="81"/>
            <rFont val="Arial"/>
            <family val="2"/>
            <charset val="238"/>
          </rPr>
          <t xml:space="preserve"> = </t>
        </r>
        <r>
          <rPr>
            <i/>
            <sz val="9"/>
            <color indexed="81"/>
            <rFont val="Arial"/>
            <family val="2"/>
            <charset val="238"/>
          </rPr>
          <t>H</t>
        </r>
        <r>
          <rPr>
            <vertAlign val="subscript"/>
            <sz val="9"/>
            <color indexed="81"/>
            <rFont val="Arial"/>
            <family val="2"/>
            <charset val="238"/>
          </rPr>
          <t>2</t>
        </r>
        <r>
          <rPr>
            <sz val="9"/>
            <color indexed="81"/>
            <rFont val="Arial"/>
            <family val="2"/>
            <charset val="238"/>
          </rPr>
          <t>.</t>
        </r>
      </text>
    </comment>
    <comment ref="A26" authorId="0" shapeId="0">
      <text>
        <r>
          <rPr>
            <sz val="9"/>
            <color indexed="81"/>
            <rFont val="Arial"/>
            <family val="2"/>
            <charset val="238"/>
          </rPr>
          <t xml:space="preserve">wartość wyznaczona metodą kolejnych założeń
</t>
        </r>
      </text>
    </comment>
    <comment ref="B26" authorId="0" shapeId="0">
      <text>
        <r>
          <rPr>
            <sz val="9"/>
            <color indexed="81"/>
            <rFont val="Arial"/>
            <family val="2"/>
            <charset val="238"/>
          </rPr>
          <t xml:space="preserve">pole trapezu o wysokości </t>
        </r>
        <r>
          <rPr>
            <i/>
            <sz val="9"/>
            <color indexed="81"/>
            <rFont val="Arial"/>
            <family val="2"/>
            <charset val="238"/>
          </rPr>
          <t>h</t>
        </r>
        <r>
          <rPr>
            <i/>
            <vertAlign val="subscript"/>
            <sz val="9"/>
            <color indexed="81"/>
            <rFont val="Arial"/>
            <family val="2"/>
            <charset val="238"/>
          </rPr>
          <t>m</t>
        </r>
        <r>
          <rPr>
            <sz val="9"/>
            <color indexed="81"/>
            <rFont val="Arial"/>
            <family val="2"/>
            <charset val="238"/>
          </rPr>
          <t xml:space="preserve"> i nachyleniu ramion 1:</t>
        </r>
        <r>
          <rPr>
            <i/>
            <sz val="9"/>
            <color indexed="81"/>
            <rFont val="Arial"/>
            <family val="2"/>
            <charset val="238"/>
          </rPr>
          <t>m</t>
        </r>
        <r>
          <rPr>
            <sz val="9"/>
            <color indexed="81"/>
            <rFont val="Arial"/>
            <family val="2"/>
            <charset val="238"/>
          </rPr>
          <t xml:space="preserve">
</t>
        </r>
      </text>
    </comment>
    <comment ref="A33" authorId="0" shapeId="0">
      <text>
        <r>
          <rPr>
            <sz val="9"/>
            <color indexed="81"/>
            <rFont val="Arial"/>
            <family val="2"/>
            <charset val="238"/>
          </rPr>
          <t xml:space="preserve">napełnienie przepustu przy przepływie </t>
        </r>
        <r>
          <rPr>
            <i/>
            <sz val="9"/>
            <color indexed="81"/>
            <rFont val="Arial"/>
            <family val="2"/>
            <charset val="238"/>
          </rPr>
          <t>Q</t>
        </r>
        <r>
          <rPr>
            <i/>
            <vertAlign val="subscript"/>
            <sz val="9"/>
            <color indexed="81"/>
            <rFont val="Arial"/>
            <family val="2"/>
            <charset val="238"/>
          </rPr>
          <t>m</t>
        </r>
      </text>
    </comment>
    <comment ref="A34" authorId="0" shapeId="0">
      <text>
        <r>
          <rPr>
            <sz val="9"/>
            <color indexed="81"/>
            <rFont val="Arial"/>
            <family val="2"/>
            <charset val="238"/>
          </rPr>
          <t>wartość wyznaczona metodą kolejnych założeń</t>
        </r>
      </text>
    </comment>
    <comment ref="A42" authorId="0" shapeId="0">
      <text>
        <r>
          <rPr>
            <sz val="9"/>
            <color indexed="81"/>
            <rFont val="Arial"/>
            <family val="2"/>
            <charset val="238"/>
          </rPr>
          <t xml:space="preserve">wartość wyznaczona metodą kolejnych założeń
</t>
        </r>
      </text>
    </comment>
    <comment ref="A49" authorId="0" shapeId="0">
      <text>
        <r>
          <rPr>
            <sz val="9"/>
            <color indexed="81"/>
            <rFont val="Tahoma"/>
            <family val="2"/>
            <charset val="238"/>
          </rPr>
          <t xml:space="preserve">wartość wyznaczona metodą kolejnych założeń
</t>
        </r>
      </text>
    </comment>
    <comment ref="A53" authorId="0" shapeId="0">
      <text>
        <r>
          <rPr>
            <sz val="9"/>
            <color indexed="81"/>
            <rFont val="Arial"/>
            <family val="2"/>
            <charset val="238"/>
          </rPr>
          <t xml:space="preserve">wydatek dla przepustu typu 1
</t>
        </r>
      </text>
    </comment>
  </commentList>
</comments>
</file>

<file path=xl/comments3.xml><?xml version="1.0" encoding="utf-8"?>
<comments xmlns="http://schemas.openxmlformats.org/spreadsheetml/2006/main">
  <authors>
    <author>Michał Kubrak</author>
  </authors>
  <commentList>
    <comment ref="Q10" authorId="0" shapeId="0">
      <text>
        <r>
          <rPr>
            <sz val="10"/>
            <color indexed="81"/>
            <rFont val="Arial"/>
            <family val="2"/>
            <charset val="238"/>
          </rPr>
          <t xml:space="preserve">spadek hydrauliczny przy przepływie </t>
        </r>
        <r>
          <rPr>
            <i/>
            <sz val="10"/>
            <color indexed="81"/>
            <rFont val="Arial"/>
            <family val="2"/>
            <charset val="238"/>
          </rPr>
          <t>Q</t>
        </r>
        <r>
          <rPr>
            <i/>
            <vertAlign val="subscript"/>
            <sz val="10"/>
            <color indexed="81"/>
            <rFont val="Arial"/>
            <family val="2"/>
            <charset val="238"/>
          </rPr>
          <t>m</t>
        </r>
        <r>
          <rPr>
            <sz val="10"/>
            <color indexed="81"/>
            <rFont val="Arial"/>
            <family val="2"/>
            <charset val="238"/>
          </rPr>
          <t xml:space="preserve"> wypełniającym cały przekrój przewodu przepustu</t>
        </r>
      </text>
    </comment>
    <comment ref="A25" authorId="0" shapeId="0">
      <text>
        <r>
          <rPr>
            <sz val="9"/>
            <color indexed="81"/>
            <rFont val="Arial"/>
            <family val="2"/>
            <charset val="238"/>
          </rPr>
          <t xml:space="preserve">głębokość miarodajna - napełnienie koryta przy przepływie </t>
        </r>
        <r>
          <rPr>
            <i/>
            <sz val="9"/>
            <color indexed="81"/>
            <rFont val="Arial"/>
            <family val="2"/>
            <charset val="238"/>
          </rPr>
          <t>Q</t>
        </r>
        <r>
          <rPr>
            <i/>
            <vertAlign val="subscript"/>
            <sz val="9"/>
            <color indexed="81"/>
            <rFont val="Arial"/>
            <family val="2"/>
            <charset val="238"/>
          </rPr>
          <t>m</t>
        </r>
        <r>
          <rPr>
            <i/>
            <sz val="9"/>
            <color indexed="81"/>
            <rFont val="Arial"/>
            <family val="2"/>
            <charset val="238"/>
          </rPr>
          <t xml:space="preserve">
</t>
        </r>
        <r>
          <rPr>
            <sz val="9"/>
            <color indexed="81"/>
            <rFont val="Arial"/>
            <family val="2"/>
            <charset val="238"/>
          </rPr>
          <t xml:space="preserve">w przypadku gdy </t>
        </r>
        <r>
          <rPr>
            <i/>
            <sz val="9"/>
            <color indexed="81"/>
            <rFont val="Arial"/>
            <family val="2"/>
            <charset val="238"/>
          </rPr>
          <t>p</t>
        </r>
        <r>
          <rPr>
            <sz val="9"/>
            <color indexed="81"/>
            <rFont val="Arial"/>
            <family val="2"/>
            <charset val="238"/>
          </rPr>
          <t xml:space="preserve"> = 0, </t>
        </r>
        <r>
          <rPr>
            <i/>
            <sz val="9"/>
            <color indexed="81"/>
            <rFont val="Arial"/>
            <family val="2"/>
            <charset val="238"/>
          </rPr>
          <t>h</t>
        </r>
        <r>
          <rPr>
            <i/>
            <vertAlign val="subscript"/>
            <sz val="9"/>
            <color indexed="81"/>
            <rFont val="Arial"/>
            <family val="2"/>
            <charset val="238"/>
          </rPr>
          <t>m</t>
        </r>
        <r>
          <rPr>
            <sz val="9"/>
            <color indexed="81"/>
            <rFont val="Arial"/>
            <family val="2"/>
            <charset val="238"/>
          </rPr>
          <t xml:space="preserve"> = </t>
        </r>
        <r>
          <rPr>
            <i/>
            <sz val="9"/>
            <color indexed="81"/>
            <rFont val="Arial"/>
            <family val="2"/>
            <charset val="238"/>
          </rPr>
          <t>H</t>
        </r>
        <r>
          <rPr>
            <vertAlign val="subscript"/>
            <sz val="9"/>
            <color indexed="81"/>
            <rFont val="Arial"/>
            <family val="2"/>
            <charset val="238"/>
          </rPr>
          <t>2</t>
        </r>
        <r>
          <rPr>
            <sz val="9"/>
            <color indexed="81"/>
            <rFont val="Arial"/>
            <family val="2"/>
            <charset val="238"/>
          </rPr>
          <t>.</t>
        </r>
      </text>
    </comment>
    <comment ref="A26" authorId="0" shapeId="0">
      <text>
        <r>
          <rPr>
            <sz val="9"/>
            <color indexed="81"/>
            <rFont val="Arial"/>
            <family val="2"/>
            <charset val="238"/>
          </rPr>
          <t xml:space="preserve">wartość wyznaczona metodą kolejnych założeń
</t>
        </r>
      </text>
    </comment>
    <comment ref="B26" authorId="0" shapeId="0">
      <text>
        <r>
          <rPr>
            <sz val="9"/>
            <color indexed="81"/>
            <rFont val="Arial"/>
            <family val="2"/>
            <charset val="238"/>
          </rPr>
          <t xml:space="preserve">pole trapezu o wysokości </t>
        </r>
        <r>
          <rPr>
            <i/>
            <sz val="9"/>
            <color indexed="81"/>
            <rFont val="Arial"/>
            <family val="2"/>
            <charset val="238"/>
          </rPr>
          <t>h</t>
        </r>
        <r>
          <rPr>
            <i/>
            <vertAlign val="subscript"/>
            <sz val="9"/>
            <color indexed="81"/>
            <rFont val="Arial"/>
            <family val="2"/>
            <charset val="238"/>
          </rPr>
          <t>m</t>
        </r>
        <r>
          <rPr>
            <sz val="9"/>
            <color indexed="81"/>
            <rFont val="Arial"/>
            <family val="2"/>
            <charset val="238"/>
          </rPr>
          <t xml:space="preserve"> i nachyleniu ramion 1:</t>
        </r>
        <r>
          <rPr>
            <i/>
            <sz val="9"/>
            <color indexed="81"/>
            <rFont val="Arial"/>
            <family val="2"/>
            <charset val="238"/>
          </rPr>
          <t>m</t>
        </r>
        <r>
          <rPr>
            <sz val="9"/>
            <color indexed="81"/>
            <rFont val="Arial"/>
            <family val="2"/>
            <charset val="238"/>
          </rPr>
          <t xml:space="preserve">
</t>
        </r>
      </text>
    </comment>
    <comment ref="A33" authorId="0" shapeId="0">
      <text>
        <r>
          <rPr>
            <sz val="9"/>
            <color indexed="81"/>
            <rFont val="Arial"/>
            <family val="2"/>
            <charset val="238"/>
          </rPr>
          <t xml:space="preserve">napełnienie przepustu przy przepływie </t>
        </r>
        <r>
          <rPr>
            <i/>
            <sz val="9"/>
            <color indexed="81"/>
            <rFont val="Arial"/>
            <family val="2"/>
            <charset val="238"/>
          </rPr>
          <t>Q</t>
        </r>
        <r>
          <rPr>
            <i/>
            <vertAlign val="subscript"/>
            <sz val="9"/>
            <color indexed="81"/>
            <rFont val="Arial"/>
            <family val="2"/>
            <charset val="238"/>
          </rPr>
          <t>m</t>
        </r>
      </text>
    </comment>
    <comment ref="A34" authorId="0" shapeId="0">
      <text>
        <r>
          <rPr>
            <sz val="9"/>
            <color indexed="81"/>
            <rFont val="Arial"/>
            <family val="2"/>
            <charset val="238"/>
          </rPr>
          <t>wartość wyznaczona metodą kolejnych założeń</t>
        </r>
      </text>
    </comment>
    <comment ref="A42" authorId="0" shapeId="0">
      <text>
        <r>
          <rPr>
            <sz val="9"/>
            <color indexed="81"/>
            <rFont val="Arial"/>
            <family val="2"/>
            <charset val="238"/>
          </rPr>
          <t xml:space="preserve">wartość wyznaczona metodą kolejnych założeń
</t>
        </r>
      </text>
    </comment>
    <comment ref="A49" authorId="0" shapeId="0">
      <text>
        <r>
          <rPr>
            <sz val="9"/>
            <color indexed="81"/>
            <rFont val="Tahoma"/>
            <family val="2"/>
            <charset val="238"/>
          </rPr>
          <t xml:space="preserve">wartość wyznaczona metodą kolejnych założeń
</t>
        </r>
      </text>
    </comment>
    <comment ref="A54" authorId="0" shapeId="0">
      <text>
        <r>
          <rPr>
            <sz val="9"/>
            <color indexed="81"/>
            <rFont val="Arial"/>
            <family val="2"/>
            <charset val="238"/>
          </rPr>
          <t xml:space="preserve">wydatek dla przepustu typu 2
</t>
        </r>
      </text>
    </comment>
  </commentList>
</comments>
</file>

<file path=xl/comments4.xml><?xml version="1.0" encoding="utf-8"?>
<comments xmlns="http://schemas.openxmlformats.org/spreadsheetml/2006/main">
  <authors>
    <author>Michał Kubrak</author>
  </authors>
  <commentList>
    <comment ref="Q10" authorId="0" shapeId="0">
      <text>
        <r>
          <rPr>
            <sz val="10"/>
            <color indexed="81"/>
            <rFont val="Arial"/>
            <family val="2"/>
            <charset val="238"/>
          </rPr>
          <t xml:space="preserve">spadek hydrauliczny przy przepływie </t>
        </r>
        <r>
          <rPr>
            <i/>
            <sz val="10"/>
            <color indexed="81"/>
            <rFont val="Arial"/>
            <family val="2"/>
            <charset val="238"/>
          </rPr>
          <t>Q</t>
        </r>
        <r>
          <rPr>
            <i/>
            <vertAlign val="subscript"/>
            <sz val="10"/>
            <color indexed="81"/>
            <rFont val="Arial"/>
            <family val="2"/>
            <charset val="238"/>
          </rPr>
          <t>m</t>
        </r>
        <r>
          <rPr>
            <sz val="10"/>
            <color indexed="81"/>
            <rFont val="Arial"/>
            <family val="2"/>
            <charset val="238"/>
          </rPr>
          <t xml:space="preserve"> wypełniającym cały przekrój przewodu przepustu</t>
        </r>
      </text>
    </comment>
    <comment ref="A25" authorId="0" shapeId="0">
      <text>
        <r>
          <rPr>
            <sz val="9"/>
            <color indexed="81"/>
            <rFont val="Arial"/>
            <family val="2"/>
            <charset val="238"/>
          </rPr>
          <t xml:space="preserve">głębokość miarodajna - napełnienie koryta przy przepływie </t>
        </r>
        <r>
          <rPr>
            <i/>
            <sz val="9"/>
            <color indexed="81"/>
            <rFont val="Arial"/>
            <family val="2"/>
            <charset val="238"/>
          </rPr>
          <t>Q</t>
        </r>
        <r>
          <rPr>
            <i/>
            <vertAlign val="subscript"/>
            <sz val="9"/>
            <color indexed="81"/>
            <rFont val="Arial"/>
            <family val="2"/>
            <charset val="238"/>
          </rPr>
          <t>m</t>
        </r>
        <r>
          <rPr>
            <i/>
            <sz val="9"/>
            <color indexed="81"/>
            <rFont val="Arial"/>
            <family val="2"/>
            <charset val="238"/>
          </rPr>
          <t xml:space="preserve">
</t>
        </r>
        <r>
          <rPr>
            <sz val="9"/>
            <color indexed="81"/>
            <rFont val="Arial"/>
            <family val="2"/>
            <charset val="238"/>
          </rPr>
          <t xml:space="preserve">w przypadku gdy </t>
        </r>
        <r>
          <rPr>
            <i/>
            <sz val="9"/>
            <color indexed="81"/>
            <rFont val="Arial"/>
            <family val="2"/>
            <charset val="238"/>
          </rPr>
          <t>p</t>
        </r>
        <r>
          <rPr>
            <sz val="9"/>
            <color indexed="81"/>
            <rFont val="Arial"/>
            <family val="2"/>
            <charset val="238"/>
          </rPr>
          <t xml:space="preserve"> = 0, </t>
        </r>
        <r>
          <rPr>
            <i/>
            <sz val="9"/>
            <color indexed="81"/>
            <rFont val="Arial"/>
            <family val="2"/>
            <charset val="238"/>
          </rPr>
          <t>h</t>
        </r>
        <r>
          <rPr>
            <i/>
            <vertAlign val="subscript"/>
            <sz val="9"/>
            <color indexed="81"/>
            <rFont val="Arial"/>
            <family val="2"/>
            <charset val="238"/>
          </rPr>
          <t>m</t>
        </r>
        <r>
          <rPr>
            <sz val="9"/>
            <color indexed="81"/>
            <rFont val="Arial"/>
            <family val="2"/>
            <charset val="238"/>
          </rPr>
          <t xml:space="preserve"> = </t>
        </r>
        <r>
          <rPr>
            <i/>
            <sz val="9"/>
            <color indexed="81"/>
            <rFont val="Arial"/>
            <family val="2"/>
            <charset val="238"/>
          </rPr>
          <t>H</t>
        </r>
        <r>
          <rPr>
            <vertAlign val="subscript"/>
            <sz val="9"/>
            <color indexed="81"/>
            <rFont val="Arial"/>
            <family val="2"/>
            <charset val="238"/>
          </rPr>
          <t>2</t>
        </r>
        <r>
          <rPr>
            <sz val="9"/>
            <color indexed="81"/>
            <rFont val="Arial"/>
            <family val="2"/>
            <charset val="238"/>
          </rPr>
          <t>.</t>
        </r>
      </text>
    </comment>
    <comment ref="A26" authorId="0" shapeId="0">
      <text>
        <r>
          <rPr>
            <sz val="9"/>
            <color indexed="81"/>
            <rFont val="Arial"/>
            <family val="2"/>
            <charset val="238"/>
          </rPr>
          <t xml:space="preserve">wartość wyznaczona metodą kolejnych założeń
</t>
        </r>
      </text>
    </comment>
    <comment ref="B26" authorId="0" shapeId="0">
      <text>
        <r>
          <rPr>
            <sz val="9"/>
            <color indexed="81"/>
            <rFont val="Arial"/>
            <family val="2"/>
            <charset val="238"/>
          </rPr>
          <t xml:space="preserve">pole trapezu o wysokości </t>
        </r>
        <r>
          <rPr>
            <i/>
            <sz val="9"/>
            <color indexed="81"/>
            <rFont val="Arial"/>
            <family val="2"/>
            <charset val="238"/>
          </rPr>
          <t>h</t>
        </r>
        <r>
          <rPr>
            <i/>
            <vertAlign val="subscript"/>
            <sz val="9"/>
            <color indexed="81"/>
            <rFont val="Arial"/>
            <family val="2"/>
            <charset val="238"/>
          </rPr>
          <t>m</t>
        </r>
        <r>
          <rPr>
            <sz val="9"/>
            <color indexed="81"/>
            <rFont val="Arial"/>
            <family val="2"/>
            <charset val="238"/>
          </rPr>
          <t xml:space="preserve"> i nachyleniu ramion 1:</t>
        </r>
        <r>
          <rPr>
            <i/>
            <sz val="9"/>
            <color indexed="81"/>
            <rFont val="Arial"/>
            <family val="2"/>
            <charset val="238"/>
          </rPr>
          <t>m</t>
        </r>
        <r>
          <rPr>
            <sz val="9"/>
            <color indexed="81"/>
            <rFont val="Arial"/>
            <family val="2"/>
            <charset val="238"/>
          </rPr>
          <t xml:space="preserve">
</t>
        </r>
      </text>
    </comment>
    <comment ref="A33" authorId="0" shapeId="0">
      <text>
        <r>
          <rPr>
            <sz val="9"/>
            <color indexed="81"/>
            <rFont val="Arial"/>
            <family val="2"/>
            <charset val="238"/>
          </rPr>
          <t xml:space="preserve">napełnienie przepustu przy przepływie </t>
        </r>
        <r>
          <rPr>
            <i/>
            <sz val="9"/>
            <color indexed="81"/>
            <rFont val="Arial"/>
            <family val="2"/>
            <charset val="238"/>
          </rPr>
          <t>Q</t>
        </r>
        <r>
          <rPr>
            <i/>
            <vertAlign val="subscript"/>
            <sz val="9"/>
            <color indexed="81"/>
            <rFont val="Arial"/>
            <family val="2"/>
            <charset val="238"/>
          </rPr>
          <t>m</t>
        </r>
      </text>
    </comment>
    <comment ref="A34" authorId="0" shapeId="0">
      <text>
        <r>
          <rPr>
            <sz val="9"/>
            <color indexed="81"/>
            <rFont val="Arial"/>
            <family val="2"/>
            <charset val="238"/>
          </rPr>
          <t>wartość wyznaczona metodą kolejnych założeń</t>
        </r>
      </text>
    </comment>
    <comment ref="A42" authorId="0" shapeId="0">
      <text>
        <r>
          <rPr>
            <sz val="9"/>
            <color indexed="81"/>
            <rFont val="Arial"/>
            <family val="2"/>
            <charset val="238"/>
          </rPr>
          <t xml:space="preserve">wartość wyznaczona metodą kolejnych założeń
</t>
        </r>
      </text>
    </comment>
    <comment ref="A49" authorId="0" shapeId="0">
      <text>
        <r>
          <rPr>
            <sz val="9"/>
            <color indexed="81"/>
            <rFont val="Tahoma"/>
            <family val="2"/>
            <charset val="238"/>
          </rPr>
          <t xml:space="preserve">wartość wyznaczona metodą kolejnych założeń
</t>
        </r>
      </text>
    </comment>
    <comment ref="A55" authorId="0" shapeId="0">
      <text>
        <r>
          <rPr>
            <sz val="9"/>
            <color indexed="81"/>
            <rFont val="Arial"/>
            <family val="2"/>
            <charset val="238"/>
          </rPr>
          <t xml:space="preserve">wydatek dla przepustu typu 3
</t>
        </r>
      </text>
    </comment>
  </commentList>
</comments>
</file>

<file path=xl/comments5.xml><?xml version="1.0" encoding="utf-8"?>
<comments xmlns="http://schemas.openxmlformats.org/spreadsheetml/2006/main">
  <authors>
    <author>Michał Kubrak</author>
  </authors>
  <commentList>
    <comment ref="Q10" authorId="0" shapeId="0">
      <text>
        <r>
          <rPr>
            <sz val="10"/>
            <color indexed="81"/>
            <rFont val="Arial"/>
            <family val="2"/>
            <charset val="238"/>
          </rPr>
          <t xml:space="preserve">spadek hydrauliczny przy przepływie </t>
        </r>
        <r>
          <rPr>
            <i/>
            <sz val="10"/>
            <color indexed="81"/>
            <rFont val="Arial"/>
            <family val="2"/>
            <charset val="238"/>
          </rPr>
          <t>Q</t>
        </r>
        <r>
          <rPr>
            <i/>
            <vertAlign val="subscript"/>
            <sz val="10"/>
            <color indexed="81"/>
            <rFont val="Arial"/>
            <family val="2"/>
            <charset val="238"/>
          </rPr>
          <t>m</t>
        </r>
        <r>
          <rPr>
            <sz val="10"/>
            <color indexed="81"/>
            <rFont val="Arial"/>
            <family val="2"/>
            <charset val="238"/>
          </rPr>
          <t xml:space="preserve"> wypełniającym cały przekrój przewodu przepustu</t>
        </r>
      </text>
    </comment>
    <comment ref="A25" authorId="0" shapeId="0">
      <text>
        <r>
          <rPr>
            <sz val="9"/>
            <color indexed="81"/>
            <rFont val="Arial"/>
            <family val="2"/>
            <charset val="238"/>
          </rPr>
          <t xml:space="preserve">głębokość miarodajna - napełnienie koryta przy przepływie </t>
        </r>
        <r>
          <rPr>
            <i/>
            <sz val="9"/>
            <color indexed="81"/>
            <rFont val="Arial"/>
            <family val="2"/>
            <charset val="238"/>
          </rPr>
          <t>Q</t>
        </r>
        <r>
          <rPr>
            <i/>
            <vertAlign val="subscript"/>
            <sz val="9"/>
            <color indexed="81"/>
            <rFont val="Arial"/>
            <family val="2"/>
            <charset val="238"/>
          </rPr>
          <t>m</t>
        </r>
        <r>
          <rPr>
            <i/>
            <sz val="9"/>
            <color indexed="81"/>
            <rFont val="Arial"/>
            <family val="2"/>
            <charset val="238"/>
          </rPr>
          <t xml:space="preserve">
</t>
        </r>
        <r>
          <rPr>
            <sz val="9"/>
            <color indexed="81"/>
            <rFont val="Arial"/>
            <family val="2"/>
            <charset val="238"/>
          </rPr>
          <t xml:space="preserve">w przypadku gdy </t>
        </r>
        <r>
          <rPr>
            <i/>
            <sz val="9"/>
            <color indexed="81"/>
            <rFont val="Arial"/>
            <family val="2"/>
            <charset val="238"/>
          </rPr>
          <t>p</t>
        </r>
        <r>
          <rPr>
            <sz val="9"/>
            <color indexed="81"/>
            <rFont val="Arial"/>
            <family val="2"/>
            <charset val="238"/>
          </rPr>
          <t xml:space="preserve"> = 0, </t>
        </r>
        <r>
          <rPr>
            <i/>
            <sz val="9"/>
            <color indexed="81"/>
            <rFont val="Arial"/>
            <family val="2"/>
            <charset val="238"/>
          </rPr>
          <t>h</t>
        </r>
        <r>
          <rPr>
            <i/>
            <vertAlign val="subscript"/>
            <sz val="9"/>
            <color indexed="81"/>
            <rFont val="Arial"/>
            <family val="2"/>
            <charset val="238"/>
          </rPr>
          <t>m</t>
        </r>
        <r>
          <rPr>
            <sz val="9"/>
            <color indexed="81"/>
            <rFont val="Arial"/>
            <family val="2"/>
            <charset val="238"/>
          </rPr>
          <t xml:space="preserve"> = </t>
        </r>
        <r>
          <rPr>
            <i/>
            <sz val="9"/>
            <color indexed="81"/>
            <rFont val="Arial"/>
            <family val="2"/>
            <charset val="238"/>
          </rPr>
          <t>H</t>
        </r>
        <r>
          <rPr>
            <vertAlign val="subscript"/>
            <sz val="9"/>
            <color indexed="81"/>
            <rFont val="Arial"/>
            <family val="2"/>
            <charset val="238"/>
          </rPr>
          <t>2</t>
        </r>
        <r>
          <rPr>
            <sz val="9"/>
            <color indexed="81"/>
            <rFont val="Arial"/>
            <family val="2"/>
            <charset val="238"/>
          </rPr>
          <t>.</t>
        </r>
      </text>
    </comment>
    <comment ref="A26" authorId="0" shapeId="0">
      <text>
        <r>
          <rPr>
            <sz val="9"/>
            <color indexed="81"/>
            <rFont val="Arial"/>
            <family val="2"/>
            <charset val="238"/>
          </rPr>
          <t xml:space="preserve">wartość wyznaczona metodą kolejnych założeń
</t>
        </r>
      </text>
    </comment>
    <comment ref="B26" authorId="0" shapeId="0">
      <text>
        <r>
          <rPr>
            <sz val="9"/>
            <color indexed="81"/>
            <rFont val="Arial"/>
            <family val="2"/>
            <charset val="238"/>
          </rPr>
          <t xml:space="preserve">pole trapezu o wysokości </t>
        </r>
        <r>
          <rPr>
            <i/>
            <sz val="9"/>
            <color indexed="81"/>
            <rFont val="Arial"/>
            <family val="2"/>
            <charset val="238"/>
          </rPr>
          <t>h</t>
        </r>
        <r>
          <rPr>
            <i/>
            <vertAlign val="subscript"/>
            <sz val="9"/>
            <color indexed="81"/>
            <rFont val="Arial"/>
            <family val="2"/>
            <charset val="238"/>
          </rPr>
          <t>m</t>
        </r>
        <r>
          <rPr>
            <sz val="9"/>
            <color indexed="81"/>
            <rFont val="Arial"/>
            <family val="2"/>
            <charset val="238"/>
          </rPr>
          <t xml:space="preserve"> i nachyleniu ramion 1:</t>
        </r>
        <r>
          <rPr>
            <i/>
            <sz val="9"/>
            <color indexed="81"/>
            <rFont val="Arial"/>
            <family val="2"/>
            <charset val="238"/>
          </rPr>
          <t>m</t>
        </r>
        <r>
          <rPr>
            <sz val="9"/>
            <color indexed="81"/>
            <rFont val="Arial"/>
            <family val="2"/>
            <charset val="238"/>
          </rPr>
          <t xml:space="preserve">
</t>
        </r>
      </text>
    </comment>
    <comment ref="A33" authorId="0" shapeId="0">
      <text>
        <r>
          <rPr>
            <sz val="9"/>
            <color indexed="81"/>
            <rFont val="Arial"/>
            <family val="2"/>
            <charset val="238"/>
          </rPr>
          <t xml:space="preserve">napełnienie przepustu przy przepływie </t>
        </r>
        <r>
          <rPr>
            <i/>
            <sz val="9"/>
            <color indexed="81"/>
            <rFont val="Arial"/>
            <family val="2"/>
            <charset val="238"/>
          </rPr>
          <t>Q</t>
        </r>
        <r>
          <rPr>
            <i/>
            <vertAlign val="subscript"/>
            <sz val="9"/>
            <color indexed="81"/>
            <rFont val="Arial"/>
            <family val="2"/>
            <charset val="238"/>
          </rPr>
          <t>m</t>
        </r>
      </text>
    </comment>
    <comment ref="A34" authorId="0" shapeId="0">
      <text>
        <r>
          <rPr>
            <sz val="9"/>
            <color indexed="81"/>
            <rFont val="Arial"/>
            <family val="2"/>
            <charset val="238"/>
          </rPr>
          <t>wartość wyznaczona metodą kolejnych założeń</t>
        </r>
      </text>
    </comment>
    <comment ref="B41" authorId="0" shapeId="0">
      <text>
        <r>
          <rPr>
            <sz val="9"/>
            <color indexed="81"/>
            <rFont val="Arial"/>
            <family val="2"/>
            <charset val="238"/>
          </rPr>
          <t xml:space="preserve">wartość wyznaczona metodą kolejnych założeń
</t>
        </r>
      </text>
    </comment>
    <comment ref="A44" authorId="0" shapeId="0">
      <text>
        <r>
          <rPr>
            <sz val="9"/>
            <color indexed="81"/>
            <rFont val="Tahoma"/>
            <family val="2"/>
            <charset val="238"/>
          </rPr>
          <t xml:space="preserve">wartość wyznaczona metodą kolejnych założeń
</t>
        </r>
      </text>
    </comment>
    <comment ref="A49" authorId="0" shapeId="0">
      <text>
        <r>
          <rPr>
            <sz val="9"/>
            <color indexed="81"/>
            <rFont val="Arial"/>
            <family val="2"/>
            <charset val="238"/>
          </rPr>
          <t xml:space="preserve">wydatek dla przepustu typu 3
</t>
        </r>
      </text>
    </comment>
  </commentList>
</comments>
</file>

<file path=xl/comments6.xml><?xml version="1.0" encoding="utf-8"?>
<comments xmlns="http://schemas.openxmlformats.org/spreadsheetml/2006/main">
  <authors>
    <author>Michał Kubrak</author>
  </authors>
  <commentList>
    <comment ref="Q10" authorId="0" shapeId="0">
      <text>
        <r>
          <rPr>
            <sz val="10"/>
            <color indexed="81"/>
            <rFont val="Arial"/>
            <family val="2"/>
            <charset val="238"/>
          </rPr>
          <t xml:space="preserve">spadek hydrauliczny przy przepływie </t>
        </r>
        <r>
          <rPr>
            <i/>
            <sz val="10"/>
            <color indexed="81"/>
            <rFont val="Arial"/>
            <family val="2"/>
            <charset val="238"/>
          </rPr>
          <t>Q</t>
        </r>
        <r>
          <rPr>
            <i/>
            <vertAlign val="subscript"/>
            <sz val="10"/>
            <color indexed="81"/>
            <rFont val="Arial"/>
            <family val="2"/>
            <charset val="238"/>
          </rPr>
          <t>m</t>
        </r>
        <r>
          <rPr>
            <sz val="10"/>
            <color indexed="81"/>
            <rFont val="Arial"/>
            <family val="2"/>
            <charset val="238"/>
          </rPr>
          <t xml:space="preserve"> wypełniającym cały przekrój przewodu przepustu</t>
        </r>
      </text>
    </comment>
    <comment ref="A25" authorId="0" shapeId="0">
      <text>
        <r>
          <rPr>
            <sz val="9"/>
            <color indexed="81"/>
            <rFont val="Arial"/>
            <family val="2"/>
            <charset val="238"/>
          </rPr>
          <t xml:space="preserve">głębokość miarodajna - napełnienie koryta przy przepływie </t>
        </r>
        <r>
          <rPr>
            <i/>
            <sz val="9"/>
            <color indexed="81"/>
            <rFont val="Arial"/>
            <family val="2"/>
            <charset val="238"/>
          </rPr>
          <t>Q</t>
        </r>
        <r>
          <rPr>
            <i/>
            <vertAlign val="subscript"/>
            <sz val="9"/>
            <color indexed="81"/>
            <rFont val="Arial"/>
            <family val="2"/>
            <charset val="238"/>
          </rPr>
          <t>m</t>
        </r>
        <r>
          <rPr>
            <i/>
            <sz val="9"/>
            <color indexed="81"/>
            <rFont val="Arial"/>
            <family val="2"/>
            <charset val="238"/>
          </rPr>
          <t xml:space="preserve">
</t>
        </r>
        <r>
          <rPr>
            <sz val="9"/>
            <color indexed="81"/>
            <rFont val="Arial"/>
            <family val="2"/>
            <charset val="238"/>
          </rPr>
          <t xml:space="preserve">w przypadku gdy </t>
        </r>
        <r>
          <rPr>
            <i/>
            <sz val="9"/>
            <color indexed="81"/>
            <rFont val="Arial"/>
            <family val="2"/>
            <charset val="238"/>
          </rPr>
          <t>p</t>
        </r>
        <r>
          <rPr>
            <sz val="9"/>
            <color indexed="81"/>
            <rFont val="Arial"/>
            <family val="2"/>
            <charset val="238"/>
          </rPr>
          <t xml:space="preserve"> = 0, </t>
        </r>
        <r>
          <rPr>
            <i/>
            <sz val="9"/>
            <color indexed="81"/>
            <rFont val="Arial"/>
            <family val="2"/>
            <charset val="238"/>
          </rPr>
          <t>h</t>
        </r>
        <r>
          <rPr>
            <i/>
            <vertAlign val="subscript"/>
            <sz val="9"/>
            <color indexed="81"/>
            <rFont val="Arial"/>
            <family val="2"/>
            <charset val="238"/>
          </rPr>
          <t>m</t>
        </r>
        <r>
          <rPr>
            <sz val="9"/>
            <color indexed="81"/>
            <rFont val="Arial"/>
            <family val="2"/>
            <charset val="238"/>
          </rPr>
          <t xml:space="preserve"> = </t>
        </r>
        <r>
          <rPr>
            <i/>
            <sz val="9"/>
            <color indexed="81"/>
            <rFont val="Arial"/>
            <family val="2"/>
            <charset val="238"/>
          </rPr>
          <t>H</t>
        </r>
        <r>
          <rPr>
            <vertAlign val="subscript"/>
            <sz val="9"/>
            <color indexed="81"/>
            <rFont val="Arial"/>
            <family val="2"/>
            <charset val="238"/>
          </rPr>
          <t>2</t>
        </r>
        <r>
          <rPr>
            <sz val="9"/>
            <color indexed="81"/>
            <rFont val="Arial"/>
            <family val="2"/>
            <charset val="238"/>
          </rPr>
          <t>.</t>
        </r>
      </text>
    </comment>
    <comment ref="A26" authorId="0" shapeId="0">
      <text>
        <r>
          <rPr>
            <sz val="9"/>
            <color indexed="81"/>
            <rFont val="Arial"/>
            <family val="2"/>
            <charset val="238"/>
          </rPr>
          <t xml:space="preserve">wartość wyznaczona metodą kolejnych założeń
</t>
        </r>
      </text>
    </comment>
    <comment ref="B26" authorId="0" shapeId="0">
      <text>
        <r>
          <rPr>
            <sz val="9"/>
            <color indexed="81"/>
            <rFont val="Arial"/>
            <family val="2"/>
            <charset val="238"/>
          </rPr>
          <t xml:space="preserve">pole trapezu o wysokości </t>
        </r>
        <r>
          <rPr>
            <i/>
            <sz val="9"/>
            <color indexed="81"/>
            <rFont val="Arial"/>
            <family val="2"/>
            <charset val="238"/>
          </rPr>
          <t>h</t>
        </r>
        <r>
          <rPr>
            <i/>
            <vertAlign val="subscript"/>
            <sz val="9"/>
            <color indexed="81"/>
            <rFont val="Arial"/>
            <family val="2"/>
            <charset val="238"/>
          </rPr>
          <t>m</t>
        </r>
        <r>
          <rPr>
            <sz val="9"/>
            <color indexed="81"/>
            <rFont val="Arial"/>
            <family val="2"/>
            <charset val="238"/>
          </rPr>
          <t xml:space="preserve"> i nachyleniu ramion 1:</t>
        </r>
        <r>
          <rPr>
            <i/>
            <sz val="9"/>
            <color indexed="81"/>
            <rFont val="Arial"/>
            <family val="2"/>
            <charset val="238"/>
          </rPr>
          <t>m</t>
        </r>
        <r>
          <rPr>
            <sz val="9"/>
            <color indexed="81"/>
            <rFont val="Arial"/>
            <family val="2"/>
            <charset val="238"/>
          </rPr>
          <t xml:space="preserve">
</t>
        </r>
      </text>
    </comment>
    <comment ref="A33" authorId="0" shapeId="0">
      <text>
        <r>
          <rPr>
            <sz val="9"/>
            <color indexed="81"/>
            <rFont val="Arial"/>
            <family val="2"/>
            <charset val="238"/>
          </rPr>
          <t xml:space="preserve">napełnienie przepustu przy przepływie </t>
        </r>
        <r>
          <rPr>
            <i/>
            <sz val="9"/>
            <color indexed="81"/>
            <rFont val="Arial"/>
            <family val="2"/>
            <charset val="238"/>
          </rPr>
          <t>Q</t>
        </r>
        <r>
          <rPr>
            <i/>
            <vertAlign val="subscript"/>
            <sz val="9"/>
            <color indexed="81"/>
            <rFont val="Arial"/>
            <family val="2"/>
            <charset val="238"/>
          </rPr>
          <t>m</t>
        </r>
      </text>
    </comment>
    <comment ref="A34" authorId="0" shapeId="0">
      <text>
        <r>
          <rPr>
            <sz val="9"/>
            <color indexed="81"/>
            <rFont val="Arial"/>
            <family val="2"/>
            <charset val="238"/>
          </rPr>
          <t>wartość wyznaczona metodą kolejnych założeń</t>
        </r>
      </text>
    </comment>
    <comment ref="B41" authorId="0" shapeId="0">
      <text>
        <r>
          <rPr>
            <sz val="9"/>
            <color indexed="81"/>
            <rFont val="Arial"/>
            <family val="2"/>
            <charset val="238"/>
          </rPr>
          <t xml:space="preserve">wartość wyznaczona metodą kolejnych założeń
</t>
        </r>
      </text>
    </comment>
    <comment ref="A44" authorId="0" shapeId="0">
      <text>
        <r>
          <rPr>
            <sz val="9"/>
            <color indexed="81"/>
            <rFont val="Tahoma"/>
            <family val="2"/>
            <charset val="238"/>
          </rPr>
          <t xml:space="preserve">wartość wyznaczona metodą kolejnych założeń
</t>
        </r>
      </text>
    </comment>
    <comment ref="A49" authorId="0" shapeId="0">
      <text>
        <r>
          <rPr>
            <sz val="9"/>
            <color indexed="81"/>
            <rFont val="Arial"/>
            <family val="2"/>
            <charset val="238"/>
          </rPr>
          <t xml:space="preserve">wydatek dla przepustu typu 3
</t>
        </r>
      </text>
    </comment>
  </commentList>
</comments>
</file>

<file path=xl/comments7.xml><?xml version="1.0" encoding="utf-8"?>
<comments xmlns="http://schemas.openxmlformats.org/spreadsheetml/2006/main">
  <authors>
    <author>Michał Kubrak</author>
  </authors>
  <commentList>
    <comment ref="Q10" authorId="0" shapeId="0">
      <text>
        <r>
          <rPr>
            <sz val="10"/>
            <color indexed="81"/>
            <rFont val="Arial"/>
            <family val="2"/>
            <charset val="238"/>
          </rPr>
          <t xml:space="preserve">spadek hydrauliczny przy przepływie </t>
        </r>
        <r>
          <rPr>
            <i/>
            <sz val="10"/>
            <color indexed="81"/>
            <rFont val="Arial"/>
            <family val="2"/>
            <charset val="238"/>
          </rPr>
          <t>Q</t>
        </r>
        <r>
          <rPr>
            <i/>
            <vertAlign val="subscript"/>
            <sz val="10"/>
            <color indexed="81"/>
            <rFont val="Arial"/>
            <family val="2"/>
            <charset val="238"/>
          </rPr>
          <t>m</t>
        </r>
        <r>
          <rPr>
            <sz val="10"/>
            <color indexed="81"/>
            <rFont val="Arial"/>
            <family val="2"/>
            <charset val="238"/>
          </rPr>
          <t xml:space="preserve"> wypełniającym cały przekrój przewodu przepustu</t>
        </r>
      </text>
    </comment>
    <comment ref="A25" authorId="0" shapeId="0">
      <text>
        <r>
          <rPr>
            <sz val="9"/>
            <color indexed="81"/>
            <rFont val="Arial"/>
            <family val="2"/>
            <charset val="238"/>
          </rPr>
          <t xml:space="preserve">głębokość miarodajna - napełnienie koryta przy przepływie </t>
        </r>
        <r>
          <rPr>
            <i/>
            <sz val="9"/>
            <color indexed="81"/>
            <rFont val="Arial"/>
            <family val="2"/>
            <charset val="238"/>
          </rPr>
          <t>Q</t>
        </r>
        <r>
          <rPr>
            <i/>
            <vertAlign val="subscript"/>
            <sz val="9"/>
            <color indexed="81"/>
            <rFont val="Arial"/>
            <family val="2"/>
            <charset val="238"/>
          </rPr>
          <t>m</t>
        </r>
        <r>
          <rPr>
            <i/>
            <sz val="9"/>
            <color indexed="81"/>
            <rFont val="Arial"/>
            <family val="2"/>
            <charset val="238"/>
          </rPr>
          <t xml:space="preserve">
</t>
        </r>
        <r>
          <rPr>
            <sz val="9"/>
            <color indexed="81"/>
            <rFont val="Arial"/>
            <family val="2"/>
            <charset val="238"/>
          </rPr>
          <t xml:space="preserve">w przypadku gdy </t>
        </r>
        <r>
          <rPr>
            <i/>
            <sz val="9"/>
            <color indexed="81"/>
            <rFont val="Arial"/>
            <family val="2"/>
            <charset val="238"/>
          </rPr>
          <t>p</t>
        </r>
        <r>
          <rPr>
            <sz val="9"/>
            <color indexed="81"/>
            <rFont val="Arial"/>
            <family val="2"/>
            <charset val="238"/>
          </rPr>
          <t xml:space="preserve"> = 0, </t>
        </r>
        <r>
          <rPr>
            <i/>
            <sz val="9"/>
            <color indexed="81"/>
            <rFont val="Arial"/>
            <family val="2"/>
            <charset val="238"/>
          </rPr>
          <t>h</t>
        </r>
        <r>
          <rPr>
            <i/>
            <vertAlign val="subscript"/>
            <sz val="9"/>
            <color indexed="81"/>
            <rFont val="Arial"/>
            <family val="2"/>
            <charset val="238"/>
          </rPr>
          <t>m</t>
        </r>
        <r>
          <rPr>
            <sz val="9"/>
            <color indexed="81"/>
            <rFont val="Arial"/>
            <family val="2"/>
            <charset val="238"/>
          </rPr>
          <t xml:space="preserve"> = </t>
        </r>
        <r>
          <rPr>
            <i/>
            <sz val="9"/>
            <color indexed="81"/>
            <rFont val="Arial"/>
            <family val="2"/>
            <charset val="238"/>
          </rPr>
          <t>H</t>
        </r>
        <r>
          <rPr>
            <vertAlign val="subscript"/>
            <sz val="9"/>
            <color indexed="81"/>
            <rFont val="Arial"/>
            <family val="2"/>
            <charset val="238"/>
          </rPr>
          <t>2</t>
        </r>
        <r>
          <rPr>
            <sz val="9"/>
            <color indexed="81"/>
            <rFont val="Arial"/>
            <family val="2"/>
            <charset val="238"/>
          </rPr>
          <t>.</t>
        </r>
      </text>
    </comment>
    <comment ref="A26" authorId="0" shapeId="0">
      <text>
        <r>
          <rPr>
            <sz val="9"/>
            <color indexed="81"/>
            <rFont val="Arial"/>
            <family val="2"/>
            <charset val="238"/>
          </rPr>
          <t xml:space="preserve">wartość wyznaczona metodą kolejnych założeń
</t>
        </r>
      </text>
    </comment>
    <comment ref="B26" authorId="0" shapeId="0">
      <text>
        <r>
          <rPr>
            <sz val="9"/>
            <color indexed="81"/>
            <rFont val="Arial"/>
            <family val="2"/>
            <charset val="238"/>
          </rPr>
          <t xml:space="preserve">pole trapezu o wysokości </t>
        </r>
        <r>
          <rPr>
            <i/>
            <sz val="9"/>
            <color indexed="81"/>
            <rFont val="Arial"/>
            <family val="2"/>
            <charset val="238"/>
          </rPr>
          <t>h</t>
        </r>
        <r>
          <rPr>
            <i/>
            <vertAlign val="subscript"/>
            <sz val="9"/>
            <color indexed="81"/>
            <rFont val="Arial"/>
            <family val="2"/>
            <charset val="238"/>
          </rPr>
          <t>m</t>
        </r>
        <r>
          <rPr>
            <sz val="9"/>
            <color indexed="81"/>
            <rFont val="Arial"/>
            <family val="2"/>
            <charset val="238"/>
          </rPr>
          <t xml:space="preserve"> i nachyleniu ramion 1:</t>
        </r>
        <r>
          <rPr>
            <i/>
            <sz val="9"/>
            <color indexed="81"/>
            <rFont val="Arial"/>
            <family val="2"/>
            <charset val="238"/>
          </rPr>
          <t>m</t>
        </r>
        <r>
          <rPr>
            <sz val="9"/>
            <color indexed="81"/>
            <rFont val="Arial"/>
            <family val="2"/>
            <charset val="238"/>
          </rPr>
          <t xml:space="preserve">
</t>
        </r>
      </text>
    </comment>
    <comment ref="A33" authorId="0" shapeId="0">
      <text>
        <r>
          <rPr>
            <sz val="9"/>
            <color indexed="81"/>
            <rFont val="Arial"/>
            <family val="2"/>
            <charset val="238"/>
          </rPr>
          <t xml:space="preserve">napełnienie przepustu przy przepływie </t>
        </r>
        <r>
          <rPr>
            <i/>
            <sz val="9"/>
            <color indexed="81"/>
            <rFont val="Arial"/>
            <family val="2"/>
            <charset val="238"/>
          </rPr>
          <t>Q</t>
        </r>
        <r>
          <rPr>
            <i/>
            <vertAlign val="subscript"/>
            <sz val="9"/>
            <color indexed="81"/>
            <rFont val="Arial"/>
            <family val="2"/>
            <charset val="238"/>
          </rPr>
          <t>m</t>
        </r>
      </text>
    </comment>
    <comment ref="A34" authorId="0" shapeId="0">
      <text>
        <r>
          <rPr>
            <sz val="9"/>
            <color indexed="81"/>
            <rFont val="Arial"/>
            <family val="2"/>
            <charset val="238"/>
          </rPr>
          <t>wartość wyznaczona metodą kolejnych założeń</t>
        </r>
      </text>
    </comment>
    <comment ref="A42" authorId="0" shapeId="0">
      <text>
        <r>
          <rPr>
            <sz val="9"/>
            <color indexed="81"/>
            <rFont val="Arial"/>
            <family val="2"/>
            <charset val="238"/>
          </rPr>
          <t xml:space="preserve">wartość wyznaczona metodą kolejnych założeń
</t>
        </r>
      </text>
    </comment>
    <comment ref="A49" authorId="0" shapeId="0">
      <text>
        <r>
          <rPr>
            <sz val="9"/>
            <color indexed="81"/>
            <rFont val="Tahoma"/>
            <family val="2"/>
            <charset val="238"/>
          </rPr>
          <t xml:space="preserve">wartość wyznaczona metodą kolejnych założeń
</t>
        </r>
      </text>
    </comment>
    <comment ref="A53" authorId="0" shapeId="0">
      <text>
        <r>
          <rPr>
            <sz val="9"/>
            <color indexed="81"/>
            <rFont val="Arial"/>
            <family val="2"/>
            <charset val="238"/>
          </rPr>
          <t xml:space="preserve">wydatek dla przepustu typu 3
</t>
        </r>
      </text>
    </comment>
  </commentList>
</comments>
</file>

<file path=xl/comments8.xml><?xml version="1.0" encoding="utf-8"?>
<comments xmlns="http://schemas.openxmlformats.org/spreadsheetml/2006/main">
  <authors>
    <author>Michał Kubrak</author>
  </authors>
  <commentList>
    <comment ref="A13" authorId="0" shapeId="0">
      <text>
        <r>
          <rPr>
            <sz val="9"/>
            <color indexed="81"/>
            <rFont val="Arial"/>
            <family val="2"/>
            <charset val="238"/>
          </rPr>
          <t xml:space="preserve">napełnienie przepustu przy przepływie </t>
        </r>
        <r>
          <rPr>
            <i/>
            <sz val="9"/>
            <color indexed="81"/>
            <rFont val="Arial"/>
            <family val="2"/>
            <charset val="238"/>
          </rPr>
          <t>Q</t>
        </r>
        <r>
          <rPr>
            <i/>
            <vertAlign val="subscript"/>
            <sz val="9"/>
            <color indexed="81"/>
            <rFont val="Arial"/>
            <family val="2"/>
            <charset val="238"/>
          </rPr>
          <t>m</t>
        </r>
      </text>
    </comment>
    <comment ref="A14" authorId="0" shapeId="0">
      <text>
        <r>
          <rPr>
            <sz val="10"/>
            <color indexed="81"/>
            <rFont val="Arial"/>
            <family val="2"/>
            <charset val="238"/>
          </rPr>
          <t>wartość wyznaczona metodą kolejnych założeń</t>
        </r>
      </text>
    </comment>
    <comment ref="A30" authorId="0" shapeId="0">
      <text>
        <r>
          <rPr>
            <sz val="9"/>
            <color indexed="81"/>
            <rFont val="Arial"/>
            <family val="2"/>
            <charset val="238"/>
          </rPr>
          <t xml:space="preserve">wartość wyznaczona metodą kolejnych założeń
</t>
        </r>
      </text>
    </comment>
  </commentList>
</comments>
</file>

<file path=xl/sharedStrings.xml><?xml version="1.0" encoding="utf-8"?>
<sst xmlns="http://schemas.openxmlformats.org/spreadsheetml/2006/main" count="716" uniqueCount="109">
  <si>
    <t>Przepust hydrauliczny - typ 4</t>
  </si>
  <si>
    <t>Dane projektowe</t>
  </si>
  <si>
    <t xml:space="preserve">∙ dopuszczalna maksymalna rzędna zwierciadła wody miarodajnej spiętrzonej przed przepustem </t>
  </si>
  <si>
    <t>m n.p.m.</t>
  </si>
  <si>
    <t>∙ rzędna dna cieku przed wlotem przepustu</t>
  </si>
  <si>
    <t xml:space="preserve">∙ szerokość dna koryta </t>
  </si>
  <si>
    <t>m</t>
  </si>
  <si>
    <t>∙ współczynnik szorstkości koryta cieku</t>
  </si>
  <si>
    <t>∙ głębokość koryta</t>
  </si>
  <si>
    <t>∙ spadek podłużny cieku</t>
  </si>
  <si>
    <t>∙ przepływ miarodajny</t>
  </si>
  <si>
    <t>Wyznaczenie głębokości miarodajnej</t>
  </si>
  <si>
    <t>∙ parametry przepływu strumienia w stanowisku dolnym przy przepływie miarodajnym</t>
  </si>
  <si>
    <t>∙ współczynnik Coriolisa</t>
  </si>
  <si>
    <t>∙ porównanie obliczonego i miarodajnego natężenia przepływu</t>
  </si>
  <si>
    <t>Wyznaczenie głębokości normalnej</t>
  </si>
  <si>
    <t xml:space="preserve"> </t>
  </si>
  <si>
    <t>Przepust hydrauliczny - typ 5</t>
  </si>
  <si>
    <t>Przepust hydrauliczny - typ 6</t>
  </si>
  <si>
    <t>Wyznaczenie głębokości krytycznej</t>
  </si>
  <si>
    <t>Przepust hydrauliczny - typ 3</t>
  </si>
  <si>
    <t>Przepust hydrauliczny - typ 2</t>
  </si>
  <si>
    <t>Przepust hydrauliczny - typ 1</t>
  </si>
  <si>
    <r>
      <rPr>
        <i/>
        <sz val="10"/>
        <color theme="1"/>
        <rFont val="Arial"/>
        <family val="2"/>
        <charset val="238"/>
      </rPr>
      <t>α</t>
    </r>
    <r>
      <rPr>
        <sz val="10"/>
        <color theme="1"/>
        <rFont val="Arial"/>
        <family val="2"/>
        <charset val="238"/>
      </rPr>
      <t xml:space="preserve"> =</t>
    </r>
  </si>
  <si>
    <t>Dobór kształtu i wymiarów przepustu</t>
  </si>
  <si>
    <t>%</t>
  </si>
  <si>
    <t>∙ sprawdzenie warunku ruchu krytycznego</t>
  </si>
  <si>
    <t>Wyznaczenie wzniesienia wody przed przepustem</t>
  </si>
  <si>
    <r>
      <rPr>
        <i/>
        <sz val="10"/>
        <color theme="1"/>
        <rFont val="Arial"/>
        <family val="2"/>
        <charset val="238"/>
      </rPr>
      <t>n</t>
    </r>
    <r>
      <rPr>
        <i/>
        <vertAlign val="subscript"/>
        <sz val="10"/>
        <color theme="1"/>
        <rFont val="Arial"/>
        <family val="2"/>
        <charset val="238"/>
      </rPr>
      <t>d</t>
    </r>
    <r>
      <rPr>
        <sz val="10"/>
        <color theme="1"/>
        <rFont val="Arial"/>
        <family val="2"/>
        <charset val="238"/>
      </rPr>
      <t xml:space="preserve"> =</t>
    </r>
  </si>
  <si>
    <r>
      <rPr>
        <i/>
        <sz val="10"/>
        <color theme="1"/>
        <rFont val="Arial"/>
        <family val="2"/>
        <charset val="238"/>
      </rPr>
      <t>i</t>
    </r>
    <r>
      <rPr>
        <i/>
        <vertAlign val="subscript"/>
        <sz val="10"/>
        <color theme="1"/>
        <rFont val="Arial"/>
        <family val="2"/>
        <charset val="238"/>
      </rPr>
      <t>d</t>
    </r>
    <r>
      <rPr>
        <sz val="10"/>
        <color theme="1"/>
        <rFont val="Arial"/>
        <family val="2"/>
        <charset val="238"/>
      </rPr>
      <t xml:space="preserve"> =</t>
    </r>
  </si>
  <si>
    <r>
      <rPr>
        <i/>
        <sz val="10"/>
        <color theme="1"/>
        <rFont val="Arial"/>
        <family val="2"/>
        <charset val="238"/>
      </rPr>
      <t>m</t>
    </r>
    <r>
      <rPr>
        <sz val="10"/>
        <color theme="1"/>
        <rFont val="Arial"/>
        <family val="2"/>
        <charset val="238"/>
      </rPr>
      <t xml:space="preserve"> = </t>
    </r>
  </si>
  <si>
    <r>
      <rPr>
        <i/>
        <sz val="10"/>
        <color theme="1"/>
        <rFont val="Arial"/>
        <family val="2"/>
        <charset val="238"/>
      </rPr>
      <t>Q</t>
    </r>
    <r>
      <rPr>
        <i/>
        <vertAlign val="subscript"/>
        <sz val="10"/>
        <color theme="1"/>
        <rFont val="Arial"/>
        <family val="2"/>
        <charset val="238"/>
      </rPr>
      <t>m</t>
    </r>
    <r>
      <rPr>
        <sz val="10"/>
        <color theme="1"/>
        <rFont val="Arial"/>
        <family val="2"/>
        <charset val="238"/>
      </rPr>
      <t xml:space="preserve"> =</t>
    </r>
  </si>
  <si>
    <r>
      <rPr>
        <i/>
        <sz val="10"/>
        <color theme="1"/>
        <rFont val="Arial"/>
        <family val="2"/>
        <charset val="238"/>
      </rPr>
      <t>h</t>
    </r>
    <r>
      <rPr>
        <i/>
        <vertAlign val="subscript"/>
        <sz val="10"/>
        <color theme="1"/>
        <rFont val="Arial"/>
        <family val="2"/>
        <charset val="238"/>
      </rPr>
      <t>m</t>
    </r>
    <r>
      <rPr>
        <sz val="10"/>
        <color theme="1"/>
        <rFont val="Arial"/>
        <family val="2"/>
        <charset val="238"/>
      </rPr>
      <t xml:space="preserve"> [m]</t>
    </r>
  </si>
  <si>
    <r>
      <rPr>
        <i/>
        <sz val="10"/>
        <color theme="1"/>
        <rFont val="Arial"/>
        <family val="2"/>
        <charset val="238"/>
      </rPr>
      <t>B</t>
    </r>
    <r>
      <rPr>
        <i/>
        <vertAlign val="subscript"/>
        <sz val="10"/>
        <color theme="1"/>
        <rFont val="Arial"/>
        <family val="2"/>
        <charset val="238"/>
      </rPr>
      <t>m</t>
    </r>
    <r>
      <rPr>
        <sz val="10"/>
        <color theme="1"/>
        <rFont val="Arial"/>
        <family val="2"/>
        <charset val="238"/>
      </rPr>
      <t xml:space="preserve"> [m]</t>
    </r>
  </si>
  <si>
    <r>
      <rPr>
        <i/>
        <sz val="10"/>
        <color theme="1"/>
        <rFont val="Arial"/>
        <family val="2"/>
        <charset val="238"/>
      </rPr>
      <t>O</t>
    </r>
    <r>
      <rPr>
        <i/>
        <vertAlign val="subscript"/>
        <sz val="10"/>
        <color theme="1"/>
        <rFont val="Arial"/>
        <family val="2"/>
        <charset val="238"/>
      </rPr>
      <t>m</t>
    </r>
    <r>
      <rPr>
        <sz val="10"/>
        <color theme="1"/>
        <rFont val="Arial"/>
        <family val="2"/>
        <charset val="238"/>
      </rPr>
      <t xml:space="preserve"> [m]</t>
    </r>
  </si>
  <si>
    <r>
      <rPr>
        <i/>
        <sz val="10"/>
        <color theme="1"/>
        <rFont val="Arial"/>
        <family val="2"/>
        <charset val="238"/>
      </rPr>
      <t>R</t>
    </r>
    <r>
      <rPr>
        <i/>
        <vertAlign val="subscript"/>
        <sz val="10"/>
        <color theme="1"/>
        <rFont val="Arial"/>
        <family val="2"/>
        <charset val="238"/>
      </rPr>
      <t>hm</t>
    </r>
    <r>
      <rPr>
        <sz val="10"/>
        <color theme="1"/>
        <rFont val="Arial"/>
        <family val="2"/>
        <charset val="238"/>
      </rPr>
      <t xml:space="preserve"> [m]</t>
    </r>
  </si>
  <si>
    <r>
      <rPr>
        <i/>
        <sz val="10"/>
        <color theme="1"/>
        <rFont val="Arial"/>
        <family val="2"/>
        <charset val="238"/>
      </rPr>
      <t>v</t>
    </r>
    <r>
      <rPr>
        <i/>
        <vertAlign val="subscript"/>
        <sz val="10"/>
        <color theme="1"/>
        <rFont val="Arial"/>
        <family val="2"/>
        <charset val="238"/>
      </rPr>
      <t>m</t>
    </r>
    <r>
      <rPr>
        <sz val="10"/>
        <color theme="1"/>
        <rFont val="Arial"/>
        <family val="2"/>
        <charset val="238"/>
      </rPr>
      <t xml:space="preserve"> [m/s]</t>
    </r>
  </si>
  <si>
    <r>
      <t>m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/s</t>
    </r>
  </si>
  <si>
    <r>
      <rPr>
        <i/>
        <sz val="10"/>
        <color theme="1"/>
        <rFont val="Arial"/>
        <family val="2"/>
        <charset val="238"/>
      </rPr>
      <t>h</t>
    </r>
    <r>
      <rPr>
        <i/>
        <vertAlign val="subscript"/>
        <sz val="10"/>
        <color theme="1"/>
        <rFont val="Arial"/>
        <family val="2"/>
        <charset val="238"/>
      </rPr>
      <t>n</t>
    </r>
    <r>
      <rPr>
        <sz val="10"/>
        <color theme="1"/>
        <rFont val="Arial"/>
        <family val="2"/>
        <charset val="238"/>
      </rPr>
      <t xml:space="preserve"> [m]</t>
    </r>
  </si>
  <si>
    <r>
      <t>F</t>
    </r>
    <r>
      <rPr>
        <sz val="10"/>
        <color theme="1"/>
        <rFont val="Arial"/>
        <family val="2"/>
        <charset val="238"/>
      </rPr>
      <t xml:space="preserve"> [m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]</t>
    </r>
  </si>
  <si>
    <r>
      <rPr>
        <i/>
        <sz val="10"/>
        <color theme="1"/>
        <rFont val="Arial"/>
        <family val="2"/>
        <charset val="238"/>
      </rPr>
      <t>F</t>
    </r>
    <r>
      <rPr>
        <i/>
        <vertAlign val="subscript"/>
        <sz val="10"/>
        <color theme="1"/>
        <rFont val="Arial"/>
        <family val="2"/>
        <charset val="238"/>
      </rPr>
      <t>m</t>
    </r>
    <r>
      <rPr>
        <sz val="10"/>
        <color theme="1"/>
        <rFont val="Arial"/>
        <family val="2"/>
        <charset val="238"/>
      </rPr>
      <t xml:space="preserve"> [m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]</t>
    </r>
  </si>
  <si>
    <r>
      <rPr>
        <i/>
        <sz val="10"/>
        <color theme="1"/>
        <rFont val="Arial"/>
        <family val="2"/>
        <charset val="238"/>
      </rPr>
      <t>O</t>
    </r>
    <r>
      <rPr>
        <sz val="10"/>
        <color theme="1"/>
        <rFont val="Arial"/>
        <family val="2"/>
        <charset val="238"/>
      </rPr>
      <t xml:space="preserve"> [m]</t>
    </r>
  </si>
  <si>
    <r>
      <rPr>
        <i/>
        <sz val="10"/>
        <color theme="1"/>
        <rFont val="Arial"/>
        <family val="2"/>
        <charset val="238"/>
      </rPr>
      <t>R</t>
    </r>
    <r>
      <rPr>
        <i/>
        <vertAlign val="subscript"/>
        <sz val="10"/>
        <color theme="1"/>
        <rFont val="Arial"/>
        <family val="2"/>
        <charset val="238"/>
      </rPr>
      <t>h</t>
    </r>
    <r>
      <rPr>
        <sz val="10"/>
        <color theme="1"/>
        <rFont val="Arial"/>
        <family val="2"/>
        <charset val="238"/>
      </rPr>
      <t xml:space="preserve"> [m]</t>
    </r>
  </si>
  <si>
    <r>
      <rPr>
        <i/>
        <sz val="10"/>
        <color theme="1"/>
        <rFont val="Arial"/>
        <family val="2"/>
        <charset val="238"/>
      </rPr>
      <t>v</t>
    </r>
    <r>
      <rPr>
        <sz val="10"/>
        <color theme="1"/>
        <rFont val="Arial"/>
        <family val="2"/>
        <charset val="238"/>
      </rPr>
      <t xml:space="preserve"> [m/s]</t>
    </r>
  </si>
  <si>
    <t>Schemat hydrauliczny przepustu - typ 1</t>
  </si>
  <si>
    <r>
      <rPr>
        <i/>
        <sz val="10"/>
        <color theme="1"/>
        <rFont val="Arial"/>
        <family val="2"/>
        <charset val="238"/>
      </rPr>
      <t>h</t>
    </r>
    <r>
      <rPr>
        <i/>
        <vertAlign val="subscript"/>
        <sz val="10"/>
        <color theme="1"/>
        <rFont val="Arial"/>
        <family val="2"/>
        <charset val="238"/>
      </rPr>
      <t>kr</t>
    </r>
    <r>
      <rPr>
        <sz val="10"/>
        <color theme="1"/>
        <rFont val="Arial"/>
        <family val="2"/>
        <charset val="238"/>
      </rPr>
      <t xml:space="preserve"> [m]</t>
    </r>
  </si>
  <si>
    <r>
      <rPr>
        <i/>
        <sz val="10"/>
        <color theme="1"/>
        <rFont val="Arial"/>
        <family val="2"/>
        <charset val="238"/>
      </rPr>
      <t>F</t>
    </r>
    <r>
      <rPr>
        <i/>
        <vertAlign val="subscript"/>
        <sz val="10"/>
        <color theme="1"/>
        <rFont val="Arial"/>
        <family val="2"/>
        <charset val="238"/>
      </rPr>
      <t>kr</t>
    </r>
    <r>
      <rPr>
        <sz val="10"/>
        <color theme="1"/>
        <rFont val="Arial"/>
        <family val="2"/>
        <charset val="238"/>
      </rPr>
      <t xml:space="preserve"> [m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]</t>
    </r>
  </si>
  <si>
    <r>
      <t>B</t>
    </r>
    <r>
      <rPr>
        <i/>
        <vertAlign val="subscript"/>
        <sz val="10"/>
        <color theme="1"/>
        <rFont val="Arial"/>
        <family val="2"/>
        <charset val="238"/>
      </rPr>
      <t>kr</t>
    </r>
    <r>
      <rPr>
        <sz val="10"/>
        <color theme="1"/>
        <rFont val="Arial"/>
        <family val="2"/>
        <charset val="238"/>
      </rPr>
      <t xml:space="preserve"> [m]</t>
    </r>
  </si>
  <si>
    <r>
      <rPr>
        <i/>
        <sz val="10"/>
        <color theme="1"/>
        <rFont val="Arial"/>
        <family val="2"/>
        <charset val="238"/>
      </rPr>
      <t>H</t>
    </r>
    <r>
      <rPr>
        <vertAlign val="sub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 xml:space="preserve"> = </t>
    </r>
  </si>
  <si>
    <r>
      <rPr>
        <i/>
        <sz val="10"/>
        <color theme="1"/>
        <rFont val="Arial"/>
        <family val="2"/>
        <charset val="238"/>
      </rPr>
      <t>v</t>
    </r>
    <r>
      <rPr>
        <vertAlign val="sub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 xml:space="preserve"> = </t>
    </r>
  </si>
  <si>
    <r>
      <rPr>
        <i/>
        <sz val="10"/>
        <color theme="1"/>
        <rFont val="Arial"/>
        <family val="2"/>
        <charset val="238"/>
      </rPr>
      <t>Q</t>
    </r>
    <r>
      <rPr>
        <i/>
        <vertAlign val="subscript"/>
        <sz val="10"/>
        <color theme="1"/>
        <rFont val="Arial"/>
        <family val="2"/>
        <charset val="238"/>
      </rPr>
      <t>obl</t>
    </r>
    <r>
      <rPr>
        <sz val="10"/>
        <color theme="1"/>
        <rFont val="Arial"/>
        <family val="2"/>
        <charset val="238"/>
      </rPr>
      <t xml:space="preserve"> =</t>
    </r>
  </si>
  <si>
    <r>
      <rPr>
        <i/>
        <sz val="10"/>
        <color theme="1"/>
        <rFont val="Arial"/>
        <family val="2"/>
        <charset val="238"/>
      </rPr>
      <t>δ</t>
    </r>
    <r>
      <rPr>
        <sz val="10"/>
        <color theme="1"/>
        <rFont val="Arial"/>
        <family val="2"/>
        <charset val="238"/>
      </rPr>
      <t xml:space="preserve"> =</t>
    </r>
  </si>
  <si>
    <r>
      <rPr>
        <i/>
        <sz val="10"/>
        <color theme="1"/>
        <rFont val="Arial"/>
        <family val="2"/>
        <charset val="238"/>
      </rPr>
      <t>F</t>
    </r>
    <r>
      <rPr>
        <i/>
        <vertAlign val="subscript"/>
        <sz val="10"/>
        <color theme="1"/>
        <rFont val="Arial"/>
        <family val="2"/>
        <charset val="238"/>
      </rPr>
      <t>kr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/</t>
    </r>
    <r>
      <rPr>
        <i/>
        <sz val="10"/>
        <color theme="1"/>
        <rFont val="Arial"/>
        <family val="2"/>
        <charset val="238"/>
      </rPr>
      <t>B</t>
    </r>
    <r>
      <rPr>
        <i/>
        <vertAlign val="subscript"/>
        <sz val="10"/>
        <color theme="1"/>
        <rFont val="Arial"/>
        <family val="2"/>
        <charset val="238"/>
      </rPr>
      <t>kr</t>
    </r>
    <r>
      <rPr>
        <sz val="10"/>
        <color theme="1"/>
        <rFont val="Arial"/>
        <family val="2"/>
        <charset val="238"/>
      </rPr>
      <t xml:space="preserve"> =</t>
    </r>
  </si>
  <si>
    <r>
      <rPr>
        <i/>
        <sz val="10"/>
        <color theme="1"/>
        <rFont val="Arial"/>
        <family val="2"/>
        <charset val="238"/>
      </rPr>
      <t>αQ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/</t>
    </r>
    <r>
      <rPr>
        <i/>
        <sz val="10"/>
        <color theme="1"/>
        <rFont val="Arial"/>
        <family val="2"/>
        <charset val="238"/>
      </rPr>
      <t>g</t>
    </r>
    <r>
      <rPr>
        <sz val="10"/>
        <color theme="1"/>
        <rFont val="Arial"/>
        <family val="2"/>
        <charset val="238"/>
      </rPr>
      <t xml:space="preserve"> =</t>
    </r>
  </si>
  <si>
    <r>
      <rPr>
        <i/>
        <sz val="10"/>
        <color theme="1"/>
        <rFont val="Arial"/>
        <family val="2"/>
        <charset val="238"/>
      </rPr>
      <t>μ</t>
    </r>
    <r>
      <rPr>
        <sz val="10"/>
        <color theme="1"/>
        <rFont val="Arial"/>
        <family val="2"/>
        <charset val="238"/>
      </rPr>
      <t xml:space="preserve"> =</t>
    </r>
  </si>
  <si>
    <r>
      <rPr>
        <i/>
        <sz val="10"/>
        <color theme="1"/>
        <rFont val="Arial"/>
        <family val="2"/>
        <charset val="238"/>
      </rPr>
      <t>D</t>
    </r>
    <r>
      <rPr>
        <sz val="10"/>
        <color theme="1"/>
        <rFont val="Arial"/>
        <family val="2"/>
        <charset val="238"/>
      </rPr>
      <t xml:space="preserve"> =</t>
    </r>
  </si>
  <si>
    <r>
      <rPr>
        <i/>
        <sz val="10"/>
        <color theme="1"/>
        <rFont val="Arial"/>
        <family val="2"/>
        <charset val="238"/>
      </rPr>
      <t>i</t>
    </r>
    <r>
      <rPr>
        <i/>
        <vertAlign val="subscript"/>
        <sz val="10"/>
        <color theme="1"/>
        <rFont val="Arial"/>
        <family val="2"/>
        <charset val="238"/>
      </rPr>
      <t>p</t>
    </r>
    <r>
      <rPr>
        <sz val="10"/>
        <color theme="1"/>
        <rFont val="Arial"/>
        <family val="2"/>
        <charset val="238"/>
      </rPr>
      <t xml:space="preserve"> =</t>
    </r>
  </si>
  <si>
    <r>
      <rPr>
        <i/>
        <sz val="10"/>
        <color theme="1"/>
        <rFont val="Arial"/>
        <family val="2"/>
        <charset val="238"/>
      </rPr>
      <t>n</t>
    </r>
    <r>
      <rPr>
        <i/>
        <vertAlign val="subscript"/>
        <sz val="10"/>
        <color theme="1"/>
        <rFont val="Arial"/>
        <family val="2"/>
        <charset val="238"/>
      </rPr>
      <t>p</t>
    </r>
    <r>
      <rPr>
        <sz val="10"/>
        <color theme="1"/>
        <rFont val="Arial"/>
        <family val="2"/>
        <charset val="238"/>
      </rPr>
      <t xml:space="preserve"> = </t>
    </r>
  </si>
  <si>
    <r>
      <rPr>
        <i/>
        <sz val="10"/>
        <color theme="1"/>
        <rFont val="Arial"/>
        <family val="2"/>
        <charset val="238"/>
      </rPr>
      <t>L</t>
    </r>
    <r>
      <rPr>
        <i/>
        <vertAlign val="subscript"/>
        <sz val="10"/>
        <color theme="1"/>
        <rFont val="Arial"/>
        <family val="2"/>
        <charset val="238"/>
      </rPr>
      <t>p</t>
    </r>
    <r>
      <rPr>
        <sz val="10"/>
        <color theme="1"/>
        <rFont val="Arial"/>
        <family val="2"/>
        <charset val="238"/>
      </rPr>
      <t xml:space="preserve"> =</t>
    </r>
  </si>
  <si>
    <r>
      <rPr>
        <i/>
        <sz val="10"/>
        <color theme="1"/>
        <rFont val="Arial"/>
        <family val="2"/>
        <charset val="238"/>
      </rPr>
      <t>ζ</t>
    </r>
    <r>
      <rPr>
        <i/>
        <vertAlign val="subscript"/>
        <sz val="10"/>
        <color theme="1"/>
        <rFont val="Arial"/>
        <family val="2"/>
        <charset val="238"/>
      </rPr>
      <t>wl</t>
    </r>
    <r>
      <rPr>
        <sz val="10"/>
        <color theme="1"/>
        <rFont val="Arial"/>
        <family val="2"/>
        <charset val="238"/>
      </rPr>
      <t xml:space="preserve"> =</t>
    </r>
  </si>
  <si>
    <r>
      <rPr>
        <i/>
        <sz val="10"/>
        <color theme="1"/>
        <rFont val="Arial"/>
        <family val="2"/>
        <charset val="238"/>
      </rPr>
      <t xml:space="preserve">z </t>
    </r>
    <r>
      <rPr>
        <sz val="10"/>
        <color theme="1"/>
        <rFont val="Arial"/>
        <family val="2"/>
        <charset val="238"/>
      </rPr>
      <t>=</t>
    </r>
  </si>
  <si>
    <r>
      <rPr>
        <i/>
        <sz val="10"/>
        <color theme="1"/>
        <rFont val="Arial"/>
        <family val="2"/>
        <charset val="238"/>
      </rPr>
      <t>h</t>
    </r>
    <r>
      <rPr>
        <i/>
        <vertAlign val="subscript"/>
        <sz val="10"/>
        <color theme="1"/>
        <rFont val="Arial"/>
        <family val="2"/>
        <charset val="238"/>
      </rPr>
      <t>p</t>
    </r>
    <r>
      <rPr>
        <sz val="10"/>
        <color theme="1"/>
        <rFont val="Arial"/>
        <family val="2"/>
        <charset val="238"/>
      </rPr>
      <t xml:space="preserve"> =</t>
    </r>
  </si>
  <si>
    <r>
      <rPr>
        <i/>
        <sz val="10"/>
        <color theme="1"/>
        <rFont val="Arial"/>
        <family val="2"/>
        <charset val="238"/>
      </rPr>
      <t>H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=</t>
    </r>
  </si>
  <si>
    <r>
      <rPr>
        <i/>
        <sz val="10"/>
        <color theme="1"/>
        <rFont val="Arial"/>
        <family val="2"/>
        <charset val="238"/>
      </rPr>
      <t>i</t>
    </r>
    <r>
      <rPr>
        <i/>
        <vertAlign val="subscript"/>
        <sz val="10"/>
        <color theme="1"/>
        <rFont val="Arial"/>
        <family val="2"/>
        <charset val="238"/>
      </rPr>
      <t>t</t>
    </r>
    <r>
      <rPr>
        <sz val="10"/>
        <color theme="1"/>
        <rFont val="Arial"/>
        <family val="2"/>
        <charset val="238"/>
      </rPr>
      <t xml:space="preserve"> =</t>
    </r>
  </si>
  <si>
    <r>
      <rPr>
        <i/>
        <sz val="10"/>
        <color theme="1"/>
        <rFont val="Arial"/>
        <family val="2"/>
        <charset val="238"/>
      </rPr>
      <t>h</t>
    </r>
    <r>
      <rPr>
        <i/>
        <vertAlign val="subscript"/>
        <sz val="10"/>
        <color theme="1"/>
        <rFont val="Arial"/>
        <family val="2"/>
        <charset val="238"/>
      </rPr>
      <t>n</t>
    </r>
    <r>
      <rPr>
        <sz val="10"/>
        <color theme="1"/>
        <rFont val="Arial"/>
        <family val="2"/>
        <charset val="238"/>
      </rPr>
      <t xml:space="preserve"> =</t>
    </r>
  </si>
  <si>
    <r>
      <rPr>
        <i/>
        <sz val="10"/>
        <color theme="1"/>
        <rFont val="Arial"/>
        <family val="2"/>
        <charset val="238"/>
      </rPr>
      <t>h</t>
    </r>
    <r>
      <rPr>
        <i/>
        <vertAlign val="subscript"/>
        <sz val="10"/>
        <color theme="1"/>
        <rFont val="Arial"/>
        <family val="2"/>
        <charset val="238"/>
      </rPr>
      <t>kr</t>
    </r>
    <r>
      <rPr>
        <sz val="10"/>
        <color theme="1"/>
        <rFont val="Arial"/>
        <family val="2"/>
        <charset val="238"/>
      </rPr>
      <t xml:space="preserve"> =</t>
    </r>
  </si>
  <si>
    <t>Schemat blokowy do ustalenia typu przepustu</t>
  </si>
  <si>
    <t>∙ średnica przepustu</t>
  </si>
  <si>
    <r>
      <t xml:space="preserve">∙ kształt przepustu - </t>
    </r>
    <r>
      <rPr>
        <b/>
        <sz val="10"/>
        <color theme="1"/>
        <rFont val="Arial"/>
        <family val="2"/>
        <charset val="238"/>
      </rPr>
      <t>kołowy</t>
    </r>
  </si>
  <si>
    <r>
      <t xml:space="preserve">∙ wlot do przepustu - </t>
    </r>
    <r>
      <rPr>
        <b/>
        <sz val="10"/>
        <color theme="1"/>
        <rFont val="Arial"/>
        <family val="2"/>
        <charset val="238"/>
      </rPr>
      <t>opływowy</t>
    </r>
  </si>
  <si>
    <t xml:space="preserve">∙ współczynnik straty miejscowej na wlocie </t>
  </si>
  <si>
    <t>∙ współczynnik wydatku</t>
  </si>
  <si>
    <t>∙ spadek przepustu</t>
  </si>
  <si>
    <t>∙ współczynnik szorstkości przepustu</t>
  </si>
  <si>
    <t>∙ długość przepustu</t>
  </si>
  <si>
    <t xml:space="preserve">Sprawdzenie typu przepustu </t>
  </si>
  <si>
    <t>m/s</t>
  </si>
  <si>
    <t>Schemat hydrauliczny przepustu - typ 2</t>
  </si>
  <si>
    <r>
      <rPr>
        <i/>
        <sz val="10"/>
        <color theme="1"/>
        <rFont val="Arial"/>
        <family val="2"/>
        <charset val="238"/>
      </rPr>
      <t>h</t>
    </r>
    <r>
      <rPr>
        <i/>
        <vertAlign val="subscript"/>
        <sz val="10"/>
        <color theme="1"/>
        <rFont val="Arial"/>
        <family val="2"/>
        <charset val="238"/>
      </rPr>
      <t>L</t>
    </r>
    <r>
      <rPr>
        <sz val="10"/>
        <color theme="1"/>
        <rFont val="Arial"/>
        <family val="2"/>
        <charset val="238"/>
      </rPr>
      <t xml:space="preserve"> = </t>
    </r>
  </si>
  <si>
    <r>
      <t xml:space="preserve">∙ wlot do przepustu - </t>
    </r>
    <r>
      <rPr>
        <b/>
        <sz val="10"/>
        <color theme="1"/>
        <rFont val="Arial"/>
        <family val="2"/>
        <charset val="238"/>
      </rPr>
      <t>kołnierzowy</t>
    </r>
  </si>
  <si>
    <t>Schemat hydrauliczny przepustu - typ 3</t>
  </si>
  <si>
    <r>
      <rPr>
        <i/>
        <sz val="10"/>
        <color theme="1"/>
        <rFont val="Arial"/>
        <family val="2"/>
        <charset val="238"/>
      </rPr>
      <t>F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=</t>
    </r>
  </si>
  <si>
    <r>
      <t>m</t>
    </r>
    <r>
      <rPr>
        <vertAlign val="superscript"/>
        <sz val="10"/>
        <color theme="1"/>
        <rFont val="Arial"/>
        <family val="2"/>
        <charset val="238"/>
      </rPr>
      <t>2</t>
    </r>
  </si>
  <si>
    <r>
      <t xml:space="preserve">∙ kształt przepustu - </t>
    </r>
    <r>
      <rPr>
        <b/>
        <sz val="10"/>
        <color theme="1"/>
        <rFont val="Arial"/>
        <family val="2"/>
        <charset val="238"/>
      </rPr>
      <t>prostokątny</t>
    </r>
  </si>
  <si>
    <t>∙ wysokość przepustu</t>
  </si>
  <si>
    <t>∙ szerokość przepustu</t>
  </si>
  <si>
    <t>Schemat hydrauliczny przepustu - typ 4</t>
  </si>
  <si>
    <r>
      <rPr>
        <i/>
        <sz val="10"/>
        <color theme="1"/>
        <rFont val="Arial"/>
        <family val="2"/>
        <charset val="238"/>
      </rPr>
      <t>p</t>
    </r>
    <r>
      <rPr>
        <sz val="10"/>
        <color theme="1"/>
        <rFont val="Arial"/>
        <family val="2"/>
        <charset val="238"/>
      </rPr>
      <t xml:space="preserve"> =</t>
    </r>
  </si>
  <si>
    <r>
      <rPr>
        <i/>
        <sz val="10"/>
        <color theme="1"/>
        <rFont val="Arial"/>
        <family val="2"/>
        <charset val="238"/>
      </rPr>
      <t>b</t>
    </r>
    <r>
      <rPr>
        <i/>
        <vertAlign val="subscript"/>
        <sz val="10"/>
        <color theme="1"/>
        <rFont val="Arial"/>
        <family val="2"/>
        <charset val="238"/>
      </rPr>
      <t>p</t>
    </r>
    <r>
      <rPr>
        <sz val="10"/>
        <color theme="1"/>
        <rFont val="Arial"/>
        <family val="2"/>
        <charset val="238"/>
      </rPr>
      <t xml:space="preserve"> =</t>
    </r>
  </si>
  <si>
    <r>
      <rPr>
        <i/>
        <sz val="10"/>
        <color theme="1"/>
        <rFont val="Arial"/>
        <family val="2"/>
        <charset val="238"/>
      </rPr>
      <t>F</t>
    </r>
    <r>
      <rPr>
        <vertAlign val="subscript"/>
        <sz val="10"/>
        <color theme="1"/>
        <rFont val="Arial"/>
        <family val="2"/>
        <charset val="238"/>
      </rPr>
      <t>p</t>
    </r>
    <r>
      <rPr>
        <sz val="10"/>
        <color theme="1"/>
        <rFont val="Arial"/>
        <family val="2"/>
        <charset val="238"/>
      </rPr>
      <t xml:space="preserve"> =</t>
    </r>
  </si>
  <si>
    <r>
      <rPr>
        <i/>
        <sz val="10"/>
        <color theme="1"/>
        <rFont val="Arial"/>
        <family val="2"/>
        <charset val="238"/>
      </rPr>
      <t>R</t>
    </r>
    <r>
      <rPr>
        <vertAlign val="subscript"/>
        <sz val="10"/>
        <color theme="1"/>
        <rFont val="Arial"/>
        <family val="2"/>
        <charset val="238"/>
      </rPr>
      <t>h</t>
    </r>
    <r>
      <rPr>
        <sz val="10"/>
        <color theme="1"/>
        <rFont val="Arial"/>
        <family val="2"/>
        <charset val="238"/>
      </rPr>
      <t xml:space="preserve"> =</t>
    </r>
  </si>
  <si>
    <t>Schemat hydrauliczny przepustu - typ 5</t>
  </si>
  <si>
    <t>∙ uskok dna na końcu wylotu przepustu</t>
  </si>
  <si>
    <t>Schemat hydrauliczny przepustu - typ 6</t>
  </si>
  <si>
    <r>
      <t xml:space="preserve">∙ wlot do przepustu - </t>
    </r>
    <r>
      <rPr>
        <b/>
        <sz val="10"/>
        <color theme="1"/>
        <rFont val="Arial"/>
        <family val="2"/>
        <charset val="238"/>
      </rPr>
      <t>wysunięty z nasypu</t>
    </r>
  </si>
  <si>
    <t>Typ 1</t>
  </si>
  <si>
    <t>Typy przepustów - schemat blokowy</t>
  </si>
  <si>
    <t>Typ 2</t>
  </si>
  <si>
    <t>Typ 3</t>
  </si>
  <si>
    <t>Typ 4</t>
  </si>
  <si>
    <t>Typ 5</t>
  </si>
  <si>
    <t>Typ 6</t>
  </si>
  <si>
    <r>
      <t>∙ współczynnik nachylenia skarp koryta 1:</t>
    </r>
    <r>
      <rPr>
        <i/>
        <sz val="10"/>
        <color theme="1"/>
        <rFont val="Arial"/>
        <family val="2"/>
        <charset val="238"/>
      </rPr>
      <t>m</t>
    </r>
  </si>
  <si>
    <t>Wyznaczenie głębokości normalnej w przepuście kołowym</t>
  </si>
  <si>
    <t xml:space="preserve">∙ przepływ miarodajny </t>
  </si>
  <si>
    <t>∙ średnica wewnętrzna przewodu przepustu</t>
  </si>
  <si>
    <t xml:space="preserve">∙ spadek przepustu </t>
  </si>
  <si>
    <t>Przewód kołowy - wyznaczenie głębokości normalnej i krytycznej</t>
  </si>
  <si>
    <t>Wyznaczenie głębokości krytycznej przy danym przepływie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</si>
</sst>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0"/>
    <numFmt numFmtId="166" formatCode="0.0000"/>
    <numFmt numFmtId="167" formatCode="0.0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8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i/>
      <sz val="18"/>
      <color theme="0"/>
      <name val="Arial"/>
      <family val="2"/>
      <charset val="238"/>
    </font>
    <font>
      <vertAlign val="subscript"/>
      <sz val="10"/>
      <color theme="1"/>
      <name val="Arial"/>
      <family val="2"/>
      <charset val="238"/>
    </font>
    <font>
      <i/>
      <vertAlign val="subscript"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9"/>
      <color indexed="81"/>
      <name val="Arial"/>
      <family val="2"/>
      <charset val="238"/>
    </font>
    <font>
      <i/>
      <sz val="9"/>
      <color indexed="81"/>
      <name val="Arial"/>
      <family val="2"/>
      <charset val="238"/>
    </font>
    <font>
      <i/>
      <vertAlign val="subscript"/>
      <sz val="9"/>
      <color indexed="81"/>
      <name val="Arial"/>
      <family val="2"/>
      <charset val="238"/>
    </font>
    <font>
      <vertAlign val="subscript"/>
      <sz val="9"/>
      <color indexed="81"/>
      <name val="Arial"/>
      <family val="2"/>
      <charset val="238"/>
    </font>
    <font>
      <sz val="10"/>
      <color indexed="81"/>
      <name val="Arial"/>
      <family val="2"/>
      <charset val="238"/>
    </font>
    <font>
      <i/>
      <sz val="10"/>
      <color indexed="81"/>
      <name val="Arial"/>
      <family val="2"/>
      <charset val="238"/>
    </font>
    <font>
      <i/>
      <vertAlign val="subscript"/>
      <sz val="10"/>
      <color indexed="8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3" fillId="3" borderId="0" xfId="0" applyFont="1" applyFill="1"/>
    <xf numFmtId="0" fontId="5" fillId="2" borderId="0" xfId="0" applyFont="1" applyFill="1"/>
    <xf numFmtId="0" fontId="6" fillId="3" borderId="0" xfId="0" applyFont="1" applyFill="1"/>
    <xf numFmtId="0" fontId="4" fillId="0" borderId="0" xfId="0" applyFont="1"/>
    <xf numFmtId="2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6" fontId="1" fillId="0" borderId="0" xfId="0" applyNumberFormat="1" applyFont="1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7" xfId="0" applyFont="1" applyBorder="1"/>
    <xf numFmtId="0" fontId="1" fillId="2" borderId="0" xfId="0" applyFont="1" applyFill="1" applyAlignment="1">
      <alignment horizontal="left"/>
    </xf>
    <xf numFmtId="0" fontId="1" fillId="0" borderId="10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1" fillId="0" borderId="11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1" fillId="0" borderId="10" xfId="0" applyFont="1" applyFill="1" applyBorder="1" applyAlignment="1">
      <alignment horizontal="right"/>
    </xf>
    <xf numFmtId="0" fontId="1" fillId="0" borderId="13" xfId="0" applyFont="1" applyFill="1" applyBorder="1" applyAlignment="1">
      <alignment horizontal="right"/>
    </xf>
    <xf numFmtId="0" fontId="1" fillId="0" borderId="17" xfId="0" applyFont="1" applyBorder="1" applyAlignment="1">
      <alignment horizontal="left"/>
    </xf>
    <xf numFmtId="167" fontId="1" fillId="0" borderId="16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7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/>
    <xf numFmtId="164" fontId="1" fillId="2" borderId="0" xfId="0" applyNumberFormat="1" applyFont="1" applyFill="1" applyAlignment="1">
      <alignment horizontal="center"/>
    </xf>
    <xf numFmtId="2" fontId="1" fillId="0" borderId="16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16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2" borderId="0" xfId="0" applyFont="1" applyFill="1" applyAlignment="1"/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1" fillId="2" borderId="0" xfId="0" applyFont="1" applyFill="1" applyAlignment="1">
      <alignment vertical="center"/>
    </xf>
    <xf numFmtId="164" fontId="1" fillId="0" borderId="0" xfId="0" applyNumberFormat="1" applyFont="1"/>
    <xf numFmtId="165" fontId="1" fillId="0" borderId="0" xfId="0" applyNumberFormat="1" applyFont="1"/>
  </cellXfs>
  <cellStyles count="1">
    <cellStyle name="Normalny" xfId="0" builtinId="0"/>
  </cellStyles>
  <dxfs count="133"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/>
      </font>
      <fill>
        <patternFill patternType="none">
          <bgColor auto="1"/>
        </patternFill>
      </fill>
    </dxf>
    <dxf>
      <font>
        <b/>
        <i val="0"/>
        <color theme="4"/>
      </font>
      <fill>
        <patternFill patternType="none">
          <bgColor auto="1"/>
        </patternFill>
      </fill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/>
      </font>
      <fill>
        <patternFill patternType="none">
          <bgColor auto="1"/>
        </patternFill>
      </fill>
    </dxf>
    <dxf>
      <font>
        <b/>
        <i val="0"/>
        <color theme="4"/>
      </font>
      <fill>
        <patternFill patternType="none">
          <bgColor auto="1"/>
        </patternFill>
      </fill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/>
      </font>
      <fill>
        <patternFill patternType="none">
          <bgColor auto="1"/>
        </patternFill>
      </fill>
    </dxf>
    <dxf>
      <font>
        <b/>
        <i val="0"/>
        <color theme="4"/>
      </font>
      <fill>
        <patternFill patternType="none">
          <bgColor auto="1"/>
        </patternFill>
      </fill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/>
      </font>
      <fill>
        <patternFill patternType="none">
          <bgColor auto="1"/>
        </patternFill>
      </fill>
    </dxf>
    <dxf>
      <font>
        <b/>
        <i val="0"/>
        <color theme="4"/>
      </font>
      <fill>
        <patternFill patternType="none">
          <bgColor auto="1"/>
        </patternFill>
      </fill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/>
      </font>
      <fill>
        <patternFill patternType="none">
          <bgColor auto="1"/>
        </patternFill>
      </fill>
    </dxf>
    <dxf>
      <font>
        <b/>
        <i val="0"/>
        <color theme="4"/>
      </font>
      <fill>
        <patternFill patternType="none">
          <bgColor auto="1"/>
        </patternFill>
      </fill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/>
      </font>
      <fill>
        <patternFill patternType="none">
          <bgColor auto="1"/>
        </patternFill>
      </fill>
    </dxf>
    <dxf>
      <font>
        <b/>
        <i val="0"/>
        <color theme="4"/>
      </font>
      <fill>
        <patternFill patternType="none">
          <bgColor auto="1"/>
        </patternFill>
      </fill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/>
      </font>
      <fill>
        <patternFill patternType="none">
          <bgColor auto="1"/>
        </patternFill>
      </fill>
    </dxf>
    <dxf>
      <font>
        <b/>
        <i val="0"/>
        <color theme="4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14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12" Type="http://schemas.openxmlformats.org/officeDocument/2006/relationships/image" Target="../media/image24.png"/><Relationship Id="rId2" Type="http://schemas.openxmlformats.org/officeDocument/2006/relationships/image" Target="../media/image20.png"/><Relationship Id="rId1" Type="http://schemas.openxmlformats.org/officeDocument/2006/relationships/image" Target="../media/image8.png"/><Relationship Id="rId6" Type="http://schemas.openxmlformats.org/officeDocument/2006/relationships/image" Target="../media/image4.png"/><Relationship Id="rId11" Type="http://schemas.openxmlformats.org/officeDocument/2006/relationships/image" Target="../media/image23.png"/><Relationship Id="rId5" Type="http://schemas.openxmlformats.org/officeDocument/2006/relationships/image" Target="../media/image3.png"/><Relationship Id="rId10" Type="http://schemas.openxmlformats.org/officeDocument/2006/relationships/image" Target="../media/image22.png"/><Relationship Id="rId4" Type="http://schemas.openxmlformats.org/officeDocument/2006/relationships/image" Target="../media/image2.png"/><Relationship Id="rId9" Type="http://schemas.openxmlformats.org/officeDocument/2006/relationships/image" Target="../media/image2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13" Type="http://schemas.openxmlformats.org/officeDocument/2006/relationships/image" Target="../media/image24.png"/><Relationship Id="rId3" Type="http://schemas.openxmlformats.org/officeDocument/2006/relationships/image" Target="../media/image20.png"/><Relationship Id="rId7" Type="http://schemas.openxmlformats.org/officeDocument/2006/relationships/image" Target="../media/image1.png"/><Relationship Id="rId12" Type="http://schemas.openxmlformats.org/officeDocument/2006/relationships/image" Target="../media/image6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Relationship Id="rId6" Type="http://schemas.openxmlformats.org/officeDocument/2006/relationships/image" Target="../media/image9.png"/><Relationship Id="rId11" Type="http://schemas.openxmlformats.org/officeDocument/2006/relationships/image" Target="../media/image5.png"/><Relationship Id="rId5" Type="http://schemas.openxmlformats.org/officeDocument/2006/relationships/image" Target="../media/image25.png"/><Relationship Id="rId10" Type="http://schemas.openxmlformats.org/officeDocument/2006/relationships/image" Target="../media/image4.png"/><Relationship Id="rId4" Type="http://schemas.openxmlformats.org/officeDocument/2006/relationships/image" Target="../media/image21.png"/><Relationship Id="rId9" Type="http://schemas.openxmlformats.org/officeDocument/2006/relationships/image" Target="../media/image3.png"/><Relationship Id="rId14" Type="http://schemas.openxmlformats.org/officeDocument/2006/relationships/image" Target="../media/image1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24.png"/><Relationship Id="rId3" Type="http://schemas.openxmlformats.org/officeDocument/2006/relationships/image" Target="../media/image10.png"/><Relationship Id="rId7" Type="http://schemas.openxmlformats.org/officeDocument/2006/relationships/image" Target="../media/image4.png"/><Relationship Id="rId12" Type="http://schemas.openxmlformats.org/officeDocument/2006/relationships/image" Target="../media/image23.png"/><Relationship Id="rId2" Type="http://schemas.openxmlformats.org/officeDocument/2006/relationships/image" Target="../media/image25.png"/><Relationship Id="rId1" Type="http://schemas.openxmlformats.org/officeDocument/2006/relationships/image" Target="../media/image20.png"/><Relationship Id="rId6" Type="http://schemas.openxmlformats.org/officeDocument/2006/relationships/image" Target="../media/image3.png"/><Relationship Id="rId11" Type="http://schemas.openxmlformats.org/officeDocument/2006/relationships/image" Target="../media/image22.png"/><Relationship Id="rId5" Type="http://schemas.openxmlformats.org/officeDocument/2006/relationships/image" Target="../media/image2.png"/><Relationship Id="rId10" Type="http://schemas.openxmlformats.org/officeDocument/2006/relationships/image" Target="../media/image21.png"/><Relationship Id="rId4" Type="http://schemas.openxmlformats.org/officeDocument/2006/relationships/image" Target="../media/image1.png"/><Relationship Id="rId9" Type="http://schemas.openxmlformats.org/officeDocument/2006/relationships/image" Target="../media/image6.png"/><Relationship Id="rId14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13" Type="http://schemas.openxmlformats.org/officeDocument/2006/relationships/image" Target="../media/image16.png"/><Relationship Id="rId3" Type="http://schemas.openxmlformats.org/officeDocument/2006/relationships/image" Target="../media/image3.png"/><Relationship Id="rId7" Type="http://schemas.openxmlformats.org/officeDocument/2006/relationships/image" Target="../media/image11.png"/><Relationship Id="rId12" Type="http://schemas.openxmlformats.org/officeDocument/2006/relationships/image" Target="../media/image24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23.png"/><Relationship Id="rId5" Type="http://schemas.openxmlformats.org/officeDocument/2006/relationships/image" Target="../media/image5.png"/><Relationship Id="rId10" Type="http://schemas.openxmlformats.org/officeDocument/2006/relationships/image" Target="../media/image22.png"/><Relationship Id="rId4" Type="http://schemas.openxmlformats.org/officeDocument/2006/relationships/image" Target="../media/image4.png"/><Relationship Id="rId9" Type="http://schemas.openxmlformats.org/officeDocument/2006/relationships/image" Target="../media/image2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13" Type="http://schemas.openxmlformats.org/officeDocument/2006/relationships/image" Target="../media/image17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24.png"/><Relationship Id="rId2" Type="http://schemas.openxmlformats.org/officeDocument/2006/relationships/image" Target="../media/image1.png"/><Relationship Id="rId1" Type="http://schemas.openxmlformats.org/officeDocument/2006/relationships/image" Target="../media/image26.png"/><Relationship Id="rId6" Type="http://schemas.openxmlformats.org/officeDocument/2006/relationships/image" Target="../media/image5.png"/><Relationship Id="rId11" Type="http://schemas.openxmlformats.org/officeDocument/2006/relationships/image" Target="../media/image23.png"/><Relationship Id="rId5" Type="http://schemas.openxmlformats.org/officeDocument/2006/relationships/image" Target="../media/image4.png"/><Relationship Id="rId10" Type="http://schemas.openxmlformats.org/officeDocument/2006/relationships/image" Target="../media/image22.png"/><Relationship Id="rId4" Type="http://schemas.openxmlformats.org/officeDocument/2006/relationships/image" Target="../media/image3.png"/><Relationship Id="rId9" Type="http://schemas.openxmlformats.org/officeDocument/2006/relationships/image" Target="../media/image2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18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12" Type="http://schemas.openxmlformats.org/officeDocument/2006/relationships/image" Target="../media/image24.png"/><Relationship Id="rId2" Type="http://schemas.openxmlformats.org/officeDocument/2006/relationships/image" Target="../media/image13.png"/><Relationship Id="rId1" Type="http://schemas.openxmlformats.org/officeDocument/2006/relationships/image" Target="../media/image20.png"/><Relationship Id="rId6" Type="http://schemas.openxmlformats.org/officeDocument/2006/relationships/image" Target="../media/image4.png"/><Relationship Id="rId11" Type="http://schemas.openxmlformats.org/officeDocument/2006/relationships/image" Target="../media/image23.png"/><Relationship Id="rId5" Type="http://schemas.openxmlformats.org/officeDocument/2006/relationships/image" Target="../media/image3.png"/><Relationship Id="rId10" Type="http://schemas.openxmlformats.org/officeDocument/2006/relationships/image" Target="../media/image22.png"/><Relationship Id="rId4" Type="http://schemas.openxmlformats.org/officeDocument/2006/relationships/image" Target="../media/image2.png"/><Relationship Id="rId9" Type="http://schemas.openxmlformats.org/officeDocument/2006/relationships/image" Target="../media/image2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181920</xdr:colOff>
      <xdr:row>26</xdr:row>
      <xdr:rowOff>18061</xdr:rowOff>
    </xdr:from>
    <xdr:to>
      <xdr:col>3</xdr:col>
      <xdr:colOff>249082</xdr:colOff>
      <xdr:row>28</xdr:row>
      <xdr:rowOff>156776</xdr:rowOff>
    </xdr:to>
    <xdr:pic>
      <xdr:nvPicPr>
        <xdr:cNvPr id="7" name="Obraz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4661" y="2317199"/>
          <a:ext cx="678076" cy="467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514350</xdr:colOff>
      <xdr:row>22</xdr:row>
      <xdr:rowOff>121844</xdr:rowOff>
    </xdr:from>
    <xdr:to>
      <xdr:col>2</xdr:col>
      <xdr:colOff>520301</xdr:colOff>
      <xdr:row>26</xdr:row>
      <xdr:rowOff>18061</xdr:rowOff>
    </xdr:to>
    <xdr:cxnSp macro="">
      <xdr:nvCxnSpPr>
        <xdr:cNvPr id="9" name="Łącznik prosty 8"/>
        <xdr:cNvCxnSpPr>
          <a:stCxn id="123" idx="2"/>
          <a:endCxn id="7" idx="0"/>
        </xdr:cNvCxnSpPr>
      </xdr:nvCxnSpPr>
      <xdr:spPr>
        <a:xfrm>
          <a:off x="2343150" y="1741094"/>
          <a:ext cx="5951" cy="543917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180499</xdr:colOff>
      <xdr:row>32</xdr:row>
      <xdr:rowOff>17146</xdr:rowOff>
    </xdr:from>
    <xdr:to>
      <xdr:col>3</xdr:col>
      <xdr:colOff>243470</xdr:colOff>
      <xdr:row>34</xdr:row>
      <xdr:rowOff>150180</xdr:rowOff>
    </xdr:to>
    <xdr:pic>
      <xdr:nvPicPr>
        <xdr:cNvPr id="11" name="Obraz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12" y="4489755"/>
          <a:ext cx="675884" cy="464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516785</xdr:colOff>
      <xdr:row>28</xdr:row>
      <xdr:rowOff>156775</xdr:rowOff>
    </xdr:from>
    <xdr:to>
      <xdr:col>2</xdr:col>
      <xdr:colOff>520301</xdr:colOff>
      <xdr:row>32</xdr:row>
      <xdr:rowOff>17146</xdr:rowOff>
    </xdr:to>
    <xdr:cxnSp macro="">
      <xdr:nvCxnSpPr>
        <xdr:cNvPr id="12" name="Łącznik prosty 11"/>
        <xdr:cNvCxnSpPr>
          <a:stCxn id="7" idx="2"/>
          <a:endCxn id="11" idx="0"/>
        </xdr:cNvCxnSpPr>
      </xdr:nvCxnSpPr>
      <xdr:spPr>
        <a:xfrm flipH="1">
          <a:off x="2345585" y="2747575"/>
          <a:ext cx="3516" cy="546171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145928</xdr:colOff>
      <xdr:row>19</xdr:row>
      <xdr:rowOff>19995</xdr:rowOff>
    </xdr:from>
    <xdr:to>
      <xdr:col>7</xdr:col>
      <xdr:colOff>205586</xdr:colOff>
      <xdr:row>21</xdr:row>
      <xdr:rowOff>145574</xdr:rowOff>
    </xdr:to>
    <xdr:pic>
      <xdr:nvPicPr>
        <xdr:cNvPr id="13" name="Obraz 1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2325" y="1169564"/>
          <a:ext cx="670571" cy="454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438150</xdr:colOff>
      <xdr:row>20</xdr:row>
      <xdr:rowOff>79972</xdr:rowOff>
    </xdr:from>
    <xdr:to>
      <xdr:col>6</xdr:col>
      <xdr:colOff>145928</xdr:colOff>
      <xdr:row>20</xdr:row>
      <xdr:rowOff>82784</xdr:rowOff>
    </xdr:to>
    <xdr:cxnSp macro="">
      <xdr:nvCxnSpPr>
        <xdr:cNvPr id="14" name="Łącznik prosty 13"/>
        <xdr:cNvCxnSpPr>
          <a:stCxn id="123" idx="3"/>
          <a:endCxn id="13" idx="1"/>
        </xdr:cNvCxnSpPr>
      </xdr:nvCxnSpPr>
      <xdr:spPr>
        <a:xfrm>
          <a:off x="2876550" y="1375372"/>
          <a:ext cx="1536578" cy="2812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514350</xdr:colOff>
      <xdr:row>34</xdr:row>
      <xdr:rowOff>150179</xdr:rowOff>
    </xdr:from>
    <xdr:to>
      <xdr:col>2</xdr:col>
      <xdr:colOff>516785</xdr:colOff>
      <xdr:row>38</xdr:row>
      <xdr:rowOff>9525</xdr:rowOff>
    </xdr:to>
    <xdr:cxnSp macro="">
      <xdr:nvCxnSpPr>
        <xdr:cNvPr id="51" name="Łącznik prosty 50"/>
        <xdr:cNvCxnSpPr>
          <a:stCxn id="11" idx="2"/>
        </xdr:cNvCxnSpPr>
      </xdr:nvCxnSpPr>
      <xdr:spPr>
        <a:xfrm flipH="1">
          <a:off x="1127263" y="4954092"/>
          <a:ext cx="2435" cy="521955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249082</xdr:colOff>
      <xdr:row>27</xdr:row>
      <xdr:rowOff>85725</xdr:rowOff>
    </xdr:from>
    <xdr:to>
      <xdr:col>5</xdr:col>
      <xdr:colOff>0</xdr:colOff>
      <xdr:row>27</xdr:row>
      <xdr:rowOff>87418</xdr:rowOff>
    </xdr:to>
    <xdr:cxnSp macro="">
      <xdr:nvCxnSpPr>
        <xdr:cNvPr id="56" name="Łącznik prosty 55"/>
        <xdr:cNvCxnSpPr>
          <a:stCxn id="7" idx="3"/>
        </xdr:cNvCxnSpPr>
      </xdr:nvCxnSpPr>
      <xdr:spPr>
        <a:xfrm flipV="1">
          <a:off x="2692737" y="2549087"/>
          <a:ext cx="972746" cy="1693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243470</xdr:colOff>
      <xdr:row>33</xdr:row>
      <xdr:rowOff>82826</xdr:rowOff>
    </xdr:from>
    <xdr:to>
      <xdr:col>5</xdr:col>
      <xdr:colOff>8283</xdr:colOff>
      <xdr:row>33</xdr:row>
      <xdr:rowOff>83663</xdr:rowOff>
    </xdr:to>
    <xdr:cxnSp macro="">
      <xdr:nvCxnSpPr>
        <xdr:cNvPr id="59" name="Łącznik prosty 58"/>
        <xdr:cNvCxnSpPr>
          <a:stCxn id="11" idx="3"/>
        </xdr:cNvCxnSpPr>
      </xdr:nvCxnSpPr>
      <xdr:spPr>
        <a:xfrm flipV="1">
          <a:off x="1469296" y="4721087"/>
          <a:ext cx="990639" cy="837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482214</xdr:colOff>
      <xdr:row>21</xdr:row>
      <xdr:rowOff>145573</xdr:rowOff>
    </xdr:from>
    <xdr:to>
      <xdr:col>6</xdr:col>
      <xdr:colOff>484046</xdr:colOff>
      <xdr:row>29</xdr:row>
      <xdr:rowOff>1</xdr:rowOff>
    </xdr:to>
    <xdr:cxnSp macro="">
      <xdr:nvCxnSpPr>
        <xdr:cNvPr id="71" name="Łącznik prosty 70"/>
        <xdr:cNvCxnSpPr>
          <a:stCxn id="13" idx="2"/>
          <a:endCxn id="147" idx="0"/>
        </xdr:cNvCxnSpPr>
      </xdr:nvCxnSpPr>
      <xdr:spPr>
        <a:xfrm>
          <a:off x="4772605" y="1636443"/>
          <a:ext cx="1832" cy="1179645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484046</xdr:colOff>
      <xdr:row>31</xdr:row>
      <xdr:rowOff>145268</xdr:rowOff>
    </xdr:from>
    <xdr:to>
      <xdr:col>6</xdr:col>
      <xdr:colOff>484046</xdr:colOff>
      <xdr:row>35</xdr:row>
      <xdr:rowOff>0</xdr:rowOff>
    </xdr:to>
    <xdr:cxnSp macro="">
      <xdr:nvCxnSpPr>
        <xdr:cNvPr id="78" name="Łącznik prosty 77"/>
        <xdr:cNvCxnSpPr>
          <a:stCxn id="147" idx="2"/>
        </xdr:cNvCxnSpPr>
      </xdr:nvCxnSpPr>
      <xdr:spPr>
        <a:xfrm>
          <a:off x="4774437" y="3292659"/>
          <a:ext cx="0" cy="517341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430074</xdr:colOff>
      <xdr:row>19</xdr:row>
      <xdr:rowOff>18970</xdr:rowOff>
    </xdr:from>
    <xdr:to>
      <xdr:col>9</xdr:col>
      <xdr:colOff>484665</xdr:colOff>
      <xdr:row>21</xdr:row>
      <xdr:rowOff>149991</xdr:rowOff>
    </xdr:to>
    <xdr:pic>
      <xdr:nvPicPr>
        <xdr:cNvPr id="84" name="Obraz 8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043" y="1144111"/>
          <a:ext cx="661810" cy="452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205586</xdr:colOff>
      <xdr:row>20</xdr:row>
      <xdr:rowOff>82784</xdr:rowOff>
    </xdr:from>
    <xdr:to>
      <xdr:col>8</xdr:col>
      <xdr:colOff>430074</xdr:colOff>
      <xdr:row>20</xdr:row>
      <xdr:rowOff>84480</xdr:rowOff>
    </xdr:to>
    <xdr:cxnSp macro="">
      <xdr:nvCxnSpPr>
        <xdr:cNvPr id="87" name="Łącznik prosty 86"/>
        <xdr:cNvCxnSpPr>
          <a:stCxn id="13" idx="3"/>
          <a:endCxn id="84" idx="1"/>
        </xdr:cNvCxnSpPr>
      </xdr:nvCxnSpPr>
      <xdr:spPr>
        <a:xfrm>
          <a:off x="5063336" y="1368659"/>
          <a:ext cx="831707" cy="1696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222654</xdr:colOff>
      <xdr:row>30</xdr:row>
      <xdr:rowOff>72635</xdr:rowOff>
    </xdr:from>
    <xdr:to>
      <xdr:col>8</xdr:col>
      <xdr:colOff>579783</xdr:colOff>
      <xdr:row>30</xdr:row>
      <xdr:rowOff>74544</xdr:rowOff>
    </xdr:to>
    <xdr:cxnSp macro="">
      <xdr:nvCxnSpPr>
        <xdr:cNvPr id="105" name="Łącznik prosty 104"/>
        <xdr:cNvCxnSpPr>
          <a:stCxn id="147" idx="3"/>
        </xdr:cNvCxnSpPr>
      </xdr:nvCxnSpPr>
      <xdr:spPr>
        <a:xfrm>
          <a:off x="5125958" y="3054374"/>
          <a:ext cx="970042" cy="1909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150913</xdr:colOff>
      <xdr:row>21</xdr:row>
      <xdr:rowOff>149990</xdr:rowOff>
    </xdr:from>
    <xdr:to>
      <xdr:col>9</xdr:col>
      <xdr:colOff>151913</xdr:colOff>
      <xdr:row>27</xdr:row>
      <xdr:rowOff>0</xdr:rowOff>
    </xdr:to>
    <xdr:cxnSp macro="">
      <xdr:nvCxnSpPr>
        <xdr:cNvPr id="114" name="Łącznik prosty 113"/>
        <xdr:cNvCxnSpPr>
          <a:stCxn id="84" idx="2"/>
        </xdr:cNvCxnSpPr>
      </xdr:nvCxnSpPr>
      <xdr:spPr>
        <a:xfrm>
          <a:off x="6280043" y="1640860"/>
          <a:ext cx="1000" cy="843923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484665</xdr:colOff>
      <xdr:row>20</xdr:row>
      <xdr:rowOff>83344</xdr:rowOff>
    </xdr:from>
    <xdr:to>
      <xdr:col>10</xdr:col>
      <xdr:colOff>601266</xdr:colOff>
      <xdr:row>20</xdr:row>
      <xdr:rowOff>84480</xdr:rowOff>
    </xdr:to>
    <xdr:cxnSp macro="">
      <xdr:nvCxnSpPr>
        <xdr:cNvPr id="118" name="Łącznik prosty 117"/>
        <xdr:cNvCxnSpPr>
          <a:stCxn id="84" idx="3"/>
        </xdr:cNvCxnSpPr>
      </xdr:nvCxnSpPr>
      <xdr:spPr>
        <a:xfrm flipV="1">
          <a:off x="6556853" y="1369219"/>
          <a:ext cx="723819" cy="1136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590550</xdr:colOff>
      <xdr:row>18</xdr:row>
      <xdr:rowOff>38100</xdr:rowOff>
    </xdr:from>
    <xdr:to>
      <xdr:col>3</xdr:col>
      <xdr:colOff>438150</xdr:colOff>
      <xdr:row>22</xdr:row>
      <xdr:rowOff>121844</xdr:rowOff>
    </xdr:to>
    <xdr:pic>
      <xdr:nvPicPr>
        <xdr:cNvPr id="123" name="Obraz 12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2191578"/>
          <a:ext cx="1073426" cy="746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132524</xdr:colOff>
      <xdr:row>29</xdr:row>
      <xdr:rowOff>1</xdr:rowOff>
    </xdr:from>
    <xdr:to>
      <xdr:col>7</xdr:col>
      <xdr:colOff>222654</xdr:colOff>
      <xdr:row>31</xdr:row>
      <xdr:rowOff>145267</xdr:rowOff>
    </xdr:to>
    <xdr:pic>
      <xdr:nvPicPr>
        <xdr:cNvPr id="147" name="Obraz 14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2915" y="2816088"/>
          <a:ext cx="703043" cy="476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375561</xdr:colOff>
      <xdr:row>1</xdr:row>
      <xdr:rowOff>66263</xdr:rowOff>
    </xdr:from>
    <xdr:to>
      <xdr:col>11</xdr:col>
      <xdr:colOff>596349</xdr:colOff>
      <xdr:row>16</xdr:row>
      <xdr:rowOff>8282</xdr:rowOff>
    </xdr:to>
    <xdr:pic>
      <xdr:nvPicPr>
        <xdr:cNvPr id="158" name="Obraz 15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440126" y="66263"/>
          <a:ext cx="3898266" cy="2675280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>
    <xdr:from>
      <xdr:col>2</xdr:col>
      <xdr:colOff>208306</xdr:colOff>
      <xdr:row>11</xdr:row>
      <xdr:rowOff>99390</xdr:rowOff>
    </xdr:from>
    <xdr:to>
      <xdr:col>2</xdr:col>
      <xdr:colOff>208306</xdr:colOff>
      <xdr:row>14</xdr:row>
      <xdr:rowOff>122581</xdr:rowOff>
    </xdr:to>
    <xdr:cxnSp macro="">
      <xdr:nvCxnSpPr>
        <xdr:cNvPr id="23" name="Łącznik prosty ze strzałką 22"/>
        <xdr:cNvCxnSpPr/>
      </xdr:nvCxnSpPr>
      <xdr:spPr>
        <a:xfrm>
          <a:off x="2047045" y="2004390"/>
          <a:ext cx="0" cy="520148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342900</xdr:colOff>
      <xdr:row>43</xdr:row>
      <xdr:rowOff>84896</xdr:rowOff>
    </xdr:from>
    <xdr:to>
      <xdr:col>13</xdr:col>
      <xdr:colOff>352011</xdr:colOff>
      <xdr:row>46</xdr:row>
      <xdr:rowOff>86616</xdr:rowOff>
    </xdr:to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438900" y="7485821"/>
          <a:ext cx="1837911" cy="487495"/>
        </a:xfrm>
        <a:prstGeom prst="rect">
          <a:avLst/>
        </a:prstGeom>
        <a:ln w="19050">
          <a:solidFill>
            <a:schemeClr val="accent1"/>
          </a:solidFill>
        </a:ln>
      </xdr:spPr>
    </xdr:pic>
    <xdr:clientData/>
  </xdr:twoCellAnchor>
  <xdr:twoCellAnchor editAs="oneCell">
    <xdr:from>
      <xdr:col>10</xdr:col>
      <xdr:colOff>352425</xdr:colOff>
      <xdr:row>52</xdr:row>
      <xdr:rowOff>95249</xdr:rowOff>
    </xdr:from>
    <xdr:to>
      <xdr:col>13</xdr:col>
      <xdr:colOff>447675</xdr:colOff>
      <xdr:row>55</xdr:row>
      <xdr:rowOff>65819</xdr:rowOff>
    </xdr:to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448425" y="8953499"/>
          <a:ext cx="1924050" cy="456345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>
    <xdr:from>
      <xdr:col>9</xdr:col>
      <xdr:colOff>438150</xdr:colOff>
      <xdr:row>45</xdr:row>
      <xdr:rowOff>19049</xdr:rowOff>
    </xdr:from>
    <xdr:to>
      <xdr:col>10</xdr:col>
      <xdr:colOff>238125</xdr:colOff>
      <xdr:row>45</xdr:row>
      <xdr:rowOff>19049</xdr:rowOff>
    </xdr:to>
    <xdr:cxnSp macro="">
      <xdr:nvCxnSpPr>
        <xdr:cNvPr id="34" name="Łącznik prosty ze strzałką 33"/>
        <xdr:cNvCxnSpPr/>
      </xdr:nvCxnSpPr>
      <xdr:spPr>
        <a:xfrm>
          <a:off x="5924550" y="7743824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390525</xdr:colOff>
      <xdr:row>54</xdr:row>
      <xdr:rowOff>57149</xdr:rowOff>
    </xdr:from>
    <xdr:to>
      <xdr:col>10</xdr:col>
      <xdr:colOff>190500</xdr:colOff>
      <xdr:row>54</xdr:row>
      <xdr:rowOff>57149</xdr:rowOff>
    </xdr:to>
    <xdr:cxnSp macro="">
      <xdr:nvCxnSpPr>
        <xdr:cNvPr id="35" name="Łącznik prosty ze strzałką 34"/>
        <xdr:cNvCxnSpPr/>
      </xdr:nvCxnSpPr>
      <xdr:spPr>
        <a:xfrm>
          <a:off x="5876925" y="9239249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381000</xdr:colOff>
      <xdr:row>64</xdr:row>
      <xdr:rowOff>133349</xdr:rowOff>
    </xdr:from>
    <xdr:to>
      <xdr:col>10</xdr:col>
      <xdr:colOff>180975</xdr:colOff>
      <xdr:row>64</xdr:row>
      <xdr:rowOff>133349</xdr:rowOff>
    </xdr:to>
    <xdr:cxnSp macro="">
      <xdr:nvCxnSpPr>
        <xdr:cNvPr id="36" name="Łącznik prosty ze strzałką 35"/>
        <xdr:cNvCxnSpPr/>
      </xdr:nvCxnSpPr>
      <xdr:spPr>
        <a:xfrm>
          <a:off x="5867400" y="10934699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333375</xdr:colOff>
      <xdr:row>74</xdr:row>
      <xdr:rowOff>123824</xdr:rowOff>
    </xdr:from>
    <xdr:to>
      <xdr:col>10</xdr:col>
      <xdr:colOff>133350</xdr:colOff>
      <xdr:row>74</xdr:row>
      <xdr:rowOff>123824</xdr:rowOff>
    </xdr:to>
    <xdr:cxnSp macro="">
      <xdr:nvCxnSpPr>
        <xdr:cNvPr id="37" name="Łącznik prosty ze strzałką 36"/>
        <xdr:cNvCxnSpPr/>
      </xdr:nvCxnSpPr>
      <xdr:spPr>
        <a:xfrm>
          <a:off x="5819775" y="12544424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371475</xdr:colOff>
      <xdr:row>84</xdr:row>
      <xdr:rowOff>114299</xdr:rowOff>
    </xdr:from>
    <xdr:to>
      <xdr:col>10</xdr:col>
      <xdr:colOff>171450</xdr:colOff>
      <xdr:row>84</xdr:row>
      <xdr:rowOff>114299</xdr:rowOff>
    </xdr:to>
    <xdr:cxnSp macro="">
      <xdr:nvCxnSpPr>
        <xdr:cNvPr id="38" name="Łącznik prosty ze strzałką 37"/>
        <xdr:cNvCxnSpPr/>
      </xdr:nvCxnSpPr>
      <xdr:spPr>
        <a:xfrm>
          <a:off x="5857875" y="14154149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466725</xdr:colOff>
      <xdr:row>95</xdr:row>
      <xdr:rowOff>19049</xdr:rowOff>
    </xdr:from>
    <xdr:to>
      <xdr:col>10</xdr:col>
      <xdr:colOff>266700</xdr:colOff>
      <xdr:row>95</xdr:row>
      <xdr:rowOff>19049</xdr:rowOff>
    </xdr:to>
    <xdr:cxnSp macro="">
      <xdr:nvCxnSpPr>
        <xdr:cNvPr id="39" name="Łącznik prosty ze strzałką 38"/>
        <xdr:cNvCxnSpPr/>
      </xdr:nvCxnSpPr>
      <xdr:spPr>
        <a:xfrm>
          <a:off x="5953125" y="15840074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361950</xdr:colOff>
      <xdr:row>63</xdr:row>
      <xdr:rowOff>0</xdr:rowOff>
    </xdr:from>
    <xdr:to>
      <xdr:col>13</xdr:col>
      <xdr:colOff>447674</xdr:colOff>
      <xdr:row>66</xdr:row>
      <xdr:rowOff>23475</xdr:rowOff>
    </xdr:to>
    <xdr:pic>
      <xdr:nvPicPr>
        <xdr:cNvPr id="40" name="Obraz 39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457950" y="10639425"/>
          <a:ext cx="1914524" cy="509250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10</xdr:col>
      <xdr:colOff>342900</xdr:colOff>
      <xdr:row>72</xdr:row>
      <xdr:rowOff>76200</xdr:rowOff>
    </xdr:from>
    <xdr:to>
      <xdr:col>12</xdr:col>
      <xdr:colOff>520909</xdr:colOff>
      <xdr:row>76</xdr:row>
      <xdr:rowOff>104775</xdr:rowOff>
    </xdr:to>
    <xdr:pic>
      <xdr:nvPicPr>
        <xdr:cNvPr id="41" name="Obraz 40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438900" y="12172950"/>
          <a:ext cx="1397209" cy="676275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10</xdr:col>
      <xdr:colOff>371475</xdr:colOff>
      <xdr:row>82</xdr:row>
      <xdr:rowOff>47625</xdr:rowOff>
    </xdr:from>
    <xdr:to>
      <xdr:col>12</xdr:col>
      <xdr:colOff>567657</xdr:colOff>
      <xdr:row>86</xdr:row>
      <xdr:rowOff>133350</xdr:rowOff>
    </xdr:to>
    <xdr:pic>
      <xdr:nvPicPr>
        <xdr:cNvPr id="42" name="Obraz 41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467475" y="13763625"/>
          <a:ext cx="1415382" cy="733425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10</xdr:col>
      <xdr:colOff>390525</xdr:colOff>
      <xdr:row>94</xdr:row>
      <xdr:rowOff>0</xdr:rowOff>
    </xdr:from>
    <xdr:to>
      <xdr:col>12</xdr:col>
      <xdr:colOff>495300</xdr:colOff>
      <xdr:row>95</xdr:row>
      <xdr:rowOff>150397</xdr:rowOff>
    </xdr:to>
    <xdr:pic>
      <xdr:nvPicPr>
        <xdr:cNvPr id="43" name="Obraz 42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486525" y="15659100"/>
          <a:ext cx="1323975" cy="312322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2</xdr:col>
      <xdr:colOff>257175</xdr:colOff>
      <xdr:row>41</xdr:row>
      <xdr:rowOff>85725</xdr:rowOff>
    </xdr:from>
    <xdr:to>
      <xdr:col>9</xdr:col>
      <xdr:colOff>133350</xdr:colOff>
      <xdr:row>49</xdr:row>
      <xdr:rowOff>133542</xdr:rowOff>
    </xdr:to>
    <xdr:pic>
      <xdr:nvPicPr>
        <xdr:cNvPr id="50" name="Obraz 49"/>
        <xdr:cNvPicPr/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476375" y="7162800"/>
          <a:ext cx="4143375" cy="1343217"/>
        </a:xfrm>
        <a:prstGeom prst="rect">
          <a:avLst/>
        </a:prstGeom>
        <a:ln w="19050">
          <a:solidFill>
            <a:schemeClr val="accent1"/>
          </a:solidFill>
        </a:ln>
      </xdr:spPr>
    </xdr:pic>
    <xdr:clientData/>
  </xdr:twoCellAnchor>
  <xdr:twoCellAnchor editAs="oneCell">
    <xdr:from>
      <xdr:col>2</xdr:col>
      <xdr:colOff>247649</xdr:colOff>
      <xdr:row>60</xdr:row>
      <xdr:rowOff>0</xdr:rowOff>
    </xdr:from>
    <xdr:to>
      <xdr:col>9</xdr:col>
      <xdr:colOff>123824</xdr:colOff>
      <xdr:row>68</xdr:row>
      <xdr:rowOff>45077</xdr:rowOff>
    </xdr:to>
    <xdr:pic>
      <xdr:nvPicPr>
        <xdr:cNvPr id="53" name="Obraz 52"/>
        <xdr:cNvPicPr/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466849" y="10153650"/>
          <a:ext cx="4143375" cy="1340477"/>
        </a:xfrm>
        <a:prstGeom prst="rect">
          <a:avLst/>
        </a:prstGeom>
        <a:ln w="19050">
          <a:solidFill>
            <a:schemeClr val="accent1"/>
          </a:solidFill>
        </a:ln>
      </xdr:spPr>
    </xdr:pic>
    <xdr:clientData/>
  </xdr:twoCellAnchor>
  <xdr:twoCellAnchor editAs="oneCell">
    <xdr:from>
      <xdr:col>2</xdr:col>
      <xdr:colOff>238125</xdr:colOff>
      <xdr:row>70</xdr:row>
      <xdr:rowOff>47625</xdr:rowOff>
    </xdr:from>
    <xdr:to>
      <xdr:col>9</xdr:col>
      <xdr:colOff>95250</xdr:colOff>
      <xdr:row>78</xdr:row>
      <xdr:rowOff>82902</xdr:rowOff>
    </xdr:to>
    <xdr:pic>
      <xdr:nvPicPr>
        <xdr:cNvPr id="55" name="Obraz 54"/>
        <xdr:cNvPicPr/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457325" y="11820525"/>
          <a:ext cx="4124325" cy="1330677"/>
        </a:xfrm>
        <a:prstGeom prst="rect">
          <a:avLst/>
        </a:prstGeom>
        <a:ln w="19050">
          <a:solidFill>
            <a:schemeClr val="accent1"/>
          </a:solidFill>
        </a:ln>
      </xdr:spPr>
    </xdr:pic>
    <xdr:clientData/>
  </xdr:twoCellAnchor>
  <xdr:twoCellAnchor editAs="oneCell">
    <xdr:from>
      <xdr:col>2</xdr:col>
      <xdr:colOff>219075</xdr:colOff>
      <xdr:row>80</xdr:row>
      <xdr:rowOff>142875</xdr:rowOff>
    </xdr:from>
    <xdr:to>
      <xdr:col>9</xdr:col>
      <xdr:colOff>76200</xdr:colOff>
      <xdr:row>89</xdr:row>
      <xdr:rowOff>14863</xdr:rowOff>
    </xdr:to>
    <xdr:pic>
      <xdr:nvPicPr>
        <xdr:cNvPr id="57" name="Obraz 56"/>
        <xdr:cNvPicPr/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438275" y="13535025"/>
          <a:ext cx="4124325" cy="1329313"/>
        </a:xfrm>
        <a:prstGeom prst="rect">
          <a:avLst/>
        </a:prstGeom>
        <a:ln w="19050">
          <a:solidFill>
            <a:schemeClr val="accent1"/>
          </a:solidFill>
        </a:ln>
      </xdr:spPr>
    </xdr:pic>
    <xdr:clientData/>
  </xdr:twoCellAnchor>
  <xdr:twoCellAnchor editAs="oneCell">
    <xdr:from>
      <xdr:col>2</xdr:col>
      <xdr:colOff>209550</xdr:colOff>
      <xdr:row>91</xdr:row>
      <xdr:rowOff>0</xdr:rowOff>
    </xdr:from>
    <xdr:to>
      <xdr:col>9</xdr:col>
      <xdr:colOff>71194</xdr:colOff>
      <xdr:row>99</xdr:row>
      <xdr:rowOff>38100</xdr:rowOff>
    </xdr:to>
    <xdr:pic>
      <xdr:nvPicPr>
        <xdr:cNvPr id="58" name="Obraz 57"/>
        <xdr:cNvPicPr/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428750" y="15173325"/>
          <a:ext cx="4128844" cy="1333500"/>
        </a:xfrm>
        <a:prstGeom prst="rect">
          <a:avLst/>
        </a:prstGeom>
        <a:ln w="19050">
          <a:solidFill>
            <a:schemeClr val="accent1"/>
          </a:solidFill>
        </a:ln>
      </xdr:spPr>
    </xdr:pic>
    <xdr:clientData/>
  </xdr:twoCellAnchor>
  <xdr:twoCellAnchor editAs="oneCell">
    <xdr:from>
      <xdr:col>2</xdr:col>
      <xdr:colOff>257175</xdr:colOff>
      <xdr:row>50</xdr:row>
      <xdr:rowOff>133350</xdr:rowOff>
    </xdr:from>
    <xdr:to>
      <xdr:col>9</xdr:col>
      <xdr:colOff>145766</xdr:colOff>
      <xdr:row>59</xdr:row>
      <xdr:rowOff>9525</xdr:rowOff>
    </xdr:to>
    <xdr:pic>
      <xdr:nvPicPr>
        <xdr:cNvPr id="44" name="Obraz 43"/>
        <xdr:cNvPicPr/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476375" y="8667750"/>
          <a:ext cx="4155791" cy="1333500"/>
        </a:xfrm>
        <a:prstGeom prst="rect">
          <a:avLst/>
        </a:prstGeom>
        <a:ln w="19050">
          <a:solidFill>
            <a:schemeClr val="accent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571501</xdr:colOff>
      <xdr:row>51</xdr:row>
      <xdr:rowOff>76200</xdr:rowOff>
    </xdr:from>
    <xdr:to>
      <xdr:col>6</xdr:col>
      <xdr:colOff>590551</xdr:colOff>
      <xdr:row>54</xdr:row>
      <xdr:rowOff>2963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0301" y="9344025"/>
          <a:ext cx="1847850" cy="469688"/>
        </a:xfrm>
        <a:prstGeom prst="rect">
          <a:avLst/>
        </a:prstGeom>
        <a:ln w="19050">
          <a:solidFill>
            <a:schemeClr val="accent1"/>
          </a:solidFill>
        </a:ln>
      </xdr:spPr>
    </xdr:pic>
    <xdr:clientData/>
  </xdr:twoCellAnchor>
  <xdr:twoCellAnchor>
    <xdr:from>
      <xdr:col>6</xdr:col>
      <xdr:colOff>76200</xdr:colOff>
      <xdr:row>25</xdr:row>
      <xdr:rowOff>85727</xdr:rowOff>
    </xdr:from>
    <xdr:to>
      <xdr:col>6</xdr:col>
      <xdr:colOff>485775</xdr:colOff>
      <xdr:row>25</xdr:row>
      <xdr:rowOff>85727</xdr:rowOff>
    </xdr:to>
    <xdr:cxnSp macro="">
      <xdr:nvCxnSpPr>
        <xdr:cNvPr id="24" name="Łącznik prosty ze strzałką 23"/>
        <xdr:cNvCxnSpPr/>
      </xdr:nvCxnSpPr>
      <xdr:spPr>
        <a:xfrm>
          <a:off x="3733800" y="4781552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29</xdr:row>
      <xdr:rowOff>85727</xdr:rowOff>
    </xdr:from>
    <xdr:to>
      <xdr:col>3</xdr:col>
      <xdr:colOff>466725</xdr:colOff>
      <xdr:row>29</xdr:row>
      <xdr:rowOff>85727</xdr:rowOff>
    </xdr:to>
    <xdr:cxnSp macro="">
      <xdr:nvCxnSpPr>
        <xdr:cNvPr id="26" name="Łącznik prosty ze strzałką 25"/>
        <xdr:cNvCxnSpPr/>
      </xdr:nvCxnSpPr>
      <xdr:spPr>
        <a:xfrm>
          <a:off x="1885950" y="5505452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85725</xdr:colOff>
      <xdr:row>52</xdr:row>
      <xdr:rowOff>114302</xdr:rowOff>
    </xdr:from>
    <xdr:to>
      <xdr:col>3</xdr:col>
      <xdr:colOff>495300</xdr:colOff>
      <xdr:row>52</xdr:row>
      <xdr:rowOff>114302</xdr:rowOff>
    </xdr:to>
    <xdr:cxnSp macro="">
      <xdr:nvCxnSpPr>
        <xdr:cNvPr id="27" name="Łącznik prosty ze strzałką 26"/>
        <xdr:cNvCxnSpPr/>
      </xdr:nvCxnSpPr>
      <xdr:spPr>
        <a:xfrm>
          <a:off x="1914525" y="9582152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552450</xdr:colOff>
      <xdr:row>43</xdr:row>
      <xdr:rowOff>0</xdr:rowOff>
    </xdr:from>
    <xdr:to>
      <xdr:col>5</xdr:col>
      <xdr:colOff>93684</xdr:colOff>
      <xdr:row>45</xdr:row>
      <xdr:rowOff>66675</xdr:rowOff>
    </xdr:to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50" y="7839075"/>
          <a:ext cx="760434" cy="447675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>
    <xdr:from>
      <xdr:col>3</xdr:col>
      <xdr:colOff>66675</xdr:colOff>
      <xdr:row>44</xdr:row>
      <xdr:rowOff>38102</xdr:rowOff>
    </xdr:from>
    <xdr:to>
      <xdr:col>3</xdr:col>
      <xdr:colOff>476250</xdr:colOff>
      <xdr:row>44</xdr:row>
      <xdr:rowOff>38102</xdr:rowOff>
    </xdr:to>
    <xdr:cxnSp macro="">
      <xdr:nvCxnSpPr>
        <xdr:cNvPr id="29" name="Łącznik prosty ze strzałką 28"/>
        <xdr:cNvCxnSpPr/>
      </xdr:nvCxnSpPr>
      <xdr:spPr>
        <a:xfrm>
          <a:off x="1895475" y="8058152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11</xdr:row>
      <xdr:rowOff>95250</xdr:rowOff>
    </xdr:from>
    <xdr:to>
      <xdr:col>12</xdr:col>
      <xdr:colOff>409575</xdr:colOff>
      <xdr:row>11</xdr:row>
      <xdr:rowOff>95250</xdr:rowOff>
    </xdr:to>
    <xdr:cxnSp macro="">
      <xdr:nvCxnSpPr>
        <xdr:cNvPr id="30" name="Łącznik prosty ze strzałką 29"/>
        <xdr:cNvCxnSpPr/>
      </xdr:nvCxnSpPr>
      <xdr:spPr>
        <a:xfrm>
          <a:off x="7315200" y="2257425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304801</xdr:colOff>
      <xdr:row>12</xdr:row>
      <xdr:rowOff>114300</xdr:rowOff>
    </xdr:from>
    <xdr:to>
      <xdr:col>17</xdr:col>
      <xdr:colOff>314325</xdr:colOff>
      <xdr:row>17</xdr:row>
      <xdr:rowOff>66675</xdr:rowOff>
    </xdr:to>
    <xdr:cxnSp macro="">
      <xdr:nvCxnSpPr>
        <xdr:cNvPr id="32" name="Łącznik prosty ze strzałką 31"/>
        <xdr:cNvCxnSpPr/>
      </xdr:nvCxnSpPr>
      <xdr:spPr>
        <a:xfrm>
          <a:off x="10668001" y="2476500"/>
          <a:ext cx="9524" cy="87630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181920</xdr:colOff>
      <xdr:row>30</xdr:row>
      <xdr:rowOff>18061</xdr:rowOff>
    </xdr:from>
    <xdr:to>
      <xdr:col>12</xdr:col>
      <xdr:colOff>249082</xdr:colOff>
      <xdr:row>32</xdr:row>
      <xdr:rowOff>156776</xdr:rowOff>
    </xdr:to>
    <xdr:pic>
      <xdr:nvPicPr>
        <xdr:cNvPr id="68" name="Obraz 6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7520" y="5237761"/>
          <a:ext cx="676762" cy="462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514350</xdr:colOff>
      <xdr:row>26</xdr:row>
      <xdr:rowOff>83744</xdr:rowOff>
    </xdr:from>
    <xdr:to>
      <xdr:col>11</xdr:col>
      <xdr:colOff>520301</xdr:colOff>
      <xdr:row>30</xdr:row>
      <xdr:rowOff>18061</xdr:rowOff>
    </xdr:to>
    <xdr:cxnSp macro="">
      <xdr:nvCxnSpPr>
        <xdr:cNvPr id="69" name="Łącznik prosty 68"/>
        <xdr:cNvCxnSpPr>
          <a:stCxn id="84" idx="2"/>
          <a:endCxn id="68" idx="0"/>
        </xdr:cNvCxnSpPr>
      </xdr:nvCxnSpPr>
      <xdr:spPr>
        <a:xfrm>
          <a:off x="7219950" y="4960544"/>
          <a:ext cx="5951" cy="658217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180499</xdr:colOff>
      <xdr:row>36</xdr:row>
      <xdr:rowOff>17146</xdr:rowOff>
    </xdr:from>
    <xdr:to>
      <xdr:col>12</xdr:col>
      <xdr:colOff>243470</xdr:colOff>
      <xdr:row>38</xdr:row>
      <xdr:rowOff>112080</xdr:rowOff>
    </xdr:to>
    <xdr:pic>
      <xdr:nvPicPr>
        <xdr:cNvPr id="70" name="Obraz 6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6099" y="6284596"/>
          <a:ext cx="672571" cy="456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516785</xdr:colOff>
      <xdr:row>32</xdr:row>
      <xdr:rowOff>118676</xdr:rowOff>
    </xdr:from>
    <xdr:to>
      <xdr:col>11</xdr:col>
      <xdr:colOff>520301</xdr:colOff>
      <xdr:row>36</xdr:row>
      <xdr:rowOff>17146</xdr:rowOff>
    </xdr:to>
    <xdr:cxnSp macro="">
      <xdr:nvCxnSpPr>
        <xdr:cNvPr id="71" name="Łącznik prosty 70"/>
        <xdr:cNvCxnSpPr>
          <a:stCxn id="68" idx="2"/>
          <a:endCxn id="70" idx="0"/>
        </xdr:cNvCxnSpPr>
      </xdr:nvCxnSpPr>
      <xdr:spPr>
        <a:xfrm flipH="1">
          <a:off x="7222385" y="5700326"/>
          <a:ext cx="3516" cy="58427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15</xdr:col>
      <xdr:colOff>145928</xdr:colOff>
      <xdr:row>23</xdr:row>
      <xdr:rowOff>19995</xdr:rowOff>
    </xdr:from>
    <xdr:to>
      <xdr:col>16</xdr:col>
      <xdr:colOff>205586</xdr:colOff>
      <xdr:row>25</xdr:row>
      <xdr:rowOff>107473</xdr:rowOff>
    </xdr:to>
    <xdr:pic>
      <xdr:nvPicPr>
        <xdr:cNvPr id="72" name="Obraz 7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9928" y="4030020"/>
          <a:ext cx="669258" cy="4494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438150</xdr:colOff>
      <xdr:row>24</xdr:row>
      <xdr:rowOff>79972</xdr:rowOff>
    </xdr:from>
    <xdr:to>
      <xdr:col>15</xdr:col>
      <xdr:colOff>145928</xdr:colOff>
      <xdr:row>24</xdr:row>
      <xdr:rowOff>82784</xdr:rowOff>
    </xdr:to>
    <xdr:cxnSp macro="">
      <xdr:nvCxnSpPr>
        <xdr:cNvPr id="73" name="Łącznik prosty 72"/>
        <xdr:cNvCxnSpPr>
          <a:stCxn id="84" idx="3"/>
          <a:endCxn id="72" idx="1"/>
        </xdr:cNvCxnSpPr>
      </xdr:nvCxnSpPr>
      <xdr:spPr>
        <a:xfrm>
          <a:off x="7753350" y="4251922"/>
          <a:ext cx="1536578" cy="2812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514351</xdr:colOff>
      <xdr:row>38</xdr:row>
      <xdr:rowOff>112080</xdr:rowOff>
    </xdr:from>
    <xdr:to>
      <xdr:col>11</xdr:col>
      <xdr:colOff>516785</xdr:colOff>
      <xdr:row>42</xdr:row>
      <xdr:rowOff>9525</xdr:rowOff>
    </xdr:to>
    <xdr:cxnSp macro="">
      <xdr:nvCxnSpPr>
        <xdr:cNvPr id="74" name="Łącznik prosty 73"/>
        <xdr:cNvCxnSpPr>
          <a:stCxn id="70" idx="2"/>
        </xdr:cNvCxnSpPr>
      </xdr:nvCxnSpPr>
      <xdr:spPr>
        <a:xfrm flipH="1">
          <a:off x="7219951" y="6741480"/>
          <a:ext cx="2434" cy="583245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249082</xdr:colOff>
      <xdr:row>31</xdr:row>
      <xdr:rowOff>87419</xdr:rowOff>
    </xdr:from>
    <xdr:to>
      <xdr:col>14</xdr:col>
      <xdr:colOff>19050</xdr:colOff>
      <xdr:row>31</xdr:row>
      <xdr:rowOff>87419</xdr:rowOff>
    </xdr:to>
    <xdr:cxnSp macro="">
      <xdr:nvCxnSpPr>
        <xdr:cNvPr id="75" name="Łącznik prosty 74"/>
        <xdr:cNvCxnSpPr>
          <a:stCxn id="68" idx="3"/>
        </xdr:cNvCxnSpPr>
      </xdr:nvCxnSpPr>
      <xdr:spPr>
        <a:xfrm>
          <a:off x="7564282" y="5850044"/>
          <a:ext cx="989168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243470</xdr:colOff>
      <xdr:row>37</xdr:row>
      <xdr:rowOff>45563</xdr:rowOff>
    </xdr:from>
    <xdr:to>
      <xdr:col>14</xdr:col>
      <xdr:colOff>0</xdr:colOff>
      <xdr:row>37</xdr:row>
      <xdr:rowOff>45563</xdr:rowOff>
    </xdr:to>
    <xdr:cxnSp macro="">
      <xdr:nvCxnSpPr>
        <xdr:cNvPr id="76" name="Łącznik prosty 75"/>
        <xdr:cNvCxnSpPr>
          <a:stCxn id="70" idx="3"/>
        </xdr:cNvCxnSpPr>
      </xdr:nvCxnSpPr>
      <xdr:spPr>
        <a:xfrm>
          <a:off x="7558670" y="6894038"/>
          <a:ext cx="975730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480557</xdr:colOff>
      <xdr:row>25</xdr:row>
      <xdr:rowOff>107473</xdr:rowOff>
    </xdr:from>
    <xdr:to>
      <xdr:col>15</xdr:col>
      <xdr:colOff>482389</xdr:colOff>
      <xdr:row>33</xdr:row>
      <xdr:rowOff>1</xdr:rowOff>
    </xdr:to>
    <xdr:cxnSp macro="">
      <xdr:nvCxnSpPr>
        <xdr:cNvPr id="77" name="Łącznik prosty 76"/>
        <xdr:cNvCxnSpPr>
          <a:stCxn id="72" idx="2"/>
          <a:endCxn id="85" idx="0"/>
        </xdr:cNvCxnSpPr>
      </xdr:nvCxnSpPr>
      <xdr:spPr>
        <a:xfrm>
          <a:off x="9624557" y="4822348"/>
          <a:ext cx="1832" cy="1302228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482389</xdr:colOff>
      <xdr:row>35</xdr:row>
      <xdr:rowOff>107167</xdr:rowOff>
    </xdr:from>
    <xdr:to>
      <xdr:col>15</xdr:col>
      <xdr:colOff>484046</xdr:colOff>
      <xdr:row>39</xdr:row>
      <xdr:rowOff>0</xdr:rowOff>
    </xdr:to>
    <xdr:cxnSp macro="">
      <xdr:nvCxnSpPr>
        <xdr:cNvPr id="78" name="Łącznik prosty 77"/>
        <xdr:cNvCxnSpPr>
          <a:stCxn id="85" idx="2"/>
        </xdr:cNvCxnSpPr>
      </xdr:nvCxnSpPr>
      <xdr:spPr>
        <a:xfrm>
          <a:off x="9626389" y="6212692"/>
          <a:ext cx="1657" cy="616733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17</xdr:col>
      <xdr:colOff>430074</xdr:colOff>
      <xdr:row>23</xdr:row>
      <xdr:rowOff>18970</xdr:rowOff>
    </xdr:from>
    <xdr:to>
      <xdr:col>18</xdr:col>
      <xdr:colOff>484665</xdr:colOff>
      <xdr:row>25</xdr:row>
      <xdr:rowOff>111890</xdr:rowOff>
    </xdr:to>
    <xdr:pic>
      <xdr:nvPicPr>
        <xdr:cNvPr id="79" name="Obraz 7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3274" y="4028995"/>
          <a:ext cx="664191" cy="454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205586</xdr:colOff>
      <xdr:row>24</xdr:row>
      <xdr:rowOff>82784</xdr:rowOff>
    </xdr:from>
    <xdr:to>
      <xdr:col>17</xdr:col>
      <xdr:colOff>430074</xdr:colOff>
      <xdr:row>24</xdr:row>
      <xdr:rowOff>84480</xdr:rowOff>
    </xdr:to>
    <xdr:cxnSp macro="">
      <xdr:nvCxnSpPr>
        <xdr:cNvPr id="80" name="Łącznik prosty 79"/>
        <xdr:cNvCxnSpPr>
          <a:stCxn id="72" idx="3"/>
          <a:endCxn id="79" idx="1"/>
        </xdr:cNvCxnSpPr>
      </xdr:nvCxnSpPr>
      <xdr:spPr>
        <a:xfrm>
          <a:off x="9959186" y="4254734"/>
          <a:ext cx="834088" cy="1696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222654</xdr:colOff>
      <xdr:row>34</xdr:row>
      <xdr:rowOff>72634</xdr:rowOff>
    </xdr:from>
    <xdr:to>
      <xdr:col>18</xdr:col>
      <xdr:colOff>0</xdr:colOff>
      <xdr:row>34</xdr:row>
      <xdr:rowOff>72634</xdr:rowOff>
    </xdr:to>
    <xdr:cxnSp macro="">
      <xdr:nvCxnSpPr>
        <xdr:cNvPr id="81" name="Łącznik prosty 80"/>
        <xdr:cNvCxnSpPr>
          <a:stCxn id="85" idx="3"/>
        </xdr:cNvCxnSpPr>
      </xdr:nvCxnSpPr>
      <xdr:spPr>
        <a:xfrm>
          <a:off x="9976254" y="6359134"/>
          <a:ext cx="996546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151913</xdr:colOff>
      <xdr:row>25</xdr:row>
      <xdr:rowOff>111890</xdr:rowOff>
    </xdr:from>
    <xdr:to>
      <xdr:col>18</xdr:col>
      <xdr:colOff>152570</xdr:colOff>
      <xdr:row>31</xdr:row>
      <xdr:rowOff>0</xdr:rowOff>
    </xdr:to>
    <xdr:cxnSp macro="">
      <xdr:nvCxnSpPr>
        <xdr:cNvPr id="82" name="Łącznik prosty 81"/>
        <xdr:cNvCxnSpPr>
          <a:stCxn id="79" idx="2"/>
        </xdr:cNvCxnSpPr>
      </xdr:nvCxnSpPr>
      <xdr:spPr>
        <a:xfrm flipH="1">
          <a:off x="11124713" y="4826765"/>
          <a:ext cx="657" cy="93586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484665</xdr:colOff>
      <xdr:row>24</xdr:row>
      <xdr:rowOff>83344</xdr:rowOff>
    </xdr:from>
    <xdr:to>
      <xdr:col>19</xdr:col>
      <xdr:colOff>601266</xdr:colOff>
      <xdr:row>24</xdr:row>
      <xdr:rowOff>84480</xdr:rowOff>
    </xdr:to>
    <xdr:cxnSp macro="">
      <xdr:nvCxnSpPr>
        <xdr:cNvPr id="83" name="Łącznik prosty 82"/>
        <xdr:cNvCxnSpPr>
          <a:stCxn id="79" idx="3"/>
        </xdr:cNvCxnSpPr>
      </xdr:nvCxnSpPr>
      <xdr:spPr>
        <a:xfrm flipV="1">
          <a:off x="11457465" y="4255294"/>
          <a:ext cx="726201" cy="1136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590550</xdr:colOff>
      <xdr:row>22</xdr:row>
      <xdr:rowOff>38100</xdr:rowOff>
    </xdr:from>
    <xdr:to>
      <xdr:col>12</xdr:col>
      <xdr:colOff>438150</xdr:colOff>
      <xdr:row>26</xdr:row>
      <xdr:rowOff>83744</xdr:rowOff>
    </xdr:to>
    <xdr:pic>
      <xdr:nvPicPr>
        <xdr:cNvPr id="84" name="Obraz 83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3886200"/>
          <a:ext cx="1066800" cy="731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132524</xdr:colOff>
      <xdr:row>33</xdr:row>
      <xdr:rowOff>1</xdr:rowOff>
    </xdr:from>
    <xdr:to>
      <xdr:col>16</xdr:col>
      <xdr:colOff>222654</xdr:colOff>
      <xdr:row>35</xdr:row>
      <xdr:rowOff>145267</xdr:rowOff>
    </xdr:to>
    <xdr:pic>
      <xdr:nvPicPr>
        <xdr:cNvPr id="85" name="Obraz 84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6524" y="5743576"/>
          <a:ext cx="699730" cy="469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600075</xdr:colOff>
      <xdr:row>10</xdr:row>
      <xdr:rowOff>66675</xdr:rowOff>
    </xdr:from>
    <xdr:to>
      <xdr:col>14</xdr:col>
      <xdr:colOff>142875</xdr:colOff>
      <xdr:row>12</xdr:row>
      <xdr:rowOff>120464</xdr:rowOff>
    </xdr:to>
    <xdr:pic>
      <xdr:nvPicPr>
        <xdr:cNvPr id="34" name="Obraz 3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15275" y="2028825"/>
          <a:ext cx="762000" cy="453839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7</xdr:col>
      <xdr:colOff>28575</xdr:colOff>
      <xdr:row>24</xdr:row>
      <xdr:rowOff>28575</xdr:rowOff>
    </xdr:from>
    <xdr:to>
      <xdr:col>8</xdr:col>
      <xdr:colOff>367266</xdr:colOff>
      <xdr:row>26</xdr:row>
      <xdr:rowOff>49369</xdr:rowOff>
    </xdr:to>
    <xdr:pic>
      <xdr:nvPicPr>
        <xdr:cNvPr id="35" name="Obraz 3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95775" y="4543425"/>
          <a:ext cx="948291" cy="382744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4</xdr:col>
      <xdr:colOff>28575</xdr:colOff>
      <xdr:row>28</xdr:row>
      <xdr:rowOff>28575</xdr:rowOff>
    </xdr:from>
    <xdr:to>
      <xdr:col>6</xdr:col>
      <xdr:colOff>85724</xdr:colOff>
      <xdr:row>30</xdr:row>
      <xdr:rowOff>81025</xdr:rowOff>
    </xdr:to>
    <xdr:pic>
      <xdr:nvPicPr>
        <xdr:cNvPr id="36" name="Obraz 3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466975" y="5267325"/>
          <a:ext cx="1276349" cy="414400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8</xdr:col>
      <xdr:colOff>495300</xdr:colOff>
      <xdr:row>11</xdr:row>
      <xdr:rowOff>112685</xdr:rowOff>
    </xdr:to>
    <xdr:pic>
      <xdr:nvPicPr>
        <xdr:cNvPr id="37" name="Obraz 3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438400" y="1000125"/>
          <a:ext cx="2933700" cy="1274735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12</xdr:col>
      <xdr:colOff>381000</xdr:colOff>
      <xdr:row>44</xdr:row>
      <xdr:rowOff>85725</xdr:rowOff>
    </xdr:from>
    <xdr:to>
      <xdr:col>19</xdr:col>
      <xdr:colOff>257175</xdr:colOff>
      <xdr:row>51</xdr:row>
      <xdr:rowOff>181167</xdr:rowOff>
    </xdr:to>
    <xdr:pic>
      <xdr:nvPicPr>
        <xdr:cNvPr id="39" name="Obraz 38"/>
        <xdr:cNvPicPr/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696200" y="8124825"/>
          <a:ext cx="4143375" cy="1343217"/>
        </a:xfrm>
        <a:prstGeom prst="rect">
          <a:avLst/>
        </a:prstGeom>
        <a:ln w="19050">
          <a:solidFill>
            <a:schemeClr val="accent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23259</xdr:colOff>
      <xdr:row>24</xdr:row>
      <xdr:rowOff>28576</xdr:rowOff>
    </xdr:from>
    <xdr:to>
      <xdr:col>8</xdr:col>
      <xdr:colOff>361950</xdr:colOff>
      <xdr:row>26</xdr:row>
      <xdr:rowOff>49370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0459" y="4543426"/>
          <a:ext cx="948291" cy="382744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>
    <xdr:from>
      <xdr:col>6</xdr:col>
      <xdr:colOff>76200</xdr:colOff>
      <xdr:row>25</xdr:row>
      <xdr:rowOff>85727</xdr:rowOff>
    </xdr:from>
    <xdr:to>
      <xdr:col>6</xdr:col>
      <xdr:colOff>485775</xdr:colOff>
      <xdr:row>25</xdr:row>
      <xdr:rowOff>85727</xdr:rowOff>
    </xdr:to>
    <xdr:cxnSp macro="">
      <xdr:nvCxnSpPr>
        <xdr:cNvPr id="34" name="Łącznik prosty ze strzałką 33"/>
        <xdr:cNvCxnSpPr/>
      </xdr:nvCxnSpPr>
      <xdr:spPr>
        <a:xfrm>
          <a:off x="3733800" y="4438652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28576</xdr:colOff>
      <xdr:row>28</xdr:row>
      <xdr:rowOff>28576</xdr:rowOff>
    </xdr:from>
    <xdr:to>
      <xdr:col>6</xdr:col>
      <xdr:colOff>85725</xdr:colOff>
      <xdr:row>30</xdr:row>
      <xdr:rowOff>81026</xdr:rowOff>
    </xdr:to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66976" y="5267326"/>
          <a:ext cx="1276349" cy="414400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>
    <xdr:from>
      <xdr:col>3</xdr:col>
      <xdr:colOff>57150</xdr:colOff>
      <xdr:row>29</xdr:row>
      <xdr:rowOff>85727</xdr:rowOff>
    </xdr:from>
    <xdr:to>
      <xdr:col>3</xdr:col>
      <xdr:colOff>466725</xdr:colOff>
      <xdr:row>29</xdr:row>
      <xdr:rowOff>85727</xdr:rowOff>
    </xdr:to>
    <xdr:cxnSp macro="">
      <xdr:nvCxnSpPr>
        <xdr:cNvPr id="38" name="Łącznik prosty ze strzałką 37"/>
        <xdr:cNvCxnSpPr/>
      </xdr:nvCxnSpPr>
      <xdr:spPr>
        <a:xfrm>
          <a:off x="1885950" y="5162552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85725</xdr:colOff>
      <xdr:row>53</xdr:row>
      <xdr:rowOff>114302</xdr:rowOff>
    </xdr:from>
    <xdr:to>
      <xdr:col>3</xdr:col>
      <xdr:colOff>495300</xdr:colOff>
      <xdr:row>53</xdr:row>
      <xdr:rowOff>114302</xdr:rowOff>
    </xdr:to>
    <xdr:cxnSp macro="">
      <xdr:nvCxnSpPr>
        <xdr:cNvPr id="39" name="Łącznik prosty ze strzałką 38"/>
        <xdr:cNvCxnSpPr/>
      </xdr:nvCxnSpPr>
      <xdr:spPr>
        <a:xfrm>
          <a:off x="1914525" y="9182102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552450</xdr:colOff>
      <xdr:row>43</xdr:row>
      <xdr:rowOff>0</xdr:rowOff>
    </xdr:from>
    <xdr:to>
      <xdr:col>5</xdr:col>
      <xdr:colOff>93684</xdr:colOff>
      <xdr:row>45</xdr:row>
      <xdr:rowOff>66675</xdr:rowOff>
    </xdr:to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50" y="7496175"/>
          <a:ext cx="760434" cy="447675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>
    <xdr:from>
      <xdr:col>3</xdr:col>
      <xdr:colOff>66675</xdr:colOff>
      <xdr:row>44</xdr:row>
      <xdr:rowOff>38102</xdr:rowOff>
    </xdr:from>
    <xdr:to>
      <xdr:col>3</xdr:col>
      <xdr:colOff>476250</xdr:colOff>
      <xdr:row>44</xdr:row>
      <xdr:rowOff>38102</xdr:rowOff>
    </xdr:to>
    <xdr:cxnSp macro="">
      <xdr:nvCxnSpPr>
        <xdr:cNvPr id="41" name="Łącznik prosty ze strzałką 40"/>
        <xdr:cNvCxnSpPr/>
      </xdr:nvCxnSpPr>
      <xdr:spPr>
        <a:xfrm>
          <a:off x="1895475" y="7696202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11</xdr:row>
      <xdr:rowOff>95250</xdr:rowOff>
    </xdr:from>
    <xdr:to>
      <xdr:col>12</xdr:col>
      <xdr:colOff>409575</xdr:colOff>
      <xdr:row>11</xdr:row>
      <xdr:rowOff>95250</xdr:rowOff>
    </xdr:to>
    <xdr:cxnSp macro="">
      <xdr:nvCxnSpPr>
        <xdr:cNvPr id="49" name="Łącznik prosty ze strzałką 48"/>
        <xdr:cNvCxnSpPr/>
      </xdr:nvCxnSpPr>
      <xdr:spPr>
        <a:xfrm>
          <a:off x="7315200" y="1581150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552450</xdr:colOff>
      <xdr:row>10</xdr:row>
      <xdr:rowOff>76200</xdr:rowOff>
    </xdr:from>
    <xdr:to>
      <xdr:col>14</xdr:col>
      <xdr:colOff>95250</xdr:colOff>
      <xdr:row>12</xdr:row>
      <xdr:rowOff>129989</xdr:rowOff>
    </xdr:to>
    <xdr:pic>
      <xdr:nvPicPr>
        <xdr:cNvPr id="37" name="Obraz 3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67650" y="2038350"/>
          <a:ext cx="762000" cy="453839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>
    <xdr:from>
      <xdr:col>17</xdr:col>
      <xdr:colOff>304801</xdr:colOff>
      <xdr:row>12</xdr:row>
      <xdr:rowOff>114300</xdr:rowOff>
    </xdr:from>
    <xdr:to>
      <xdr:col>17</xdr:col>
      <xdr:colOff>314325</xdr:colOff>
      <xdr:row>17</xdr:row>
      <xdr:rowOff>66675</xdr:rowOff>
    </xdr:to>
    <xdr:cxnSp macro="">
      <xdr:nvCxnSpPr>
        <xdr:cNvPr id="51" name="Łącznik prosty ze strzałką 50"/>
        <xdr:cNvCxnSpPr/>
      </xdr:nvCxnSpPr>
      <xdr:spPr>
        <a:xfrm>
          <a:off x="10668001" y="2476500"/>
          <a:ext cx="9524" cy="87630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295276</xdr:colOff>
      <xdr:row>48</xdr:row>
      <xdr:rowOff>104775</xdr:rowOff>
    </xdr:from>
    <xdr:to>
      <xdr:col>4</xdr:col>
      <xdr:colOff>485776</xdr:colOff>
      <xdr:row>50</xdr:row>
      <xdr:rowOff>182204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24076" y="8810625"/>
          <a:ext cx="800100" cy="477479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>
    <xdr:from>
      <xdr:col>2</xdr:col>
      <xdr:colOff>323850</xdr:colOff>
      <xdr:row>50</xdr:row>
      <xdr:rowOff>114302</xdr:rowOff>
    </xdr:from>
    <xdr:to>
      <xdr:col>3</xdr:col>
      <xdr:colOff>123825</xdr:colOff>
      <xdr:row>50</xdr:row>
      <xdr:rowOff>114302</xdr:rowOff>
    </xdr:to>
    <xdr:cxnSp macro="">
      <xdr:nvCxnSpPr>
        <xdr:cNvPr id="36" name="Łącznik prosty ze strzałką 35"/>
        <xdr:cNvCxnSpPr/>
      </xdr:nvCxnSpPr>
      <xdr:spPr>
        <a:xfrm>
          <a:off x="1543050" y="9220202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19050</xdr:colOff>
      <xdr:row>52</xdr:row>
      <xdr:rowOff>104775</xdr:rowOff>
    </xdr:from>
    <xdr:to>
      <xdr:col>7</xdr:col>
      <xdr:colOff>85725</xdr:colOff>
      <xdr:row>54</xdr:row>
      <xdr:rowOff>154293</xdr:rowOff>
    </xdr:to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57450" y="9572625"/>
          <a:ext cx="1895475" cy="449568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11</xdr:col>
      <xdr:colOff>181920</xdr:colOff>
      <xdr:row>30</xdr:row>
      <xdr:rowOff>18061</xdr:rowOff>
    </xdr:from>
    <xdr:to>
      <xdr:col>12</xdr:col>
      <xdr:colOff>249082</xdr:colOff>
      <xdr:row>32</xdr:row>
      <xdr:rowOff>156776</xdr:rowOff>
    </xdr:to>
    <xdr:pic>
      <xdr:nvPicPr>
        <xdr:cNvPr id="61" name="Obraz 6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7520" y="5618761"/>
          <a:ext cx="676762" cy="462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514350</xdr:colOff>
      <xdr:row>26</xdr:row>
      <xdr:rowOff>83744</xdr:rowOff>
    </xdr:from>
    <xdr:to>
      <xdr:col>11</xdr:col>
      <xdr:colOff>520301</xdr:colOff>
      <xdr:row>30</xdr:row>
      <xdr:rowOff>18061</xdr:rowOff>
    </xdr:to>
    <xdr:cxnSp macro="">
      <xdr:nvCxnSpPr>
        <xdr:cNvPr id="62" name="Łącznik prosty 61"/>
        <xdr:cNvCxnSpPr>
          <a:stCxn id="77" idx="2"/>
          <a:endCxn id="61" idx="0"/>
        </xdr:cNvCxnSpPr>
      </xdr:nvCxnSpPr>
      <xdr:spPr>
        <a:xfrm>
          <a:off x="7219950" y="4960544"/>
          <a:ext cx="5951" cy="658217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180499</xdr:colOff>
      <xdr:row>36</xdr:row>
      <xdr:rowOff>17146</xdr:rowOff>
    </xdr:from>
    <xdr:to>
      <xdr:col>12</xdr:col>
      <xdr:colOff>243470</xdr:colOff>
      <xdr:row>38</xdr:row>
      <xdr:rowOff>112080</xdr:rowOff>
    </xdr:to>
    <xdr:pic>
      <xdr:nvPicPr>
        <xdr:cNvPr id="63" name="Obraz 6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6099" y="6665596"/>
          <a:ext cx="672571" cy="456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516785</xdr:colOff>
      <xdr:row>32</xdr:row>
      <xdr:rowOff>118676</xdr:rowOff>
    </xdr:from>
    <xdr:to>
      <xdr:col>11</xdr:col>
      <xdr:colOff>520301</xdr:colOff>
      <xdr:row>36</xdr:row>
      <xdr:rowOff>17146</xdr:rowOff>
    </xdr:to>
    <xdr:cxnSp macro="">
      <xdr:nvCxnSpPr>
        <xdr:cNvPr id="64" name="Łącznik prosty 63"/>
        <xdr:cNvCxnSpPr>
          <a:stCxn id="61" idx="2"/>
          <a:endCxn id="63" idx="0"/>
        </xdr:cNvCxnSpPr>
      </xdr:nvCxnSpPr>
      <xdr:spPr>
        <a:xfrm flipH="1">
          <a:off x="7222385" y="6043226"/>
          <a:ext cx="3516" cy="62237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15</xdr:col>
      <xdr:colOff>145928</xdr:colOff>
      <xdr:row>23</xdr:row>
      <xdr:rowOff>19995</xdr:rowOff>
    </xdr:from>
    <xdr:to>
      <xdr:col>16</xdr:col>
      <xdr:colOff>205586</xdr:colOff>
      <xdr:row>25</xdr:row>
      <xdr:rowOff>107473</xdr:rowOff>
    </xdr:to>
    <xdr:pic>
      <xdr:nvPicPr>
        <xdr:cNvPr id="65" name="Obraz 64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9928" y="4372920"/>
          <a:ext cx="669258" cy="4494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438150</xdr:colOff>
      <xdr:row>24</xdr:row>
      <xdr:rowOff>79972</xdr:rowOff>
    </xdr:from>
    <xdr:to>
      <xdr:col>15</xdr:col>
      <xdr:colOff>145928</xdr:colOff>
      <xdr:row>24</xdr:row>
      <xdr:rowOff>82784</xdr:rowOff>
    </xdr:to>
    <xdr:cxnSp macro="">
      <xdr:nvCxnSpPr>
        <xdr:cNvPr id="66" name="Łącznik prosty 65"/>
        <xdr:cNvCxnSpPr>
          <a:stCxn id="77" idx="3"/>
          <a:endCxn id="65" idx="1"/>
        </xdr:cNvCxnSpPr>
      </xdr:nvCxnSpPr>
      <xdr:spPr>
        <a:xfrm>
          <a:off x="7753350" y="4594822"/>
          <a:ext cx="1536578" cy="2812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514351</xdr:colOff>
      <xdr:row>38</xdr:row>
      <xdr:rowOff>112080</xdr:rowOff>
    </xdr:from>
    <xdr:to>
      <xdr:col>11</xdr:col>
      <xdr:colOff>516785</xdr:colOff>
      <xdr:row>42</xdr:row>
      <xdr:rowOff>9525</xdr:rowOff>
    </xdr:to>
    <xdr:cxnSp macro="">
      <xdr:nvCxnSpPr>
        <xdr:cNvPr id="67" name="Łącznik prosty 66"/>
        <xdr:cNvCxnSpPr>
          <a:stCxn id="63" idx="2"/>
        </xdr:cNvCxnSpPr>
      </xdr:nvCxnSpPr>
      <xdr:spPr>
        <a:xfrm flipH="1">
          <a:off x="7219951" y="7122480"/>
          <a:ext cx="2434" cy="583245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249082</xdr:colOff>
      <xdr:row>31</xdr:row>
      <xdr:rowOff>87419</xdr:rowOff>
    </xdr:from>
    <xdr:to>
      <xdr:col>14</xdr:col>
      <xdr:colOff>19050</xdr:colOff>
      <xdr:row>31</xdr:row>
      <xdr:rowOff>87419</xdr:rowOff>
    </xdr:to>
    <xdr:cxnSp macro="">
      <xdr:nvCxnSpPr>
        <xdr:cNvPr id="68" name="Łącznik prosty 67"/>
        <xdr:cNvCxnSpPr>
          <a:stCxn id="61" idx="3"/>
        </xdr:cNvCxnSpPr>
      </xdr:nvCxnSpPr>
      <xdr:spPr>
        <a:xfrm>
          <a:off x="7564282" y="5850044"/>
          <a:ext cx="989168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243470</xdr:colOff>
      <xdr:row>37</xdr:row>
      <xdr:rowOff>45563</xdr:rowOff>
    </xdr:from>
    <xdr:to>
      <xdr:col>14</xdr:col>
      <xdr:colOff>0</xdr:colOff>
      <xdr:row>37</xdr:row>
      <xdr:rowOff>45563</xdr:rowOff>
    </xdr:to>
    <xdr:cxnSp macro="">
      <xdr:nvCxnSpPr>
        <xdr:cNvPr id="69" name="Łącznik prosty 68"/>
        <xdr:cNvCxnSpPr>
          <a:stCxn id="63" idx="3"/>
        </xdr:cNvCxnSpPr>
      </xdr:nvCxnSpPr>
      <xdr:spPr>
        <a:xfrm>
          <a:off x="7558670" y="6894038"/>
          <a:ext cx="975730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480557</xdr:colOff>
      <xdr:row>25</xdr:row>
      <xdr:rowOff>107473</xdr:rowOff>
    </xdr:from>
    <xdr:to>
      <xdr:col>15</xdr:col>
      <xdr:colOff>482389</xdr:colOff>
      <xdr:row>33</xdr:row>
      <xdr:rowOff>1</xdr:rowOff>
    </xdr:to>
    <xdr:cxnSp macro="">
      <xdr:nvCxnSpPr>
        <xdr:cNvPr id="70" name="Łącznik prosty 69"/>
        <xdr:cNvCxnSpPr>
          <a:stCxn id="65" idx="2"/>
          <a:endCxn id="78" idx="0"/>
        </xdr:cNvCxnSpPr>
      </xdr:nvCxnSpPr>
      <xdr:spPr>
        <a:xfrm>
          <a:off x="9624557" y="4822348"/>
          <a:ext cx="1832" cy="1302228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482389</xdr:colOff>
      <xdr:row>35</xdr:row>
      <xdr:rowOff>107167</xdr:rowOff>
    </xdr:from>
    <xdr:to>
      <xdr:col>15</xdr:col>
      <xdr:colOff>484046</xdr:colOff>
      <xdr:row>39</xdr:row>
      <xdr:rowOff>0</xdr:rowOff>
    </xdr:to>
    <xdr:cxnSp macro="">
      <xdr:nvCxnSpPr>
        <xdr:cNvPr id="71" name="Łącznik prosty 70"/>
        <xdr:cNvCxnSpPr>
          <a:stCxn id="78" idx="2"/>
        </xdr:cNvCxnSpPr>
      </xdr:nvCxnSpPr>
      <xdr:spPr>
        <a:xfrm>
          <a:off x="9626389" y="6555592"/>
          <a:ext cx="1657" cy="616733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17</xdr:col>
      <xdr:colOff>430074</xdr:colOff>
      <xdr:row>23</xdr:row>
      <xdr:rowOff>18970</xdr:rowOff>
    </xdr:from>
    <xdr:to>
      <xdr:col>18</xdr:col>
      <xdr:colOff>484665</xdr:colOff>
      <xdr:row>25</xdr:row>
      <xdr:rowOff>111890</xdr:rowOff>
    </xdr:to>
    <xdr:pic>
      <xdr:nvPicPr>
        <xdr:cNvPr id="72" name="Obraz 7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3274" y="4371895"/>
          <a:ext cx="664191" cy="454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205586</xdr:colOff>
      <xdr:row>24</xdr:row>
      <xdr:rowOff>82784</xdr:rowOff>
    </xdr:from>
    <xdr:to>
      <xdr:col>17</xdr:col>
      <xdr:colOff>430074</xdr:colOff>
      <xdr:row>24</xdr:row>
      <xdr:rowOff>84480</xdr:rowOff>
    </xdr:to>
    <xdr:cxnSp macro="">
      <xdr:nvCxnSpPr>
        <xdr:cNvPr id="73" name="Łącznik prosty 72"/>
        <xdr:cNvCxnSpPr>
          <a:stCxn id="65" idx="3"/>
          <a:endCxn id="72" idx="1"/>
        </xdr:cNvCxnSpPr>
      </xdr:nvCxnSpPr>
      <xdr:spPr>
        <a:xfrm>
          <a:off x="9959186" y="4597634"/>
          <a:ext cx="834088" cy="1696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222654</xdr:colOff>
      <xdr:row>34</xdr:row>
      <xdr:rowOff>72634</xdr:rowOff>
    </xdr:from>
    <xdr:to>
      <xdr:col>18</xdr:col>
      <xdr:colOff>0</xdr:colOff>
      <xdr:row>34</xdr:row>
      <xdr:rowOff>72634</xdr:rowOff>
    </xdr:to>
    <xdr:cxnSp macro="">
      <xdr:nvCxnSpPr>
        <xdr:cNvPr id="74" name="Łącznik prosty 73"/>
        <xdr:cNvCxnSpPr>
          <a:stCxn id="78" idx="3"/>
        </xdr:cNvCxnSpPr>
      </xdr:nvCxnSpPr>
      <xdr:spPr>
        <a:xfrm>
          <a:off x="9976254" y="6359134"/>
          <a:ext cx="996546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151913</xdr:colOff>
      <xdr:row>25</xdr:row>
      <xdr:rowOff>111890</xdr:rowOff>
    </xdr:from>
    <xdr:to>
      <xdr:col>18</xdr:col>
      <xdr:colOff>152570</xdr:colOff>
      <xdr:row>31</xdr:row>
      <xdr:rowOff>0</xdr:rowOff>
    </xdr:to>
    <xdr:cxnSp macro="">
      <xdr:nvCxnSpPr>
        <xdr:cNvPr id="75" name="Łącznik prosty 74"/>
        <xdr:cNvCxnSpPr>
          <a:stCxn id="72" idx="2"/>
        </xdr:cNvCxnSpPr>
      </xdr:nvCxnSpPr>
      <xdr:spPr>
        <a:xfrm flipH="1">
          <a:off x="11124713" y="4826765"/>
          <a:ext cx="657" cy="93586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484665</xdr:colOff>
      <xdr:row>24</xdr:row>
      <xdr:rowOff>83344</xdr:rowOff>
    </xdr:from>
    <xdr:to>
      <xdr:col>19</xdr:col>
      <xdr:colOff>601266</xdr:colOff>
      <xdr:row>24</xdr:row>
      <xdr:rowOff>84480</xdr:rowOff>
    </xdr:to>
    <xdr:cxnSp macro="">
      <xdr:nvCxnSpPr>
        <xdr:cNvPr id="76" name="Łącznik prosty 75"/>
        <xdr:cNvCxnSpPr>
          <a:stCxn id="72" idx="3"/>
        </xdr:cNvCxnSpPr>
      </xdr:nvCxnSpPr>
      <xdr:spPr>
        <a:xfrm flipV="1">
          <a:off x="11457465" y="4598194"/>
          <a:ext cx="726201" cy="1136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590550</xdr:colOff>
      <xdr:row>22</xdr:row>
      <xdr:rowOff>38100</xdr:rowOff>
    </xdr:from>
    <xdr:to>
      <xdr:col>12</xdr:col>
      <xdr:colOff>438150</xdr:colOff>
      <xdr:row>26</xdr:row>
      <xdr:rowOff>83744</xdr:rowOff>
    </xdr:to>
    <xdr:pic>
      <xdr:nvPicPr>
        <xdr:cNvPr id="77" name="Obraz 76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4229100"/>
          <a:ext cx="1066800" cy="731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132524</xdr:colOff>
      <xdr:row>33</xdr:row>
      <xdr:rowOff>1</xdr:rowOff>
    </xdr:from>
    <xdr:to>
      <xdr:col>16</xdr:col>
      <xdr:colOff>222654</xdr:colOff>
      <xdr:row>35</xdr:row>
      <xdr:rowOff>145267</xdr:rowOff>
    </xdr:to>
    <xdr:pic>
      <xdr:nvPicPr>
        <xdr:cNvPr id="78" name="Obraz 77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6524" y="6124576"/>
          <a:ext cx="699730" cy="469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8</xdr:col>
      <xdr:colOff>495300</xdr:colOff>
      <xdr:row>11</xdr:row>
      <xdr:rowOff>112685</xdr:rowOff>
    </xdr:to>
    <xdr:pic>
      <xdr:nvPicPr>
        <xdr:cNvPr id="35" name="Obraz 34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438400" y="1000125"/>
          <a:ext cx="2933700" cy="1274735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12</xdr:col>
      <xdr:colOff>295275</xdr:colOff>
      <xdr:row>44</xdr:row>
      <xdr:rowOff>76200</xdr:rowOff>
    </xdr:from>
    <xdr:to>
      <xdr:col>19</xdr:col>
      <xdr:colOff>183866</xdr:colOff>
      <xdr:row>51</xdr:row>
      <xdr:rowOff>123825</xdr:rowOff>
    </xdr:to>
    <xdr:pic>
      <xdr:nvPicPr>
        <xdr:cNvPr id="40" name="Obraz 39"/>
        <xdr:cNvPicPr/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610475" y="8115300"/>
          <a:ext cx="4155791" cy="1333500"/>
        </a:xfrm>
        <a:prstGeom prst="rect">
          <a:avLst/>
        </a:prstGeom>
        <a:ln w="19050">
          <a:solidFill>
            <a:schemeClr val="accent1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25</xdr:row>
      <xdr:rowOff>85727</xdr:rowOff>
    </xdr:from>
    <xdr:to>
      <xdr:col>6</xdr:col>
      <xdr:colOff>485775</xdr:colOff>
      <xdr:row>25</xdr:row>
      <xdr:rowOff>85727</xdr:rowOff>
    </xdr:to>
    <xdr:cxnSp macro="">
      <xdr:nvCxnSpPr>
        <xdr:cNvPr id="22" name="Łącznik prosty ze strzałką 21"/>
        <xdr:cNvCxnSpPr/>
      </xdr:nvCxnSpPr>
      <xdr:spPr>
        <a:xfrm>
          <a:off x="3733800" y="4781552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29</xdr:row>
      <xdr:rowOff>85727</xdr:rowOff>
    </xdr:from>
    <xdr:to>
      <xdr:col>3</xdr:col>
      <xdr:colOff>466725</xdr:colOff>
      <xdr:row>29</xdr:row>
      <xdr:rowOff>85727</xdr:rowOff>
    </xdr:to>
    <xdr:cxnSp macro="">
      <xdr:nvCxnSpPr>
        <xdr:cNvPr id="24" name="Łącznik prosty ze strzałką 23"/>
        <xdr:cNvCxnSpPr/>
      </xdr:nvCxnSpPr>
      <xdr:spPr>
        <a:xfrm>
          <a:off x="1885950" y="5505452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85725</xdr:colOff>
      <xdr:row>54</xdr:row>
      <xdr:rowOff>114302</xdr:rowOff>
    </xdr:from>
    <xdr:to>
      <xdr:col>3</xdr:col>
      <xdr:colOff>495300</xdr:colOff>
      <xdr:row>54</xdr:row>
      <xdr:rowOff>114302</xdr:rowOff>
    </xdr:to>
    <xdr:cxnSp macro="">
      <xdr:nvCxnSpPr>
        <xdr:cNvPr id="25" name="Łącznik prosty ze strzałką 24"/>
        <xdr:cNvCxnSpPr/>
      </xdr:nvCxnSpPr>
      <xdr:spPr>
        <a:xfrm>
          <a:off x="1914525" y="9782177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552450</xdr:colOff>
      <xdr:row>43</xdr:row>
      <xdr:rowOff>0</xdr:rowOff>
    </xdr:from>
    <xdr:to>
      <xdr:col>5</xdr:col>
      <xdr:colOff>93684</xdr:colOff>
      <xdr:row>45</xdr:row>
      <xdr:rowOff>66675</xdr:rowOff>
    </xdr:to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0" y="7839075"/>
          <a:ext cx="760434" cy="447675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>
    <xdr:from>
      <xdr:col>3</xdr:col>
      <xdr:colOff>66675</xdr:colOff>
      <xdr:row>44</xdr:row>
      <xdr:rowOff>38102</xdr:rowOff>
    </xdr:from>
    <xdr:to>
      <xdr:col>3</xdr:col>
      <xdr:colOff>476250</xdr:colOff>
      <xdr:row>44</xdr:row>
      <xdr:rowOff>38102</xdr:rowOff>
    </xdr:to>
    <xdr:cxnSp macro="">
      <xdr:nvCxnSpPr>
        <xdr:cNvPr id="27" name="Łącznik prosty ze strzałką 26"/>
        <xdr:cNvCxnSpPr/>
      </xdr:nvCxnSpPr>
      <xdr:spPr>
        <a:xfrm>
          <a:off x="1895475" y="8058152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11</xdr:row>
      <xdr:rowOff>95250</xdr:rowOff>
    </xdr:from>
    <xdr:to>
      <xdr:col>12</xdr:col>
      <xdr:colOff>409575</xdr:colOff>
      <xdr:row>11</xdr:row>
      <xdr:rowOff>95250</xdr:rowOff>
    </xdr:to>
    <xdr:cxnSp macro="">
      <xdr:nvCxnSpPr>
        <xdr:cNvPr id="28" name="Łącznik prosty ze strzałką 27"/>
        <xdr:cNvCxnSpPr/>
      </xdr:nvCxnSpPr>
      <xdr:spPr>
        <a:xfrm>
          <a:off x="7315200" y="2257425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304801</xdr:colOff>
      <xdr:row>12</xdr:row>
      <xdr:rowOff>114300</xdr:rowOff>
    </xdr:from>
    <xdr:to>
      <xdr:col>17</xdr:col>
      <xdr:colOff>314325</xdr:colOff>
      <xdr:row>17</xdr:row>
      <xdr:rowOff>66675</xdr:rowOff>
    </xdr:to>
    <xdr:cxnSp macro="">
      <xdr:nvCxnSpPr>
        <xdr:cNvPr id="30" name="Łącznik prosty ze strzałką 29"/>
        <xdr:cNvCxnSpPr/>
      </xdr:nvCxnSpPr>
      <xdr:spPr>
        <a:xfrm>
          <a:off x="10668001" y="2476500"/>
          <a:ext cx="9524" cy="87630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295276</xdr:colOff>
      <xdr:row>48</xdr:row>
      <xdr:rowOff>104775</xdr:rowOff>
    </xdr:from>
    <xdr:to>
      <xdr:col>4</xdr:col>
      <xdr:colOff>485776</xdr:colOff>
      <xdr:row>51</xdr:row>
      <xdr:rowOff>10754</xdr:rowOff>
    </xdr:to>
    <xdr:pic>
      <xdr:nvPicPr>
        <xdr:cNvPr id="32" name="Obraz 3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24076" y="8810625"/>
          <a:ext cx="800100" cy="477479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>
    <xdr:from>
      <xdr:col>2</xdr:col>
      <xdr:colOff>323850</xdr:colOff>
      <xdr:row>50</xdr:row>
      <xdr:rowOff>114302</xdr:rowOff>
    </xdr:from>
    <xdr:to>
      <xdr:col>3</xdr:col>
      <xdr:colOff>123825</xdr:colOff>
      <xdr:row>50</xdr:row>
      <xdr:rowOff>114302</xdr:rowOff>
    </xdr:to>
    <xdr:cxnSp macro="">
      <xdr:nvCxnSpPr>
        <xdr:cNvPr id="33" name="Łącznik prosty ze strzałką 32"/>
        <xdr:cNvCxnSpPr/>
      </xdr:nvCxnSpPr>
      <xdr:spPr>
        <a:xfrm>
          <a:off x="1543050" y="9220202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590551</xdr:colOff>
      <xdr:row>53</xdr:row>
      <xdr:rowOff>66676</xdr:rowOff>
    </xdr:from>
    <xdr:to>
      <xdr:col>7</xdr:col>
      <xdr:colOff>66675</xdr:colOff>
      <xdr:row>56</xdr:row>
      <xdr:rowOff>13951</xdr:rowOff>
    </xdr:to>
    <xdr:pic>
      <xdr:nvPicPr>
        <xdr:cNvPr id="53" name="Obraz 5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19351" y="9534526"/>
          <a:ext cx="1914524" cy="509250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11</xdr:col>
      <xdr:colOff>181920</xdr:colOff>
      <xdr:row>30</xdr:row>
      <xdr:rowOff>18061</xdr:rowOff>
    </xdr:from>
    <xdr:to>
      <xdr:col>12</xdr:col>
      <xdr:colOff>249082</xdr:colOff>
      <xdr:row>32</xdr:row>
      <xdr:rowOff>156776</xdr:rowOff>
    </xdr:to>
    <xdr:pic>
      <xdr:nvPicPr>
        <xdr:cNvPr id="55" name="Obraz 5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7520" y="5618761"/>
          <a:ext cx="676762" cy="462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514350</xdr:colOff>
      <xdr:row>26</xdr:row>
      <xdr:rowOff>83744</xdr:rowOff>
    </xdr:from>
    <xdr:to>
      <xdr:col>11</xdr:col>
      <xdr:colOff>520301</xdr:colOff>
      <xdr:row>30</xdr:row>
      <xdr:rowOff>18061</xdr:rowOff>
    </xdr:to>
    <xdr:cxnSp macro="">
      <xdr:nvCxnSpPr>
        <xdr:cNvPr id="56" name="Łącznik prosty 55"/>
        <xdr:cNvCxnSpPr>
          <a:stCxn id="71" idx="2"/>
          <a:endCxn id="55" idx="0"/>
        </xdr:cNvCxnSpPr>
      </xdr:nvCxnSpPr>
      <xdr:spPr>
        <a:xfrm>
          <a:off x="7219950" y="4960544"/>
          <a:ext cx="5951" cy="658217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180499</xdr:colOff>
      <xdr:row>36</xdr:row>
      <xdr:rowOff>17146</xdr:rowOff>
    </xdr:from>
    <xdr:to>
      <xdr:col>12</xdr:col>
      <xdr:colOff>243470</xdr:colOff>
      <xdr:row>38</xdr:row>
      <xdr:rowOff>112080</xdr:rowOff>
    </xdr:to>
    <xdr:pic>
      <xdr:nvPicPr>
        <xdr:cNvPr id="57" name="Obraz 5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6099" y="6665596"/>
          <a:ext cx="672571" cy="456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516785</xdr:colOff>
      <xdr:row>32</xdr:row>
      <xdr:rowOff>118676</xdr:rowOff>
    </xdr:from>
    <xdr:to>
      <xdr:col>11</xdr:col>
      <xdr:colOff>520301</xdr:colOff>
      <xdr:row>36</xdr:row>
      <xdr:rowOff>17146</xdr:rowOff>
    </xdr:to>
    <xdr:cxnSp macro="">
      <xdr:nvCxnSpPr>
        <xdr:cNvPr id="58" name="Łącznik prosty 57"/>
        <xdr:cNvCxnSpPr>
          <a:stCxn id="55" idx="2"/>
          <a:endCxn id="57" idx="0"/>
        </xdr:cNvCxnSpPr>
      </xdr:nvCxnSpPr>
      <xdr:spPr>
        <a:xfrm flipH="1">
          <a:off x="7222385" y="6043226"/>
          <a:ext cx="3516" cy="62237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15</xdr:col>
      <xdr:colOff>145928</xdr:colOff>
      <xdr:row>23</xdr:row>
      <xdr:rowOff>19995</xdr:rowOff>
    </xdr:from>
    <xdr:to>
      <xdr:col>16</xdr:col>
      <xdr:colOff>205586</xdr:colOff>
      <xdr:row>25</xdr:row>
      <xdr:rowOff>107473</xdr:rowOff>
    </xdr:to>
    <xdr:pic>
      <xdr:nvPicPr>
        <xdr:cNvPr id="59" name="Obraz 5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9928" y="4372920"/>
          <a:ext cx="669258" cy="4494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438150</xdr:colOff>
      <xdr:row>24</xdr:row>
      <xdr:rowOff>79972</xdr:rowOff>
    </xdr:from>
    <xdr:to>
      <xdr:col>15</xdr:col>
      <xdr:colOff>145928</xdr:colOff>
      <xdr:row>24</xdr:row>
      <xdr:rowOff>82784</xdr:rowOff>
    </xdr:to>
    <xdr:cxnSp macro="">
      <xdr:nvCxnSpPr>
        <xdr:cNvPr id="60" name="Łącznik prosty 59"/>
        <xdr:cNvCxnSpPr>
          <a:stCxn id="71" idx="3"/>
          <a:endCxn id="59" idx="1"/>
        </xdr:cNvCxnSpPr>
      </xdr:nvCxnSpPr>
      <xdr:spPr>
        <a:xfrm>
          <a:off x="7753350" y="4594822"/>
          <a:ext cx="1536578" cy="2812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514351</xdr:colOff>
      <xdr:row>38</xdr:row>
      <xdr:rowOff>112080</xdr:rowOff>
    </xdr:from>
    <xdr:to>
      <xdr:col>11</xdr:col>
      <xdr:colOff>516785</xdr:colOff>
      <xdr:row>42</xdr:row>
      <xdr:rowOff>9525</xdr:rowOff>
    </xdr:to>
    <xdr:cxnSp macro="">
      <xdr:nvCxnSpPr>
        <xdr:cNvPr id="61" name="Łącznik prosty 60"/>
        <xdr:cNvCxnSpPr>
          <a:stCxn id="57" idx="2"/>
        </xdr:cNvCxnSpPr>
      </xdr:nvCxnSpPr>
      <xdr:spPr>
        <a:xfrm flipH="1">
          <a:off x="7219951" y="7122480"/>
          <a:ext cx="2434" cy="583245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249082</xdr:colOff>
      <xdr:row>31</xdr:row>
      <xdr:rowOff>87419</xdr:rowOff>
    </xdr:from>
    <xdr:to>
      <xdr:col>14</xdr:col>
      <xdr:colOff>19050</xdr:colOff>
      <xdr:row>31</xdr:row>
      <xdr:rowOff>87419</xdr:rowOff>
    </xdr:to>
    <xdr:cxnSp macro="">
      <xdr:nvCxnSpPr>
        <xdr:cNvPr id="62" name="Łącznik prosty 61"/>
        <xdr:cNvCxnSpPr>
          <a:stCxn id="55" idx="3"/>
        </xdr:cNvCxnSpPr>
      </xdr:nvCxnSpPr>
      <xdr:spPr>
        <a:xfrm>
          <a:off x="7564282" y="5850044"/>
          <a:ext cx="989168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243470</xdr:colOff>
      <xdr:row>37</xdr:row>
      <xdr:rowOff>45563</xdr:rowOff>
    </xdr:from>
    <xdr:to>
      <xdr:col>14</xdr:col>
      <xdr:colOff>0</xdr:colOff>
      <xdr:row>37</xdr:row>
      <xdr:rowOff>45563</xdr:rowOff>
    </xdr:to>
    <xdr:cxnSp macro="">
      <xdr:nvCxnSpPr>
        <xdr:cNvPr id="63" name="Łącznik prosty 62"/>
        <xdr:cNvCxnSpPr>
          <a:stCxn id="57" idx="3"/>
        </xdr:cNvCxnSpPr>
      </xdr:nvCxnSpPr>
      <xdr:spPr>
        <a:xfrm>
          <a:off x="7558670" y="6894038"/>
          <a:ext cx="975730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480557</xdr:colOff>
      <xdr:row>25</xdr:row>
      <xdr:rowOff>107473</xdr:rowOff>
    </xdr:from>
    <xdr:to>
      <xdr:col>15</xdr:col>
      <xdr:colOff>482389</xdr:colOff>
      <xdr:row>33</xdr:row>
      <xdr:rowOff>1</xdr:rowOff>
    </xdr:to>
    <xdr:cxnSp macro="">
      <xdr:nvCxnSpPr>
        <xdr:cNvPr id="64" name="Łącznik prosty 63"/>
        <xdr:cNvCxnSpPr>
          <a:stCxn id="59" idx="2"/>
          <a:endCxn id="72" idx="0"/>
        </xdr:cNvCxnSpPr>
      </xdr:nvCxnSpPr>
      <xdr:spPr>
        <a:xfrm>
          <a:off x="9624557" y="4822348"/>
          <a:ext cx="1832" cy="1302228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482389</xdr:colOff>
      <xdr:row>35</xdr:row>
      <xdr:rowOff>107167</xdr:rowOff>
    </xdr:from>
    <xdr:to>
      <xdr:col>15</xdr:col>
      <xdr:colOff>484046</xdr:colOff>
      <xdr:row>39</xdr:row>
      <xdr:rowOff>0</xdr:rowOff>
    </xdr:to>
    <xdr:cxnSp macro="">
      <xdr:nvCxnSpPr>
        <xdr:cNvPr id="65" name="Łącznik prosty 64"/>
        <xdr:cNvCxnSpPr>
          <a:stCxn id="72" idx="2"/>
        </xdr:cNvCxnSpPr>
      </xdr:nvCxnSpPr>
      <xdr:spPr>
        <a:xfrm>
          <a:off x="9626389" y="6555592"/>
          <a:ext cx="1657" cy="616733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17</xdr:col>
      <xdr:colOff>430074</xdr:colOff>
      <xdr:row>23</xdr:row>
      <xdr:rowOff>18970</xdr:rowOff>
    </xdr:from>
    <xdr:to>
      <xdr:col>18</xdr:col>
      <xdr:colOff>484665</xdr:colOff>
      <xdr:row>25</xdr:row>
      <xdr:rowOff>111890</xdr:rowOff>
    </xdr:to>
    <xdr:pic>
      <xdr:nvPicPr>
        <xdr:cNvPr id="66" name="Obraz 6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3274" y="4371895"/>
          <a:ext cx="664191" cy="454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205586</xdr:colOff>
      <xdr:row>24</xdr:row>
      <xdr:rowOff>82784</xdr:rowOff>
    </xdr:from>
    <xdr:to>
      <xdr:col>17</xdr:col>
      <xdr:colOff>430074</xdr:colOff>
      <xdr:row>24</xdr:row>
      <xdr:rowOff>84480</xdr:rowOff>
    </xdr:to>
    <xdr:cxnSp macro="">
      <xdr:nvCxnSpPr>
        <xdr:cNvPr id="67" name="Łącznik prosty 66"/>
        <xdr:cNvCxnSpPr>
          <a:stCxn id="59" idx="3"/>
          <a:endCxn id="66" idx="1"/>
        </xdr:cNvCxnSpPr>
      </xdr:nvCxnSpPr>
      <xdr:spPr>
        <a:xfrm>
          <a:off x="9959186" y="4597634"/>
          <a:ext cx="834088" cy="1696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222654</xdr:colOff>
      <xdr:row>34</xdr:row>
      <xdr:rowOff>72634</xdr:rowOff>
    </xdr:from>
    <xdr:to>
      <xdr:col>18</xdr:col>
      <xdr:colOff>0</xdr:colOff>
      <xdr:row>34</xdr:row>
      <xdr:rowOff>72634</xdr:rowOff>
    </xdr:to>
    <xdr:cxnSp macro="">
      <xdr:nvCxnSpPr>
        <xdr:cNvPr id="68" name="Łącznik prosty 67"/>
        <xdr:cNvCxnSpPr>
          <a:stCxn id="72" idx="3"/>
        </xdr:cNvCxnSpPr>
      </xdr:nvCxnSpPr>
      <xdr:spPr>
        <a:xfrm>
          <a:off x="9976254" y="6359134"/>
          <a:ext cx="996546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151913</xdr:colOff>
      <xdr:row>25</xdr:row>
      <xdr:rowOff>111890</xdr:rowOff>
    </xdr:from>
    <xdr:to>
      <xdr:col>18</xdr:col>
      <xdr:colOff>152570</xdr:colOff>
      <xdr:row>31</xdr:row>
      <xdr:rowOff>0</xdr:rowOff>
    </xdr:to>
    <xdr:cxnSp macro="">
      <xdr:nvCxnSpPr>
        <xdr:cNvPr id="69" name="Łącznik prosty 68"/>
        <xdr:cNvCxnSpPr>
          <a:stCxn id="66" idx="2"/>
        </xdr:cNvCxnSpPr>
      </xdr:nvCxnSpPr>
      <xdr:spPr>
        <a:xfrm flipH="1">
          <a:off x="11124713" y="4826765"/>
          <a:ext cx="657" cy="93586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484665</xdr:colOff>
      <xdr:row>24</xdr:row>
      <xdr:rowOff>83344</xdr:rowOff>
    </xdr:from>
    <xdr:to>
      <xdr:col>19</xdr:col>
      <xdr:colOff>601266</xdr:colOff>
      <xdr:row>24</xdr:row>
      <xdr:rowOff>84480</xdr:rowOff>
    </xdr:to>
    <xdr:cxnSp macro="">
      <xdr:nvCxnSpPr>
        <xdr:cNvPr id="70" name="Łącznik prosty 69"/>
        <xdr:cNvCxnSpPr>
          <a:stCxn id="66" idx="3"/>
        </xdr:cNvCxnSpPr>
      </xdr:nvCxnSpPr>
      <xdr:spPr>
        <a:xfrm flipV="1">
          <a:off x="11457465" y="4598194"/>
          <a:ext cx="726201" cy="1136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590550</xdr:colOff>
      <xdr:row>22</xdr:row>
      <xdr:rowOff>38100</xdr:rowOff>
    </xdr:from>
    <xdr:to>
      <xdr:col>12</xdr:col>
      <xdr:colOff>438150</xdr:colOff>
      <xdr:row>26</xdr:row>
      <xdr:rowOff>83744</xdr:rowOff>
    </xdr:to>
    <xdr:pic>
      <xdr:nvPicPr>
        <xdr:cNvPr id="71" name="Obraz 70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4229100"/>
          <a:ext cx="1066800" cy="731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132524</xdr:colOff>
      <xdr:row>33</xdr:row>
      <xdr:rowOff>1</xdr:rowOff>
    </xdr:from>
    <xdr:to>
      <xdr:col>16</xdr:col>
      <xdr:colOff>222654</xdr:colOff>
      <xdr:row>35</xdr:row>
      <xdr:rowOff>145267</xdr:rowOff>
    </xdr:to>
    <xdr:pic>
      <xdr:nvPicPr>
        <xdr:cNvPr id="72" name="Obraz 7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6524" y="6124576"/>
          <a:ext cx="699730" cy="469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542925</xdr:colOff>
      <xdr:row>10</xdr:row>
      <xdr:rowOff>76200</xdr:rowOff>
    </xdr:from>
    <xdr:to>
      <xdr:col>14</xdr:col>
      <xdr:colOff>85725</xdr:colOff>
      <xdr:row>12</xdr:row>
      <xdr:rowOff>129989</xdr:rowOff>
    </xdr:to>
    <xdr:pic>
      <xdr:nvPicPr>
        <xdr:cNvPr id="35" name="Obraz 3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858125" y="2038350"/>
          <a:ext cx="762000" cy="453839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7</xdr:col>
      <xdr:colOff>28575</xdr:colOff>
      <xdr:row>24</xdr:row>
      <xdr:rowOff>38100</xdr:rowOff>
    </xdr:from>
    <xdr:to>
      <xdr:col>8</xdr:col>
      <xdr:colOff>367266</xdr:colOff>
      <xdr:row>26</xdr:row>
      <xdr:rowOff>58894</xdr:rowOff>
    </xdr:to>
    <xdr:pic>
      <xdr:nvPicPr>
        <xdr:cNvPr id="36" name="Obraz 3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295775" y="4552950"/>
          <a:ext cx="948291" cy="382744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4</xdr:col>
      <xdr:colOff>28575</xdr:colOff>
      <xdr:row>28</xdr:row>
      <xdr:rowOff>28575</xdr:rowOff>
    </xdr:from>
    <xdr:to>
      <xdr:col>6</xdr:col>
      <xdr:colOff>85724</xdr:colOff>
      <xdr:row>30</xdr:row>
      <xdr:rowOff>81025</xdr:rowOff>
    </xdr:to>
    <xdr:pic>
      <xdr:nvPicPr>
        <xdr:cNvPr id="37" name="Obraz 3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466975" y="5267325"/>
          <a:ext cx="1276349" cy="414400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8</xdr:col>
      <xdr:colOff>495300</xdr:colOff>
      <xdr:row>11</xdr:row>
      <xdr:rowOff>112685</xdr:rowOff>
    </xdr:to>
    <xdr:pic>
      <xdr:nvPicPr>
        <xdr:cNvPr id="34" name="Obraz 3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438400" y="1000125"/>
          <a:ext cx="2933700" cy="1274735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12</xdr:col>
      <xdr:colOff>409575</xdr:colOff>
      <xdr:row>44</xdr:row>
      <xdr:rowOff>85725</xdr:rowOff>
    </xdr:from>
    <xdr:to>
      <xdr:col>19</xdr:col>
      <xdr:colOff>285750</xdr:colOff>
      <xdr:row>51</xdr:row>
      <xdr:rowOff>140327</xdr:rowOff>
    </xdr:to>
    <xdr:pic>
      <xdr:nvPicPr>
        <xdr:cNvPr id="39" name="Obraz 38"/>
        <xdr:cNvPicPr/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724775" y="8124825"/>
          <a:ext cx="4143375" cy="1340477"/>
        </a:xfrm>
        <a:prstGeom prst="rect">
          <a:avLst/>
        </a:prstGeom>
        <a:ln w="19050">
          <a:solidFill>
            <a:schemeClr val="accent1"/>
          </a:solidFill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25</xdr:row>
      <xdr:rowOff>85727</xdr:rowOff>
    </xdr:from>
    <xdr:to>
      <xdr:col>6</xdr:col>
      <xdr:colOff>485775</xdr:colOff>
      <xdr:row>25</xdr:row>
      <xdr:rowOff>85727</xdr:rowOff>
    </xdr:to>
    <xdr:cxnSp macro="">
      <xdr:nvCxnSpPr>
        <xdr:cNvPr id="4" name="Łącznik prosty ze strzałką 3"/>
        <xdr:cNvCxnSpPr/>
      </xdr:nvCxnSpPr>
      <xdr:spPr>
        <a:xfrm>
          <a:off x="3733800" y="4781552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29</xdr:row>
      <xdr:rowOff>85727</xdr:rowOff>
    </xdr:from>
    <xdr:to>
      <xdr:col>3</xdr:col>
      <xdr:colOff>466725</xdr:colOff>
      <xdr:row>29</xdr:row>
      <xdr:rowOff>85727</xdr:rowOff>
    </xdr:to>
    <xdr:cxnSp macro="">
      <xdr:nvCxnSpPr>
        <xdr:cNvPr id="6" name="Łącznik prosty ze strzałką 5"/>
        <xdr:cNvCxnSpPr/>
      </xdr:nvCxnSpPr>
      <xdr:spPr>
        <a:xfrm>
          <a:off x="1885950" y="5505452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85725</xdr:colOff>
      <xdr:row>48</xdr:row>
      <xdr:rowOff>114302</xdr:rowOff>
    </xdr:from>
    <xdr:to>
      <xdr:col>3</xdr:col>
      <xdr:colOff>495300</xdr:colOff>
      <xdr:row>48</xdr:row>
      <xdr:rowOff>114302</xdr:rowOff>
    </xdr:to>
    <xdr:cxnSp macro="">
      <xdr:nvCxnSpPr>
        <xdr:cNvPr id="7" name="Łącznik prosty ze strzałką 6"/>
        <xdr:cNvCxnSpPr/>
      </xdr:nvCxnSpPr>
      <xdr:spPr>
        <a:xfrm>
          <a:off x="1914525" y="9982202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381000</xdr:colOff>
      <xdr:row>40</xdr:row>
      <xdr:rowOff>123827</xdr:rowOff>
    </xdr:from>
    <xdr:to>
      <xdr:col>3</xdr:col>
      <xdr:colOff>180975</xdr:colOff>
      <xdr:row>40</xdr:row>
      <xdr:rowOff>123827</xdr:rowOff>
    </xdr:to>
    <xdr:cxnSp macro="">
      <xdr:nvCxnSpPr>
        <xdr:cNvPr id="9" name="Łącznik prosty ze strzałką 8"/>
        <xdr:cNvCxnSpPr/>
      </xdr:nvCxnSpPr>
      <xdr:spPr>
        <a:xfrm>
          <a:off x="1600200" y="7458077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13</xdr:row>
      <xdr:rowOff>95250</xdr:rowOff>
    </xdr:from>
    <xdr:to>
      <xdr:col>12</xdr:col>
      <xdr:colOff>409575</xdr:colOff>
      <xdr:row>13</xdr:row>
      <xdr:rowOff>95250</xdr:rowOff>
    </xdr:to>
    <xdr:cxnSp macro="">
      <xdr:nvCxnSpPr>
        <xdr:cNvPr id="10" name="Łącznik prosty ze strzałką 9"/>
        <xdr:cNvCxnSpPr/>
      </xdr:nvCxnSpPr>
      <xdr:spPr>
        <a:xfrm>
          <a:off x="7315200" y="2257425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304801</xdr:colOff>
      <xdr:row>12</xdr:row>
      <xdr:rowOff>114300</xdr:rowOff>
    </xdr:from>
    <xdr:to>
      <xdr:col>17</xdr:col>
      <xdr:colOff>314325</xdr:colOff>
      <xdr:row>17</xdr:row>
      <xdr:rowOff>66675</xdr:rowOff>
    </xdr:to>
    <xdr:cxnSp macro="">
      <xdr:nvCxnSpPr>
        <xdr:cNvPr id="12" name="Łącznik prosty ze strzałką 11"/>
        <xdr:cNvCxnSpPr/>
      </xdr:nvCxnSpPr>
      <xdr:spPr>
        <a:xfrm>
          <a:off x="10668001" y="2476500"/>
          <a:ext cx="9524" cy="83820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181920</xdr:colOff>
      <xdr:row>32</xdr:row>
      <xdr:rowOff>18061</xdr:rowOff>
    </xdr:from>
    <xdr:to>
      <xdr:col>12</xdr:col>
      <xdr:colOff>249082</xdr:colOff>
      <xdr:row>34</xdr:row>
      <xdr:rowOff>118676</xdr:rowOff>
    </xdr:to>
    <xdr:pic>
      <xdr:nvPicPr>
        <xdr:cNvPr id="66" name="Obraz 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7520" y="5618761"/>
          <a:ext cx="676762" cy="462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514350</xdr:colOff>
      <xdr:row>28</xdr:row>
      <xdr:rowOff>93269</xdr:rowOff>
    </xdr:from>
    <xdr:to>
      <xdr:col>11</xdr:col>
      <xdr:colOff>520301</xdr:colOff>
      <xdr:row>32</xdr:row>
      <xdr:rowOff>18061</xdr:rowOff>
    </xdr:to>
    <xdr:cxnSp macro="">
      <xdr:nvCxnSpPr>
        <xdr:cNvPr id="67" name="Łącznik prosty 66"/>
        <xdr:cNvCxnSpPr>
          <a:stCxn id="82" idx="2"/>
          <a:endCxn id="66" idx="0"/>
        </xdr:cNvCxnSpPr>
      </xdr:nvCxnSpPr>
      <xdr:spPr>
        <a:xfrm>
          <a:off x="7219950" y="5332019"/>
          <a:ext cx="5951" cy="610592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180499</xdr:colOff>
      <xdr:row>38</xdr:row>
      <xdr:rowOff>17146</xdr:rowOff>
    </xdr:from>
    <xdr:to>
      <xdr:col>12</xdr:col>
      <xdr:colOff>243470</xdr:colOff>
      <xdr:row>40</xdr:row>
      <xdr:rowOff>150180</xdr:rowOff>
    </xdr:to>
    <xdr:pic>
      <xdr:nvPicPr>
        <xdr:cNvPr id="68" name="Obraz 6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6099" y="6665596"/>
          <a:ext cx="672571" cy="456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516785</xdr:colOff>
      <xdr:row>34</xdr:row>
      <xdr:rowOff>118676</xdr:rowOff>
    </xdr:from>
    <xdr:to>
      <xdr:col>11</xdr:col>
      <xdr:colOff>520301</xdr:colOff>
      <xdr:row>38</xdr:row>
      <xdr:rowOff>17146</xdr:rowOff>
    </xdr:to>
    <xdr:cxnSp macro="">
      <xdr:nvCxnSpPr>
        <xdr:cNvPr id="69" name="Łącznik prosty 68"/>
        <xdr:cNvCxnSpPr>
          <a:stCxn id="66" idx="2"/>
          <a:endCxn id="68" idx="0"/>
        </xdr:cNvCxnSpPr>
      </xdr:nvCxnSpPr>
      <xdr:spPr>
        <a:xfrm flipH="1">
          <a:off x="7222385" y="6043226"/>
          <a:ext cx="3516" cy="62237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15</xdr:col>
      <xdr:colOff>145928</xdr:colOff>
      <xdr:row>25</xdr:row>
      <xdr:rowOff>19995</xdr:rowOff>
    </xdr:from>
    <xdr:to>
      <xdr:col>16</xdr:col>
      <xdr:colOff>205586</xdr:colOff>
      <xdr:row>27</xdr:row>
      <xdr:rowOff>145573</xdr:rowOff>
    </xdr:to>
    <xdr:pic>
      <xdr:nvPicPr>
        <xdr:cNvPr id="70" name="Obraz 6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9928" y="4372920"/>
          <a:ext cx="669258" cy="4494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438150</xdr:colOff>
      <xdr:row>26</xdr:row>
      <xdr:rowOff>82784</xdr:rowOff>
    </xdr:from>
    <xdr:to>
      <xdr:col>15</xdr:col>
      <xdr:colOff>145928</xdr:colOff>
      <xdr:row>26</xdr:row>
      <xdr:rowOff>89497</xdr:rowOff>
    </xdr:to>
    <xdr:cxnSp macro="">
      <xdr:nvCxnSpPr>
        <xdr:cNvPr id="71" name="Łącznik prosty 70"/>
        <xdr:cNvCxnSpPr>
          <a:stCxn id="82" idx="3"/>
          <a:endCxn id="70" idx="1"/>
        </xdr:cNvCxnSpPr>
      </xdr:nvCxnSpPr>
      <xdr:spPr>
        <a:xfrm flipV="1">
          <a:off x="7753350" y="4959584"/>
          <a:ext cx="1536578" cy="6713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514351</xdr:colOff>
      <xdr:row>40</xdr:row>
      <xdr:rowOff>150180</xdr:rowOff>
    </xdr:from>
    <xdr:to>
      <xdr:col>11</xdr:col>
      <xdr:colOff>516785</xdr:colOff>
      <xdr:row>44</xdr:row>
      <xdr:rowOff>9525</xdr:rowOff>
    </xdr:to>
    <xdr:cxnSp macro="">
      <xdr:nvCxnSpPr>
        <xdr:cNvPr id="72" name="Łącznik prosty 71"/>
        <xdr:cNvCxnSpPr>
          <a:stCxn id="68" idx="2"/>
        </xdr:cNvCxnSpPr>
      </xdr:nvCxnSpPr>
      <xdr:spPr>
        <a:xfrm flipH="1">
          <a:off x="7219951" y="7484430"/>
          <a:ext cx="2434" cy="564195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239557</xdr:colOff>
      <xdr:row>33</xdr:row>
      <xdr:rowOff>49319</xdr:rowOff>
    </xdr:from>
    <xdr:to>
      <xdr:col>14</xdr:col>
      <xdr:colOff>9525</xdr:colOff>
      <xdr:row>33</xdr:row>
      <xdr:rowOff>49319</xdr:rowOff>
    </xdr:to>
    <xdr:cxnSp macro="">
      <xdr:nvCxnSpPr>
        <xdr:cNvPr id="73" name="Łącznik prosty 72"/>
        <xdr:cNvCxnSpPr/>
      </xdr:nvCxnSpPr>
      <xdr:spPr>
        <a:xfrm>
          <a:off x="7554757" y="6173894"/>
          <a:ext cx="989168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233945</xdr:colOff>
      <xdr:row>39</xdr:row>
      <xdr:rowOff>83663</xdr:rowOff>
    </xdr:from>
    <xdr:to>
      <xdr:col>13</xdr:col>
      <xdr:colOff>600075</xdr:colOff>
      <xdr:row>39</xdr:row>
      <xdr:rowOff>83663</xdr:rowOff>
    </xdr:to>
    <xdr:cxnSp macro="">
      <xdr:nvCxnSpPr>
        <xdr:cNvPr id="74" name="Łącznik prosty 73"/>
        <xdr:cNvCxnSpPr/>
      </xdr:nvCxnSpPr>
      <xdr:spPr>
        <a:xfrm>
          <a:off x="7549145" y="7255988"/>
          <a:ext cx="975730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480557</xdr:colOff>
      <xdr:row>27</xdr:row>
      <xdr:rowOff>136048</xdr:rowOff>
    </xdr:from>
    <xdr:to>
      <xdr:col>15</xdr:col>
      <xdr:colOff>482389</xdr:colOff>
      <xdr:row>35</xdr:row>
      <xdr:rowOff>28576</xdr:rowOff>
    </xdr:to>
    <xdr:cxnSp macro="">
      <xdr:nvCxnSpPr>
        <xdr:cNvPr id="75" name="Łącznik prosty 74"/>
        <xdr:cNvCxnSpPr/>
      </xdr:nvCxnSpPr>
      <xdr:spPr>
        <a:xfrm>
          <a:off x="9624557" y="5174773"/>
          <a:ext cx="1832" cy="1302228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472864</xdr:colOff>
      <xdr:row>37</xdr:row>
      <xdr:rowOff>69067</xdr:rowOff>
    </xdr:from>
    <xdr:to>
      <xdr:col>15</xdr:col>
      <xdr:colOff>474521</xdr:colOff>
      <xdr:row>40</xdr:row>
      <xdr:rowOff>161925</xdr:rowOff>
    </xdr:to>
    <xdr:cxnSp macro="">
      <xdr:nvCxnSpPr>
        <xdr:cNvPr id="76" name="Łącznik prosty 75"/>
        <xdr:cNvCxnSpPr/>
      </xdr:nvCxnSpPr>
      <xdr:spPr>
        <a:xfrm>
          <a:off x="9616864" y="6917542"/>
          <a:ext cx="1657" cy="578633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17</xdr:col>
      <xdr:colOff>430074</xdr:colOff>
      <xdr:row>25</xdr:row>
      <xdr:rowOff>18970</xdr:rowOff>
    </xdr:from>
    <xdr:to>
      <xdr:col>18</xdr:col>
      <xdr:colOff>484665</xdr:colOff>
      <xdr:row>27</xdr:row>
      <xdr:rowOff>149990</xdr:rowOff>
    </xdr:to>
    <xdr:pic>
      <xdr:nvPicPr>
        <xdr:cNvPr id="77" name="Obraz 7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3274" y="4371895"/>
          <a:ext cx="664191" cy="454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205586</xdr:colOff>
      <xdr:row>26</xdr:row>
      <xdr:rowOff>82784</xdr:rowOff>
    </xdr:from>
    <xdr:to>
      <xdr:col>17</xdr:col>
      <xdr:colOff>430074</xdr:colOff>
      <xdr:row>26</xdr:row>
      <xdr:rowOff>84480</xdr:rowOff>
    </xdr:to>
    <xdr:cxnSp macro="">
      <xdr:nvCxnSpPr>
        <xdr:cNvPr id="78" name="Łącznik prosty 77"/>
        <xdr:cNvCxnSpPr>
          <a:stCxn id="70" idx="3"/>
          <a:endCxn id="77" idx="1"/>
        </xdr:cNvCxnSpPr>
      </xdr:nvCxnSpPr>
      <xdr:spPr>
        <a:xfrm>
          <a:off x="9959186" y="4597634"/>
          <a:ext cx="834088" cy="1696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222654</xdr:colOff>
      <xdr:row>36</xdr:row>
      <xdr:rowOff>25009</xdr:rowOff>
    </xdr:from>
    <xdr:to>
      <xdr:col>18</xdr:col>
      <xdr:colOff>0</xdr:colOff>
      <xdr:row>36</xdr:row>
      <xdr:rowOff>25009</xdr:rowOff>
    </xdr:to>
    <xdr:cxnSp macro="">
      <xdr:nvCxnSpPr>
        <xdr:cNvPr id="79" name="Łącznik prosty 78"/>
        <xdr:cNvCxnSpPr/>
      </xdr:nvCxnSpPr>
      <xdr:spPr>
        <a:xfrm>
          <a:off x="9976254" y="6673459"/>
          <a:ext cx="996546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142388</xdr:colOff>
      <xdr:row>27</xdr:row>
      <xdr:rowOff>140465</xdr:rowOff>
    </xdr:from>
    <xdr:to>
      <xdr:col>18</xdr:col>
      <xdr:colOff>143045</xdr:colOff>
      <xdr:row>33</xdr:row>
      <xdr:rowOff>28575</xdr:rowOff>
    </xdr:to>
    <xdr:cxnSp macro="">
      <xdr:nvCxnSpPr>
        <xdr:cNvPr id="80" name="Łącznik prosty 79"/>
        <xdr:cNvCxnSpPr/>
      </xdr:nvCxnSpPr>
      <xdr:spPr>
        <a:xfrm flipH="1">
          <a:off x="11115188" y="5179190"/>
          <a:ext cx="657" cy="97396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484665</xdr:colOff>
      <xdr:row>26</xdr:row>
      <xdr:rowOff>83344</xdr:rowOff>
    </xdr:from>
    <xdr:to>
      <xdr:col>19</xdr:col>
      <xdr:colOff>601266</xdr:colOff>
      <xdr:row>26</xdr:row>
      <xdr:rowOff>84480</xdr:rowOff>
    </xdr:to>
    <xdr:cxnSp macro="">
      <xdr:nvCxnSpPr>
        <xdr:cNvPr id="81" name="Łącznik prosty 80"/>
        <xdr:cNvCxnSpPr>
          <a:stCxn id="77" idx="3"/>
        </xdr:cNvCxnSpPr>
      </xdr:nvCxnSpPr>
      <xdr:spPr>
        <a:xfrm flipV="1">
          <a:off x="11457465" y="4598194"/>
          <a:ext cx="726201" cy="1136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590550</xdr:colOff>
      <xdr:row>24</xdr:row>
      <xdr:rowOff>85725</xdr:rowOff>
    </xdr:from>
    <xdr:to>
      <xdr:col>12</xdr:col>
      <xdr:colOff>438150</xdr:colOff>
      <xdr:row>28</xdr:row>
      <xdr:rowOff>93269</xdr:rowOff>
    </xdr:to>
    <xdr:pic>
      <xdr:nvPicPr>
        <xdr:cNvPr id="82" name="Obraz 8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4600575"/>
          <a:ext cx="1066800" cy="731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132524</xdr:colOff>
      <xdr:row>35</xdr:row>
      <xdr:rowOff>1</xdr:rowOff>
    </xdr:from>
    <xdr:to>
      <xdr:col>16</xdr:col>
      <xdr:colOff>222654</xdr:colOff>
      <xdr:row>37</xdr:row>
      <xdr:rowOff>69067</xdr:rowOff>
    </xdr:to>
    <xdr:pic>
      <xdr:nvPicPr>
        <xdr:cNvPr id="83" name="Obraz 8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6524" y="6124576"/>
          <a:ext cx="699730" cy="469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9524</xdr:colOff>
      <xdr:row>47</xdr:row>
      <xdr:rowOff>76200</xdr:rowOff>
    </xdr:from>
    <xdr:to>
      <xdr:col>6</xdr:col>
      <xdr:colOff>187533</xdr:colOff>
      <xdr:row>51</xdr:row>
      <xdr:rowOff>28575</xdr:rowOff>
    </xdr:to>
    <xdr:pic>
      <xdr:nvPicPr>
        <xdr:cNvPr id="93" name="Obraz 9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447924" y="8696325"/>
          <a:ext cx="1397209" cy="676275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3</xdr:col>
      <xdr:colOff>561976</xdr:colOff>
      <xdr:row>38</xdr:row>
      <xdr:rowOff>133350</xdr:rowOff>
    </xdr:from>
    <xdr:to>
      <xdr:col>5</xdr:col>
      <xdr:colOff>266700</xdr:colOff>
      <xdr:row>41</xdr:row>
      <xdr:rowOff>152545</xdr:rowOff>
    </xdr:to>
    <xdr:pic>
      <xdr:nvPicPr>
        <xdr:cNvPr id="94" name="Obraz 9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390776" y="7143750"/>
          <a:ext cx="923924" cy="543070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12</xdr:col>
      <xdr:colOff>523875</xdr:colOff>
      <xdr:row>12</xdr:row>
      <xdr:rowOff>57150</xdr:rowOff>
    </xdr:from>
    <xdr:to>
      <xdr:col>14</xdr:col>
      <xdr:colOff>66675</xdr:colOff>
      <xdr:row>14</xdr:row>
      <xdr:rowOff>187139</xdr:rowOff>
    </xdr:to>
    <xdr:pic>
      <xdr:nvPicPr>
        <xdr:cNvPr id="33" name="Obraz 3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839075" y="2419350"/>
          <a:ext cx="762000" cy="453839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7</xdr:col>
      <xdr:colOff>28575</xdr:colOff>
      <xdr:row>24</xdr:row>
      <xdr:rowOff>38100</xdr:rowOff>
    </xdr:from>
    <xdr:to>
      <xdr:col>8</xdr:col>
      <xdr:colOff>367266</xdr:colOff>
      <xdr:row>26</xdr:row>
      <xdr:rowOff>58894</xdr:rowOff>
    </xdr:to>
    <xdr:pic>
      <xdr:nvPicPr>
        <xdr:cNvPr id="35" name="Obraz 3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95775" y="4552950"/>
          <a:ext cx="948291" cy="382744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4</xdr:col>
      <xdr:colOff>28575</xdr:colOff>
      <xdr:row>28</xdr:row>
      <xdr:rowOff>9525</xdr:rowOff>
    </xdr:from>
    <xdr:to>
      <xdr:col>6</xdr:col>
      <xdr:colOff>85724</xdr:colOff>
      <xdr:row>30</xdr:row>
      <xdr:rowOff>61975</xdr:rowOff>
    </xdr:to>
    <xdr:pic>
      <xdr:nvPicPr>
        <xdr:cNvPr id="36" name="Obraz 3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466975" y="5248275"/>
          <a:ext cx="1276349" cy="414400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8</xdr:col>
      <xdr:colOff>495300</xdr:colOff>
      <xdr:row>11</xdr:row>
      <xdr:rowOff>112685</xdr:rowOff>
    </xdr:to>
    <xdr:pic>
      <xdr:nvPicPr>
        <xdr:cNvPr id="32" name="Obraz 31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438400" y="1000125"/>
          <a:ext cx="2933700" cy="1274735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12</xdr:col>
      <xdr:colOff>238125</xdr:colOff>
      <xdr:row>46</xdr:row>
      <xdr:rowOff>47625</xdr:rowOff>
    </xdr:from>
    <xdr:to>
      <xdr:col>19</xdr:col>
      <xdr:colOff>95250</xdr:colOff>
      <xdr:row>54</xdr:row>
      <xdr:rowOff>6702</xdr:rowOff>
    </xdr:to>
    <xdr:pic>
      <xdr:nvPicPr>
        <xdr:cNvPr id="37" name="Obraz 36"/>
        <xdr:cNvPicPr/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553325" y="8505825"/>
          <a:ext cx="4124325" cy="1330677"/>
        </a:xfrm>
        <a:prstGeom prst="rect">
          <a:avLst/>
        </a:prstGeom>
        <a:ln w="19050">
          <a:solidFill>
            <a:schemeClr val="accent1"/>
          </a:solidFill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25</xdr:row>
      <xdr:rowOff>85727</xdr:rowOff>
    </xdr:from>
    <xdr:to>
      <xdr:col>6</xdr:col>
      <xdr:colOff>485775</xdr:colOff>
      <xdr:row>25</xdr:row>
      <xdr:rowOff>85727</xdr:rowOff>
    </xdr:to>
    <xdr:cxnSp macro="">
      <xdr:nvCxnSpPr>
        <xdr:cNvPr id="4" name="Łącznik prosty ze strzałką 3"/>
        <xdr:cNvCxnSpPr/>
      </xdr:nvCxnSpPr>
      <xdr:spPr>
        <a:xfrm>
          <a:off x="3733800" y="4800602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29</xdr:row>
      <xdr:rowOff>85727</xdr:rowOff>
    </xdr:from>
    <xdr:to>
      <xdr:col>3</xdr:col>
      <xdr:colOff>466725</xdr:colOff>
      <xdr:row>29</xdr:row>
      <xdr:rowOff>85727</xdr:rowOff>
    </xdr:to>
    <xdr:cxnSp macro="">
      <xdr:nvCxnSpPr>
        <xdr:cNvPr id="6" name="Łącznik prosty ze strzałką 5"/>
        <xdr:cNvCxnSpPr/>
      </xdr:nvCxnSpPr>
      <xdr:spPr>
        <a:xfrm>
          <a:off x="1885950" y="5524502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85725</xdr:colOff>
      <xdr:row>48</xdr:row>
      <xdr:rowOff>114302</xdr:rowOff>
    </xdr:from>
    <xdr:to>
      <xdr:col>3</xdr:col>
      <xdr:colOff>495300</xdr:colOff>
      <xdr:row>48</xdr:row>
      <xdr:rowOff>114302</xdr:rowOff>
    </xdr:to>
    <xdr:cxnSp macro="">
      <xdr:nvCxnSpPr>
        <xdr:cNvPr id="7" name="Łącznik prosty ze strzałką 6"/>
        <xdr:cNvCxnSpPr/>
      </xdr:nvCxnSpPr>
      <xdr:spPr>
        <a:xfrm>
          <a:off x="1914525" y="8934452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381000</xdr:colOff>
      <xdr:row>40</xdr:row>
      <xdr:rowOff>123827</xdr:rowOff>
    </xdr:from>
    <xdr:to>
      <xdr:col>3</xdr:col>
      <xdr:colOff>180975</xdr:colOff>
      <xdr:row>40</xdr:row>
      <xdr:rowOff>123827</xdr:rowOff>
    </xdr:to>
    <xdr:cxnSp macro="">
      <xdr:nvCxnSpPr>
        <xdr:cNvPr id="8" name="Łącznik prosty ze strzałką 7"/>
        <xdr:cNvCxnSpPr/>
      </xdr:nvCxnSpPr>
      <xdr:spPr>
        <a:xfrm>
          <a:off x="1600200" y="7458077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13</xdr:row>
      <xdr:rowOff>95250</xdr:rowOff>
    </xdr:from>
    <xdr:to>
      <xdr:col>12</xdr:col>
      <xdr:colOff>409575</xdr:colOff>
      <xdr:row>13</xdr:row>
      <xdr:rowOff>95250</xdr:rowOff>
    </xdr:to>
    <xdr:cxnSp macro="">
      <xdr:nvCxnSpPr>
        <xdr:cNvPr id="9" name="Łącznik prosty ze strzałką 8"/>
        <xdr:cNvCxnSpPr/>
      </xdr:nvCxnSpPr>
      <xdr:spPr>
        <a:xfrm>
          <a:off x="7315200" y="2619375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304801</xdr:colOff>
      <xdr:row>12</xdr:row>
      <xdr:rowOff>114300</xdr:rowOff>
    </xdr:from>
    <xdr:to>
      <xdr:col>17</xdr:col>
      <xdr:colOff>314325</xdr:colOff>
      <xdr:row>17</xdr:row>
      <xdr:rowOff>66675</xdr:rowOff>
    </xdr:to>
    <xdr:cxnSp macro="">
      <xdr:nvCxnSpPr>
        <xdr:cNvPr id="11" name="Łącznik prosty ze strzałką 10"/>
        <xdr:cNvCxnSpPr/>
      </xdr:nvCxnSpPr>
      <xdr:spPr>
        <a:xfrm>
          <a:off x="10668001" y="2476500"/>
          <a:ext cx="9524" cy="83820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419101</xdr:colOff>
      <xdr:row>38</xdr:row>
      <xdr:rowOff>142875</xdr:rowOff>
    </xdr:from>
    <xdr:to>
      <xdr:col>5</xdr:col>
      <xdr:colOff>123825</xdr:colOff>
      <xdr:row>41</xdr:row>
      <xdr:rowOff>114445</xdr:rowOff>
    </xdr:to>
    <xdr:pic>
      <xdr:nvPicPr>
        <xdr:cNvPr id="32" name="Obraz 3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7901" y="7153275"/>
          <a:ext cx="923924" cy="543070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11</xdr:col>
      <xdr:colOff>181920</xdr:colOff>
      <xdr:row>32</xdr:row>
      <xdr:rowOff>18061</xdr:rowOff>
    </xdr:from>
    <xdr:to>
      <xdr:col>12</xdr:col>
      <xdr:colOff>249082</xdr:colOff>
      <xdr:row>34</xdr:row>
      <xdr:rowOff>118676</xdr:rowOff>
    </xdr:to>
    <xdr:pic>
      <xdr:nvPicPr>
        <xdr:cNvPr id="33" name="Obraz 3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7520" y="5942611"/>
          <a:ext cx="676762" cy="462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514350</xdr:colOff>
      <xdr:row>28</xdr:row>
      <xdr:rowOff>93269</xdr:rowOff>
    </xdr:from>
    <xdr:to>
      <xdr:col>11</xdr:col>
      <xdr:colOff>520301</xdr:colOff>
      <xdr:row>32</xdr:row>
      <xdr:rowOff>18061</xdr:rowOff>
    </xdr:to>
    <xdr:cxnSp macro="">
      <xdr:nvCxnSpPr>
        <xdr:cNvPr id="34" name="Łącznik prosty 33"/>
        <xdr:cNvCxnSpPr>
          <a:stCxn id="49" idx="2"/>
          <a:endCxn id="33" idx="0"/>
        </xdr:cNvCxnSpPr>
      </xdr:nvCxnSpPr>
      <xdr:spPr>
        <a:xfrm>
          <a:off x="7219950" y="5332019"/>
          <a:ext cx="5951" cy="610592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180499</xdr:colOff>
      <xdr:row>38</xdr:row>
      <xdr:rowOff>17146</xdr:rowOff>
    </xdr:from>
    <xdr:to>
      <xdr:col>12</xdr:col>
      <xdr:colOff>243470</xdr:colOff>
      <xdr:row>40</xdr:row>
      <xdr:rowOff>150180</xdr:rowOff>
    </xdr:to>
    <xdr:pic>
      <xdr:nvPicPr>
        <xdr:cNvPr id="35" name="Obraz 3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6099" y="7027546"/>
          <a:ext cx="672571" cy="456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516785</xdr:colOff>
      <xdr:row>34</xdr:row>
      <xdr:rowOff>118676</xdr:rowOff>
    </xdr:from>
    <xdr:to>
      <xdr:col>11</xdr:col>
      <xdr:colOff>520301</xdr:colOff>
      <xdr:row>38</xdr:row>
      <xdr:rowOff>17146</xdr:rowOff>
    </xdr:to>
    <xdr:cxnSp macro="">
      <xdr:nvCxnSpPr>
        <xdr:cNvPr id="36" name="Łącznik prosty 35"/>
        <xdr:cNvCxnSpPr>
          <a:stCxn id="33" idx="2"/>
          <a:endCxn id="35" idx="0"/>
        </xdr:cNvCxnSpPr>
      </xdr:nvCxnSpPr>
      <xdr:spPr>
        <a:xfrm flipH="1">
          <a:off x="7222385" y="6405176"/>
          <a:ext cx="3516" cy="62237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15</xdr:col>
      <xdr:colOff>145928</xdr:colOff>
      <xdr:row>25</xdr:row>
      <xdr:rowOff>19995</xdr:rowOff>
    </xdr:from>
    <xdr:to>
      <xdr:col>16</xdr:col>
      <xdr:colOff>205586</xdr:colOff>
      <xdr:row>27</xdr:row>
      <xdr:rowOff>145573</xdr:rowOff>
    </xdr:to>
    <xdr:pic>
      <xdr:nvPicPr>
        <xdr:cNvPr id="37" name="Obraz 3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9928" y="4734870"/>
          <a:ext cx="669258" cy="4494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438150</xdr:colOff>
      <xdr:row>26</xdr:row>
      <xdr:rowOff>82784</xdr:rowOff>
    </xdr:from>
    <xdr:to>
      <xdr:col>15</xdr:col>
      <xdr:colOff>145928</xdr:colOff>
      <xdr:row>26</xdr:row>
      <xdr:rowOff>89497</xdr:rowOff>
    </xdr:to>
    <xdr:cxnSp macro="">
      <xdr:nvCxnSpPr>
        <xdr:cNvPr id="38" name="Łącznik prosty 37"/>
        <xdr:cNvCxnSpPr>
          <a:stCxn id="49" idx="3"/>
          <a:endCxn id="37" idx="1"/>
        </xdr:cNvCxnSpPr>
      </xdr:nvCxnSpPr>
      <xdr:spPr>
        <a:xfrm flipV="1">
          <a:off x="7753350" y="4959584"/>
          <a:ext cx="1536578" cy="6713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514351</xdr:colOff>
      <xdr:row>40</xdr:row>
      <xdr:rowOff>150180</xdr:rowOff>
    </xdr:from>
    <xdr:to>
      <xdr:col>11</xdr:col>
      <xdr:colOff>516785</xdr:colOff>
      <xdr:row>44</xdr:row>
      <xdr:rowOff>9525</xdr:rowOff>
    </xdr:to>
    <xdr:cxnSp macro="">
      <xdr:nvCxnSpPr>
        <xdr:cNvPr id="39" name="Łącznik prosty 38"/>
        <xdr:cNvCxnSpPr>
          <a:stCxn id="35" idx="2"/>
        </xdr:cNvCxnSpPr>
      </xdr:nvCxnSpPr>
      <xdr:spPr>
        <a:xfrm flipH="1">
          <a:off x="7219951" y="7484430"/>
          <a:ext cx="2434" cy="583245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239557</xdr:colOff>
      <xdr:row>33</xdr:row>
      <xdr:rowOff>49319</xdr:rowOff>
    </xdr:from>
    <xdr:to>
      <xdr:col>14</xdr:col>
      <xdr:colOff>9525</xdr:colOff>
      <xdr:row>33</xdr:row>
      <xdr:rowOff>49319</xdr:rowOff>
    </xdr:to>
    <xdr:cxnSp macro="">
      <xdr:nvCxnSpPr>
        <xdr:cNvPr id="40" name="Łącznik prosty 39"/>
        <xdr:cNvCxnSpPr/>
      </xdr:nvCxnSpPr>
      <xdr:spPr>
        <a:xfrm>
          <a:off x="7554757" y="6173894"/>
          <a:ext cx="989168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233945</xdr:colOff>
      <xdr:row>39</xdr:row>
      <xdr:rowOff>83663</xdr:rowOff>
    </xdr:from>
    <xdr:to>
      <xdr:col>13</xdr:col>
      <xdr:colOff>600075</xdr:colOff>
      <xdr:row>39</xdr:row>
      <xdr:rowOff>83663</xdr:rowOff>
    </xdr:to>
    <xdr:cxnSp macro="">
      <xdr:nvCxnSpPr>
        <xdr:cNvPr id="41" name="Łącznik prosty 40"/>
        <xdr:cNvCxnSpPr/>
      </xdr:nvCxnSpPr>
      <xdr:spPr>
        <a:xfrm>
          <a:off x="7549145" y="7255988"/>
          <a:ext cx="975730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480557</xdr:colOff>
      <xdr:row>27</xdr:row>
      <xdr:rowOff>136048</xdr:rowOff>
    </xdr:from>
    <xdr:to>
      <xdr:col>15</xdr:col>
      <xdr:colOff>482389</xdr:colOff>
      <xdr:row>35</xdr:row>
      <xdr:rowOff>28576</xdr:rowOff>
    </xdr:to>
    <xdr:cxnSp macro="">
      <xdr:nvCxnSpPr>
        <xdr:cNvPr id="42" name="Łącznik prosty 41"/>
        <xdr:cNvCxnSpPr/>
      </xdr:nvCxnSpPr>
      <xdr:spPr>
        <a:xfrm>
          <a:off x="9624557" y="5174773"/>
          <a:ext cx="1832" cy="1302228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472864</xdr:colOff>
      <xdr:row>37</xdr:row>
      <xdr:rowOff>69067</xdr:rowOff>
    </xdr:from>
    <xdr:to>
      <xdr:col>15</xdr:col>
      <xdr:colOff>474521</xdr:colOff>
      <xdr:row>40</xdr:row>
      <xdr:rowOff>161925</xdr:rowOff>
    </xdr:to>
    <xdr:cxnSp macro="">
      <xdr:nvCxnSpPr>
        <xdr:cNvPr id="43" name="Łącznik prosty 42"/>
        <xdr:cNvCxnSpPr/>
      </xdr:nvCxnSpPr>
      <xdr:spPr>
        <a:xfrm>
          <a:off x="9616864" y="6917542"/>
          <a:ext cx="1657" cy="578633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17</xdr:col>
      <xdr:colOff>430074</xdr:colOff>
      <xdr:row>25</xdr:row>
      <xdr:rowOff>18970</xdr:rowOff>
    </xdr:from>
    <xdr:to>
      <xdr:col>18</xdr:col>
      <xdr:colOff>484665</xdr:colOff>
      <xdr:row>27</xdr:row>
      <xdr:rowOff>149990</xdr:rowOff>
    </xdr:to>
    <xdr:pic>
      <xdr:nvPicPr>
        <xdr:cNvPr id="44" name="Obraz 4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3274" y="4733845"/>
          <a:ext cx="664191" cy="454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205586</xdr:colOff>
      <xdr:row>26</xdr:row>
      <xdr:rowOff>82784</xdr:rowOff>
    </xdr:from>
    <xdr:to>
      <xdr:col>17</xdr:col>
      <xdr:colOff>430074</xdr:colOff>
      <xdr:row>26</xdr:row>
      <xdr:rowOff>84480</xdr:rowOff>
    </xdr:to>
    <xdr:cxnSp macro="">
      <xdr:nvCxnSpPr>
        <xdr:cNvPr id="45" name="Łącznik prosty 44"/>
        <xdr:cNvCxnSpPr>
          <a:stCxn id="37" idx="3"/>
          <a:endCxn id="44" idx="1"/>
        </xdr:cNvCxnSpPr>
      </xdr:nvCxnSpPr>
      <xdr:spPr>
        <a:xfrm>
          <a:off x="9959186" y="4959584"/>
          <a:ext cx="834088" cy="1696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222654</xdr:colOff>
      <xdr:row>36</xdr:row>
      <xdr:rowOff>25009</xdr:rowOff>
    </xdr:from>
    <xdr:to>
      <xdr:col>18</xdr:col>
      <xdr:colOff>0</xdr:colOff>
      <xdr:row>36</xdr:row>
      <xdr:rowOff>25009</xdr:rowOff>
    </xdr:to>
    <xdr:cxnSp macro="">
      <xdr:nvCxnSpPr>
        <xdr:cNvPr id="46" name="Łącznik prosty 45"/>
        <xdr:cNvCxnSpPr/>
      </xdr:nvCxnSpPr>
      <xdr:spPr>
        <a:xfrm>
          <a:off x="9976254" y="6673459"/>
          <a:ext cx="996546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142388</xdr:colOff>
      <xdr:row>27</xdr:row>
      <xdr:rowOff>140465</xdr:rowOff>
    </xdr:from>
    <xdr:to>
      <xdr:col>18</xdr:col>
      <xdr:colOff>143045</xdr:colOff>
      <xdr:row>33</xdr:row>
      <xdr:rowOff>28575</xdr:rowOff>
    </xdr:to>
    <xdr:cxnSp macro="">
      <xdr:nvCxnSpPr>
        <xdr:cNvPr id="47" name="Łącznik prosty 46"/>
        <xdr:cNvCxnSpPr/>
      </xdr:nvCxnSpPr>
      <xdr:spPr>
        <a:xfrm flipH="1">
          <a:off x="11115188" y="5179190"/>
          <a:ext cx="657" cy="97396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484665</xdr:colOff>
      <xdr:row>26</xdr:row>
      <xdr:rowOff>83344</xdr:rowOff>
    </xdr:from>
    <xdr:to>
      <xdr:col>19</xdr:col>
      <xdr:colOff>601266</xdr:colOff>
      <xdr:row>26</xdr:row>
      <xdr:rowOff>84480</xdr:rowOff>
    </xdr:to>
    <xdr:cxnSp macro="">
      <xdr:nvCxnSpPr>
        <xdr:cNvPr id="48" name="Łącznik prosty 47"/>
        <xdr:cNvCxnSpPr>
          <a:stCxn id="44" idx="3"/>
        </xdr:cNvCxnSpPr>
      </xdr:nvCxnSpPr>
      <xdr:spPr>
        <a:xfrm flipV="1">
          <a:off x="11457465" y="4960144"/>
          <a:ext cx="726201" cy="1136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590550</xdr:colOff>
      <xdr:row>24</xdr:row>
      <xdr:rowOff>85725</xdr:rowOff>
    </xdr:from>
    <xdr:to>
      <xdr:col>12</xdr:col>
      <xdr:colOff>438150</xdr:colOff>
      <xdr:row>28</xdr:row>
      <xdr:rowOff>93269</xdr:rowOff>
    </xdr:to>
    <xdr:pic>
      <xdr:nvPicPr>
        <xdr:cNvPr id="49" name="Obraz 4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4600575"/>
          <a:ext cx="1066800" cy="731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132524</xdr:colOff>
      <xdr:row>35</xdr:row>
      <xdr:rowOff>1</xdr:rowOff>
    </xdr:from>
    <xdr:to>
      <xdr:col>16</xdr:col>
      <xdr:colOff>222654</xdr:colOff>
      <xdr:row>37</xdr:row>
      <xdr:rowOff>69067</xdr:rowOff>
    </xdr:to>
    <xdr:pic>
      <xdr:nvPicPr>
        <xdr:cNvPr id="50" name="Obraz 4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6524" y="6448426"/>
          <a:ext cx="699730" cy="469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38100</xdr:colOff>
      <xdr:row>47</xdr:row>
      <xdr:rowOff>57149</xdr:rowOff>
    </xdr:from>
    <xdr:to>
      <xdr:col>6</xdr:col>
      <xdr:colOff>234282</xdr:colOff>
      <xdr:row>51</xdr:row>
      <xdr:rowOff>66674</xdr:rowOff>
    </xdr:to>
    <xdr:pic>
      <xdr:nvPicPr>
        <xdr:cNvPr id="51" name="Obraz 5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476500" y="8677274"/>
          <a:ext cx="1415382" cy="733425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12</xdr:col>
      <xdr:colOff>542925</xdr:colOff>
      <xdr:row>12</xdr:row>
      <xdr:rowOff>57150</xdr:rowOff>
    </xdr:from>
    <xdr:to>
      <xdr:col>14</xdr:col>
      <xdr:colOff>85725</xdr:colOff>
      <xdr:row>14</xdr:row>
      <xdr:rowOff>187139</xdr:rowOff>
    </xdr:to>
    <xdr:pic>
      <xdr:nvPicPr>
        <xdr:cNvPr id="53" name="Obraz 5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858125" y="2419350"/>
          <a:ext cx="762000" cy="453839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7</xdr:col>
      <xdr:colOff>28575</xdr:colOff>
      <xdr:row>24</xdr:row>
      <xdr:rowOff>28575</xdr:rowOff>
    </xdr:from>
    <xdr:to>
      <xdr:col>8</xdr:col>
      <xdr:colOff>367266</xdr:colOff>
      <xdr:row>26</xdr:row>
      <xdr:rowOff>49369</xdr:rowOff>
    </xdr:to>
    <xdr:pic>
      <xdr:nvPicPr>
        <xdr:cNvPr id="54" name="Obraz 5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95775" y="4543425"/>
          <a:ext cx="948291" cy="382744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4</xdr:col>
      <xdr:colOff>28575</xdr:colOff>
      <xdr:row>28</xdr:row>
      <xdr:rowOff>19050</xdr:rowOff>
    </xdr:from>
    <xdr:to>
      <xdr:col>6</xdr:col>
      <xdr:colOff>85724</xdr:colOff>
      <xdr:row>30</xdr:row>
      <xdr:rowOff>71500</xdr:rowOff>
    </xdr:to>
    <xdr:pic>
      <xdr:nvPicPr>
        <xdr:cNvPr id="55" name="Obraz 5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466975" y="5257800"/>
          <a:ext cx="1276349" cy="414400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8</xdr:col>
      <xdr:colOff>495300</xdr:colOff>
      <xdr:row>11</xdr:row>
      <xdr:rowOff>112685</xdr:rowOff>
    </xdr:to>
    <xdr:pic>
      <xdr:nvPicPr>
        <xdr:cNvPr id="56" name="Obraz 5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438400" y="1000125"/>
          <a:ext cx="2933700" cy="1274735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12</xdr:col>
      <xdr:colOff>257175</xdr:colOff>
      <xdr:row>46</xdr:row>
      <xdr:rowOff>38100</xdr:rowOff>
    </xdr:from>
    <xdr:to>
      <xdr:col>19</xdr:col>
      <xdr:colOff>114300</xdr:colOff>
      <xdr:row>53</xdr:row>
      <xdr:rowOff>157738</xdr:rowOff>
    </xdr:to>
    <xdr:pic>
      <xdr:nvPicPr>
        <xdr:cNvPr id="52" name="Obraz 51"/>
        <xdr:cNvPicPr/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572375" y="8496300"/>
          <a:ext cx="4124325" cy="1329313"/>
        </a:xfrm>
        <a:prstGeom prst="rect">
          <a:avLst/>
        </a:prstGeom>
        <a:ln w="19050">
          <a:solidFill>
            <a:schemeClr val="accent1"/>
          </a:solidFill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25</xdr:row>
      <xdr:rowOff>85727</xdr:rowOff>
    </xdr:from>
    <xdr:to>
      <xdr:col>6</xdr:col>
      <xdr:colOff>485775</xdr:colOff>
      <xdr:row>25</xdr:row>
      <xdr:rowOff>85727</xdr:rowOff>
    </xdr:to>
    <xdr:cxnSp macro="">
      <xdr:nvCxnSpPr>
        <xdr:cNvPr id="4" name="Łącznik prosty ze strzałką 3"/>
        <xdr:cNvCxnSpPr/>
      </xdr:nvCxnSpPr>
      <xdr:spPr>
        <a:xfrm>
          <a:off x="3733800" y="4800602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29</xdr:row>
      <xdr:rowOff>85727</xdr:rowOff>
    </xdr:from>
    <xdr:to>
      <xdr:col>3</xdr:col>
      <xdr:colOff>466725</xdr:colOff>
      <xdr:row>29</xdr:row>
      <xdr:rowOff>85727</xdr:rowOff>
    </xdr:to>
    <xdr:cxnSp macro="">
      <xdr:nvCxnSpPr>
        <xdr:cNvPr id="6" name="Łącznik prosty ze strzałką 5"/>
        <xdr:cNvCxnSpPr/>
      </xdr:nvCxnSpPr>
      <xdr:spPr>
        <a:xfrm>
          <a:off x="1885950" y="5524502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85725</xdr:colOff>
      <xdr:row>52</xdr:row>
      <xdr:rowOff>114302</xdr:rowOff>
    </xdr:from>
    <xdr:to>
      <xdr:col>3</xdr:col>
      <xdr:colOff>495300</xdr:colOff>
      <xdr:row>52</xdr:row>
      <xdr:rowOff>114302</xdr:rowOff>
    </xdr:to>
    <xdr:cxnSp macro="">
      <xdr:nvCxnSpPr>
        <xdr:cNvPr id="7" name="Łącznik prosty ze strzałką 6"/>
        <xdr:cNvCxnSpPr/>
      </xdr:nvCxnSpPr>
      <xdr:spPr>
        <a:xfrm>
          <a:off x="1914525" y="10001252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552450</xdr:colOff>
      <xdr:row>43</xdr:row>
      <xdr:rowOff>0</xdr:rowOff>
    </xdr:from>
    <xdr:to>
      <xdr:col>5</xdr:col>
      <xdr:colOff>93684</xdr:colOff>
      <xdr:row>45</xdr:row>
      <xdr:rowOff>66675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0" y="7858125"/>
          <a:ext cx="760434" cy="447675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>
    <xdr:from>
      <xdr:col>3</xdr:col>
      <xdr:colOff>66675</xdr:colOff>
      <xdr:row>44</xdr:row>
      <xdr:rowOff>38102</xdr:rowOff>
    </xdr:from>
    <xdr:to>
      <xdr:col>3</xdr:col>
      <xdr:colOff>476250</xdr:colOff>
      <xdr:row>44</xdr:row>
      <xdr:rowOff>38102</xdr:rowOff>
    </xdr:to>
    <xdr:cxnSp macro="">
      <xdr:nvCxnSpPr>
        <xdr:cNvPr id="9" name="Łącznik prosty ze strzałką 8"/>
        <xdr:cNvCxnSpPr/>
      </xdr:nvCxnSpPr>
      <xdr:spPr>
        <a:xfrm>
          <a:off x="1895475" y="8077202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11</xdr:row>
      <xdr:rowOff>95250</xdr:rowOff>
    </xdr:from>
    <xdr:to>
      <xdr:col>12</xdr:col>
      <xdr:colOff>409575</xdr:colOff>
      <xdr:row>11</xdr:row>
      <xdr:rowOff>95250</xdr:rowOff>
    </xdr:to>
    <xdr:cxnSp macro="">
      <xdr:nvCxnSpPr>
        <xdr:cNvPr id="10" name="Łącznik prosty ze strzałką 9"/>
        <xdr:cNvCxnSpPr/>
      </xdr:nvCxnSpPr>
      <xdr:spPr>
        <a:xfrm>
          <a:off x="7315200" y="2257425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304801</xdr:colOff>
      <xdr:row>12</xdr:row>
      <xdr:rowOff>114300</xdr:rowOff>
    </xdr:from>
    <xdr:to>
      <xdr:col>17</xdr:col>
      <xdr:colOff>314325</xdr:colOff>
      <xdr:row>17</xdr:row>
      <xdr:rowOff>66675</xdr:rowOff>
    </xdr:to>
    <xdr:cxnSp macro="">
      <xdr:nvCxnSpPr>
        <xdr:cNvPr id="12" name="Łącznik prosty ze strzałką 11"/>
        <xdr:cNvCxnSpPr/>
      </xdr:nvCxnSpPr>
      <xdr:spPr>
        <a:xfrm>
          <a:off x="10668001" y="2476500"/>
          <a:ext cx="9524" cy="87630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95250</xdr:colOff>
      <xdr:row>51</xdr:row>
      <xdr:rowOff>152400</xdr:rowOff>
    </xdr:from>
    <xdr:to>
      <xdr:col>6</xdr:col>
      <xdr:colOff>200025</xdr:colOff>
      <xdr:row>53</xdr:row>
      <xdr:rowOff>64672</xdr:rowOff>
    </xdr:to>
    <xdr:pic>
      <xdr:nvPicPr>
        <xdr:cNvPr id="36" name="Obraz 3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3650" y="9839325"/>
          <a:ext cx="1323975" cy="312322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11</xdr:col>
      <xdr:colOff>181920</xdr:colOff>
      <xdr:row>30</xdr:row>
      <xdr:rowOff>18061</xdr:rowOff>
    </xdr:from>
    <xdr:to>
      <xdr:col>12</xdr:col>
      <xdr:colOff>249082</xdr:colOff>
      <xdr:row>32</xdr:row>
      <xdr:rowOff>156776</xdr:rowOff>
    </xdr:to>
    <xdr:pic>
      <xdr:nvPicPr>
        <xdr:cNvPr id="37" name="Obraz 3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7520" y="5618761"/>
          <a:ext cx="676762" cy="462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514350</xdr:colOff>
      <xdr:row>26</xdr:row>
      <xdr:rowOff>83744</xdr:rowOff>
    </xdr:from>
    <xdr:to>
      <xdr:col>11</xdr:col>
      <xdr:colOff>520301</xdr:colOff>
      <xdr:row>30</xdr:row>
      <xdr:rowOff>18061</xdr:rowOff>
    </xdr:to>
    <xdr:cxnSp macro="">
      <xdr:nvCxnSpPr>
        <xdr:cNvPr id="38" name="Łącznik prosty 37"/>
        <xdr:cNvCxnSpPr>
          <a:stCxn id="53" idx="2"/>
          <a:endCxn id="37" idx="0"/>
        </xdr:cNvCxnSpPr>
      </xdr:nvCxnSpPr>
      <xdr:spPr>
        <a:xfrm>
          <a:off x="7219950" y="4960544"/>
          <a:ext cx="5951" cy="658217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180499</xdr:colOff>
      <xdr:row>36</xdr:row>
      <xdr:rowOff>17146</xdr:rowOff>
    </xdr:from>
    <xdr:to>
      <xdr:col>12</xdr:col>
      <xdr:colOff>243470</xdr:colOff>
      <xdr:row>38</xdr:row>
      <xdr:rowOff>112080</xdr:rowOff>
    </xdr:to>
    <xdr:pic>
      <xdr:nvPicPr>
        <xdr:cNvPr id="39" name="Obraz 3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6099" y="6665596"/>
          <a:ext cx="672571" cy="456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516785</xdr:colOff>
      <xdr:row>32</xdr:row>
      <xdr:rowOff>156776</xdr:rowOff>
    </xdr:from>
    <xdr:to>
      <xdr:col>11</xdr:col>
      <xdr:colOff>520301</xdr:colOff>
      <xdr:row>36</xdr:row>
      <xdr:rowOff>17146</xdr:rowOff>
    </xdr:to>
    <xdr:cxnSp macro="">
      <xdr:nvCxnSpPr>
        <xdr:cNvPr id="40" name="Łącznik prosty 39"/>
        <xdr:cNvCxnSpPr>
          <a:stCxn id="37" idx="2"/>
          <a:endCxn id="39" idx="0"/>
        </xdr:cNvCxnSpPr>
      </xdr:nvCxnSpPr>
      <xdr:spPr>
        <a:xfrm flipH="1">
          <a:off x="7222385" y="6081326"/>
          <a:ext cx="3516" cy="58427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15</xdr:col>
      <xdr:colOff>145928</xdr:colOff>
      <xdr:row>23</xdr:row>
      <xdr:rowOff>19995</xdr:rowOff>
    </xdr:from>
    <xdr:to>
      <xdr:col>16</xdr:col>
      <xdr:colOff>205586</xdr:colOff>
      <xdr:row>25</xdr:row>
      <xdr:rowOff>107473</xdr:rowOff>
    </xdr:to>
    <xdr:pic>
      <xdr:nvPicPr>
        <xdr:cNvPr id="41" name="Obraz 4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9928" y="4372920"/>
          <a:ext cx="669258" cy="4494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438150</xdr:colOff>
      <xdr:row>24</xdr:row>
      <xdr:rowOff>79972</xdr:rowOff>
    </xdr:from>
    <xdr:to>
      <xdr:col>15</xdr:col>
      <xdr:colOff>145928</xdr:colOff>
      <xdr:row>24</xdr:row>
      <xdr:rowOff>82784</xdr:rowOff>
    </xdr:to>
    <xdr:cxnSp macro="">
      <xdr:nvCxnSpPr>
        <xdr:cNvPr id="42" name="Łącznik prosty 41"/>
        <xdr:cNvCxnSpPr>
          <a:stCxn id="53" idx="3"/>
          <a:endCxn id="41" idx="1"/>
        </xdr:cNvCxnSpPr>
      </xdr:nvCxnSpPr>
      <xdr:spPr>
        <a:xfrm>
          <a:off x="7753350" y="4594822"/>
          <a:ext cx="1536578" cy="2812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514351</xdr:colOff>
      <xdr:row>38</xdr:row>
      <xdr:rowOff>112080</xdr:rowOff>
    </xdr:from>
    <xdr:to>
      <xdr:col>11</xdr:col>
      <xdr:colOff>516785</xdr:colOff>
      <xdr:row>42</xdr:row>
      <xdr:rowOff>9525</xdr:rowOff>
    </xdr:to>
    <xdr:cxnSp macro="">
      <xdr:nvCxnSpPr>
        <xdr:cNvPr id="43" name="Łącznik prosty 42"/>
        <xdr:cNvCxnSpPr>
          <a:stCxn id="39" idx="2"/>
        </xdr:cNvCxnSpPr>
      </xdr:nvCxnSpPr>
      <xdr:spPr>
        <a:xfrm flipH="1">
          <a:off x="7219951" y="7122480"/>
          <a:ext cx="2434" cy="583245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249082</xdr:colOff>
      <xdr:row>31</xdr:row>
      <xdr:rowOff>87419</xdr:rowOff>
    </xdr:from>
    <xdr:to>
      <xdr:col>14</xdr:col>
      <xdr:colOff>19050</xdr:colOff>
      <xdr:row>31</xdr:row>
      <xdr:rowOff>87419</xdr:rowOff>
    </xdr:to>
    <xdr:cxnSp macro="">
      <xdr:nvCxnSpPr>
        <xdr:cNvPr id="44" name="Łącznik prosty 43"/>
        <xdr:cNvCxnSpPr>
          <a:stCxn id="37" idx="3"/>
        </xdr:cNvCxnSpPr>
      </xdr:nvCxnSpPr>
      <xdr:spPr>
        <a:xfrm>
          <a:off x="7564282" y="5850044"/>
          <a:ext cx="989168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243470</xdr:colOff>
      <xdr:row>37</xdr:row>
      <xdr:rowOff>45563</xdr:rowOff>
    </xdr:from>
    <xdr:to>
      <xdr:col>14</xdr:col>
      <xdr:colOff>0</xdr:colOff>
      <xdr:row>37</xdr:row>
      <xdr:rowOff>45563</xdr:rowOff>
    </xdr:to>
    <xdr:cxnSp macro="">
      <xdr:nvCxnSpPr>
        <xdr:cNvPr id="45" name="Łącznik prosty 44"/>
        <xdr:cNvCxnSpPr>
          <a:stCxn id="39" idx="3"/>
        </xdr:cNvCxnSpPr>
      </xdr:nvCxnSpPr>
      <xdr:spPr>
        <a:xfrm>
          <a:off x="7558670" y="6894038"/>
          <a:ext cx="975730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480557</xdr:colOff>
      <xdr:row>25</xdr:row>
      <xdr:rowOff>107473</xdr:rowOff>
    </xdr:from>
    <xdr:to>
      <xdr:col>15</xdr:col>
      <xdr:colOff>482389</xdr:colOff>
      <xdr:row>33</xdr:row>
      <xdr:rowOff>1</xdr:rowOff>
    </xdr:to>
    <xdr:cxnSp macro="">
      <xdr:nvCxnSpPr>
        <xdr:cNvPr id="46" name="Łącznik prosty 45"/>
        <xdr:cNvCxnSpPr>
          <a:stCxn id="41" idx="2"/>
          <a:endCxn id="54" idx="0"/>
        </xdr:cNvCxnSpPr>
      </xdr:nvCxnSpPr>
      <xdr:spPr>
        <a:xfrm>
          <a:off x="9624557" y="4822348"/>
          <a:ext cx="1832" cy="1302228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482389</xdr:colOff>
      <xdr:row>35</xdr:row>
      <xdr:rowOff>107167</xdr:rowOff>
    </xdr:from>
    <xdr:to>
      <xdr:col>15</xdr:col>
      <xdr:colOff>484046</xdr:colOff>
      <xdr:row>39</xdr:row>
      <xdr:rowOff>0</xdr:rowOff>
    </xdr:to>
    <xdr:cxnSp macro="">
      <xdr:nvCxnSpPr>
        <xdr:cNvPr id="47" name="Łącznik prosty 46"/>
        <xdr:cNvCxnSpPr>
          <a:stCxn id="54" idx="2"/>
        </xdr:cNvCxnSpPr>
      </xdr:nvCxnSpPr>
      <xdr:spPr>
        <a:xfrm>
          <a:off x="9626389" y="6555592"/>
          <a:ext cx="1657" cy="616733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17</xdr:col>
      <xdr:colOff>430074</xdr:colOff>
      <xdr:row>23</xdr:row>
      <xdr:rowOff>18970</xdr:rowOff>
    </xdr:from>
    <xdr:to>
      <xdr:col>18</xdr:col>
      <xdr:colOff>484665</xdr:colOff>
      <xdr:row>25</xdr:row>
      <xdr:rowOff>111890</xdr:rowOff>
    </xdr:to>
    <xdr:pic>
      <xdr:nvPicPr>
        <xdr:cNvPr id="48" name="Obraz 4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3274" y="4371895"/>
          <a:ext cx="664191" cy="454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205586</xdr:colOff>
      <xdr:row>24</xdr:row>
      <xdr:rowOff>82784</xdr:rowOff>
    </xdr:from>
    <xdr:to>
      <xdr:col>17</xdr:col>
      <xdr:colOff>430074</xdr:colOff>
      <xdr:row>24</xdr:row>
      <xdr:rowOff>84480</xdr:rowOff>
    </xdr:to>
    <xdr:cxnSp macro="">
      <xdr:nvCxnSpPr>
        <xdr:cNvPr id="49" name="Łącznik prosty 48"/>
        <xdr:cNvCxnSpPr>
          <a:stCxn id="41" idx="3"/>
          <a:endCxn id="48" idx="1"/>
        </xdr:cNvCxnSpPr>
      </xdr:nvCxnSpPr>
      <xdr:spPr>
        <a:xfrm>
          <a:off x="9959186" y="4597634"/>
          <a:ext cx="834088" cy="1696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222654</xdr:colOff>
      <xdr:row>34</xdr:row>
      <xdr:rowOff>72634</xdr:rowOff>
    </xdr:from>
    <xdr:to>
      <xdr:col>18</xdr:col>
      <xdr:colOff>0</xdr:colOff>
      <xdr:row>34</xdr:row>
      <xdr:rowOff>72634</xdr:rowOff>
    </xdr:to>
    <xdr:cxnSp macro="">
      <xdr:nvCxnSpPr>
        <xdr:cNvPr id="50" name="Łącznik prosty 49"/>
        <xdr:cNvCxnSpPr>
          <a:stCxn id="54" idx="3"/>
        </xdr:cNvCxnSpPr>
      </xdr:nvCxnSpPr>
      <xdr:spPr>
        <a:xfrm>
          <a:off x="9976254" y="6359134"/>
          <a:ext cx="996546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151913</xdr:colOff>
      <xdr:row>25</xdr:row>
      <xdr:rowOff>111890</xdr:rowOff>
    </xdr:from>
    <xdr:to>
      <xdr:col>18</xdr:col>
      <xdr:colOff>152570</xdr:colOff>
      <xdr:row>31</xdr:row>
      <xdr:rowOff>0</xdr:rowOff>
    </xdr:to>
    <xdr:cxnSp macro="">
      <xdr:nvCxnSpPr>
        <xdr:cNvPr id="51" name="Łącznik prosty 50"/>
        <xdr:cNvCxnSpPr>
          <a:stCxn id="48" idx="2"/>
        </xdr:cNvCxnSpPr>
      </xdr:nvCxnSpPr>
      <xdr:spPr>
        <a:xfrm flipH="1">
          <a:off x="11124713" y="4826765"/>
          <a:ext cx="657" cy="93586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484665</xdr:colOff>
      <xdr:row>24</xdr:row>
      <xdr:rowOff>83344</xdr:rowOff>
    </xdr:from>
    <xdr:to>
      <xdr:col>19</xdr:col>
      <xdr:colOff>601266</xdr:colOff>
      <xdr:row>24</xdr:row>
      <xdr:rowOff>84480</xdr:rowOff>
    </xdr:to>
    <xdr:cxnSp macro="">
      <xdr:nvCxnSpPr>
        <xdr:cNvPr id="52" name="Łącznik prosty 51"/>
        <xdr:cNvCxnSpPr>
          <a:stCxn id="48" idx="3"/>
        </xdr:cNvCxnSpPr>
      </xdr:nvCxnSpPr>
      <xdr:spPr>
        <a:xfrm flipV="1">
          <a:off x="11457465" y="4598194"/>
          <a:ext cx="726201" cy="1136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590550</xdr:colOff>
      <xdr:row>22</xdr:row>
      <xdr:rowOff>38100</xdr:rowOff>
    </xdr:from>
    <xdr:to>
      <xdr:col>12</xdr:col>
      <xdr:colOff>438150</xdr:colOff>
      <xdr:row>26</xdr:row>
      <xdr:rowOff>83744</xdr:rowOff>
    </xdr:to>
    <xdr:pic>
      <xdr:nvPicPr>
        <xdr:cNvPr id="53" name="Obraz 5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4229100"/>
          <a:ext cx="1066800" cy="731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132524</xdr:colOff>
      <xdr:row>33</xdr:row>
      <xdr:rowOff>1</xdr:rowOff>
    </xdr:from>
    <xdr:to>
      <xdr:col>16</xdr:col>
      <xdr:colOff>222654</xdr:colOff>
      <xdr:row>35</xdr:row>
      <xdr:rowOff>145267</xdr:rowOff>
    </xdr:to>
    <xdr:pic>
      <xdr:nvPicPr>
        <xdr:cNvPr id="54" name="Obraz 5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6524" y="6124576"/>
          <a:ext cx="699730" cy="469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561975</xdr:colOff>
      <xdr:row>10</xdr:row>
      <xdr:rowOff>66675</xdr:rowOff>
    </xdr:from>
    <xdr:to>
      <xdr:col>14</xdr:col>
      <xdr:colOff>104775</xdr:colOff>
      <xdr:row>12</xdr:row>
      <xdr:rowOff>120464</xdr:rowOff>
    </xdr:to>
    <xdr:pic>
      <xdr:nvPicPr>
        <xdr:cNvPr id="55" name="Obraz 5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877175" y="2028825"/>
          <a:ext cx="762000" cy="453839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7</xdr:col>
      <xdr:colOff>28575</xdr:colOff>
      <xdr:row>24</xdr:row>
      <xdr:rowOff>38100</xdr:rowOff>
    </xdr:from>
    <xdr:to>
      <xdr:col>8</xdr:col>
      <xdr:colOff>367266</xdr:colOff>
      <xdr:row>26</xdr:row>
      <xdr:rowOff>58894</xdr:rowOff>
    </xdr:to>
    <xdr:pic>
      <xdr:nvPicPr>
        <xdr:cNvPr id="56" name="Obraz 5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95775" y="4552950"/>
          <a:ext cx="948291" cy="382744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4</xdr:col>
      <xdr:colOff>28575</xdr:colOff>
      <xdr:row>28</xdr:row>
      <xdr:rowOff>28575</xdr:rowOff>
    </xdr:from>
    <xdr:to>
      <xdr:col>6</xdr:col>
      <xdr:colOff>85724</xdr:colOff>
      <xdr:row>30</xdr:row>
      <xdr:rowOff>81025</xdr:rowOff>
    </xdr:to>
    <xdr:pic>
      <xdr:nvPicPr>
        <xdr:cNvPr id="57" name="Obraz 5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466975" y="5267325"/>
          <a:ext cx="1276349" cy="414400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8</xdr:col>
      <xdr:colOff>495300</xdr:colOff>
      <xdr:row>11</xdr:row>
      <xdr:rowOff>112685</xdr:rowOff>
    </xdr:to>
    <xdr:pic>
      <xdr:nvPicPr>
        <xdr:cNvPr id="33" name="Obraz 3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438400" y="1000125"/>
          <a:ext cx="2933700" cy="1274735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12</xdr:col>
      <xdr:colOff>342900</xdr:colOff>
      <xdr:row>44</xdr:row>
      <xdr:rowOff>57150</xdr:rowOff>
    </xdr:from>
    <xdr:to>
      <xdr:col>19</xdr:col>
      <xdr:colOff>204544</xdr:colOff>
      <xdr:row>51</xdr:row>
      <xdr:rowOff>142875</xdr:rowOff>
    </xdr:to>
    <xdr:pic>
      <xdr:nvPicPr>
        <xdr:cNvPr id="35" name="Obraz 34"/>
        <xdr:cNvPicPr/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658100" y="8096250"/>
          <a:ext cx="4128844" cy="1333500"/>
        </a:xfrm>
        <a:prstGeom prst="rect">
          <a:avLst/>
        </a:prstGeom>
        <a:ln w="19050">
          <a:solidFill>
            <a:schemeClr val="accent1"/>
          </a:solidFill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13</xdr:row>
      <xdr:rowOff>47627</xdr:rowOff>
    </xdr:from>
    <xdr:to>
      <xdr:col>5</xdr:col>
      <xdr:colOff>533400</xdr:colOff>
      <xdr:row>13</xdr:row>
      <xdr:rowOff>47627</xdr:rowOff>
    </xdr:to>
    <xdr:cxnSp macro="">
      <xdr:nvCxnSpPr>
        <xdr:cNvPr id="2" name="Łącznik prosty ze strzałką 1"/>
        <xdr:cNvCxnSpPr/>
      </xdr:nvCxnSpPr>
      <xdr:spPr>
        <a:xfrm>
          <a:off x="3362325" y="2438402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38100</xdr:colOff>
      <xdr:row>12</xdr:row>
      <xdr:rowOff>0</xdr:rowOff>
    </xdr:from>
    <xdr:to>
      <xdr:col>7</xdr:col>
      <xdr:colOff>376791</xdr:colOff>
      <xdr:row>14</xdr:row>
      <xdr:rowOff>20794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86200" y="2190750"/>
          <a:ext cx="948291" cy="382744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3</xdr:col>
      <xdr:colOff>600075</xdr:colOff>
      <xdr:row>15</xdr:row>
      <xdr:rowOff>161925</xdr:rowOff>
    </xdr:from>
    <xdr:to>
      <xdr:col>6</xdr:col>
      <xdr:colOff>47624</xdr:colOff>
      <xdr:row>18</xdr:row>
      <xdr:rowOff>14350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19375" y="2876550"/>
          <a:ext cx="1276349" cy="414400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>
    <xdr:from>
      <xdr:col>3</xdr:col>
      <xdr:colOff>95250</xdr:colOff>
      <xdr:row>17</xdr:row>
      <xdr:rowOff>76202</xdr:rowOff>
    </xdr:from>
    <xdr:to>
      <xdr:col>3</xdr:col>
      <xdr:colOff>504825</xdr:colOff>
      <xdr:row>17</xdr:row>
      <xdr:rowOff>76202</xdr:rowOff>
    </xdr:to>
    <xdr:cxnSp macro="">
      <xdr:nvCxnSpPr>
        <xdr:cNvPr id="5" name="Łącznik prosty ze strzałką 4"/>
        <xdr:cNvCxnSpPr/>
      </xdr:nvCxnSpPr>
      <xdr:spPr>
        <a:xfrm>
          <a:off x="2114550" y="3190877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66675</xdr:colOff>
      <xdr:row>32</xdr:row>
      <xdr:rowOff>38102</xdr:rowOff>
    </xdr:from>
    <xdr:to>
      <xdr:col>3</xdr:col>
      <xdr:colOff>476250</xdr:colOff>
      <xdr:row>32</xdr:row>
      <xdr:rowOff>38102</xdr:rowOff>
    </xdr:to>
    <xdr:cxnSp macro="">
      <xdr:nvCxnSpPr>
        <xdr:cNvPr id="7" name="Łącznik prosty ze strzałką 6"/>
        <xdr:cNvCxnSpPr/>
      </xdr:nvCxnSpPr>
      <xdr:spPr>
        <a:xfrm>
          <a:off x="1895475" y="8077202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590550</xdr:colOff>
      <xdr:row>31</xdr:row>
      <xdr:rowOff>19050</xdr:rowOff>
    </xdr:from>
    <xdr:to>
      <xdr:col>5</xdr:col>
      <xdr:colOff>131784</xdr:colOff>
      <xdr:row>33</xdr:row>
      <xdr:rowOff>85725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09850" y="5476875"/>
          <a:ext cx="760434" cy="447675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8"/>
  <dimension ref="A1:L96"/>
  <sheetViews>
    <sheetView showGridLines="0" tabSelected="1" zoomScaleNormal="100" workbookViewId="0"/>
  </sheetViews>
  <sheetFormatPr defaultRowHeight="12.75" x14ac:dyDescent="0.2"/>
  <cols>
    <col min="1" max="2" width="9.140625" style="1"/>
    <col min="3" max="3" width="9.140625" style="1" customWidth="1"/>
    <col min="4" max="16384" width="9.140625" style="1"/>
  </cols>
  <sheetData>
    <row r="1" spans="1:4" s="19" customFormat="1" ht="23.25" x14ac:dyDescent="0.35">
      <c r="A1" s="21" t="s">
        <v>96</v>
      </c>
    </row>
    <row r="2" spans="1:4" ht="14.25" x14ac:dyDescent="0.2">
      <c r="B2" s="49"/>
    </row>
    <row r="4" spans="1:4" ht="15.75" x14ac:dyDescent="0.3">
      <c r="B4" s="55" t="s">
        <v>48</v>
      </c>
      <c r="C4" s="59">
        <v>1.4</v>
      </c>
      <c r="D4" s="9" t="s">
        <v>6</v>
      </c>
    </row>
    <row r="5" spans="1:4" x14ac:dyDescent="0.2">
      <c r="B5" s="56" t="s">
        <v>60</v>
      </c>
      <c r="C5" s="35">
        <v>0.1</v>
      </c>
      <c r="D5" s="12" t="s">
        <v>6</v>
      </c>
    </row>
    <row r="6" spans="1:4" ht="15.75" x14ac:dyDescent="0.3">
      <c r="B6" s="56" t="s">
        <v>61</v>
      </c>
      <c r="C6" s="35">
        <v>1.6</v>
      </c>
      <c r="D6" s="12" t="s">
        <v>6</v>
      </c>
    </row>
    <row r="7" spans="1:4" ht="15.75" x14ac:dyDescent="0.3">
      <c r="B7" s="56" t="s">
        <v>62</v>
      </c>
      <c r="C7" s="35">
        <v>0.5</v>
      </c>
      <c r="D7" s="12" t="s">
        <v>6</v>
      </c>
    </row>
    <row r="8" spans="1:4" ht="15.75" x14ac:dyDescent="0.3">
      <c r="B8" s="56" t="s">
        <v>56</v>
      </c>
      <c r="C8" s="14">
        <v>2E-3</v>
      </c>
      <c r="D8" s="12"/>
    </row>
    <row r="9" spans="1:4" ht="15.75" x14ac:dyDescent="0.3">
      <c r="B9" s="56" t="s">
        <v>63</v>
      </c>
      <c r="C9" s="14">
        <v>3.0000000000000001E-3</v>
      </c>
      <c r="D9" s="12"/>
    </row>
    <row r="10" spans="1:4" ht="15.75" x14ac:dyDescent="0.3">
      <c r="B10" s="56" t="s">
        <v>64</v>
      </c>
      <c r="C10" s="14">
        <v>0.92</v>
      </c>
      <c r="D10" s="12" t="s">
        <v>6</v>
      </c>
    </row>
    <row r="11" spans="1:4" ht="15.75" x14ac:dyDescent="0.3">
      <c r="B11" s="57" t="s">
        <v>65</v>
      </c>
      <c r="C11" s="58">
        <v>0.85</v>
      </c>
      <c r="D11" s="18" t="s">
        <v>6</v>
      </c>
    </row>
    <row r="17" spans="2:12" ht="14.25" x14ac:dyDescent="0.2">
      <c r="B17" s="49" t="s">
        <v>66</v>
      </c>
    </row>
    <row r="18" spans="2:12" x14ac:dyDescent="0.2">
      <c r="B18" s="7"/>
      <c r="C18" s="8"/>
      <c r="D18" s="8"/>
      <c r="E18" s="8"/>
      <c r="F18" s="8"/>
      <c r="G18" s="8"/>
      <c r="H18" s="8"/>
      <c r="I18" s="8"/>
      <c r="J18" s="8"/>
      <c r="K18" s="8"/>
      <c r="L18" s="9"/>
    </row>
    <row r="19" spans="2:12" x14ac:dyDescent="0.2">
      <c r="B19" s="10"/>
      <c r="C19" s="11"/>
      <c r="D19" s="11"/>
      <c r="E19" s="11"/>
      <c r="F19" s="11"/>
      <c r="G19" s="11"/>
      <c r="H19" s="11"/>
      <c r="I19" s="11"/>
      <c r="J19" s="11"/>
      <c r="K19" s="11"/>
      <c r="L19" s="12"/>
    </row>
    <row r="20" spans="2:12" x14ac:dyDescent="0.2">
      <c r="B20" s="10"/>
      <c r="C20" s="11"/>
      <c r="D20" s="11"/>
      <c r="E20" s="13" t="str">
        <f>IF(((C4-C5)/C6)&lt;=1.2,"Tak","")</f>
        <v>Tak</v>
      </c>
      <c r="F20" s="11"/>
      <c r="G20" s="11"/>
      <c r="H20" s="11"/>
      <c r="I20" s="11" t="str">
        <f>IF(AND(E20="Tak",C7&lt;C11),"Tak","")</f>
        <v>Tak</v>
      </c>
      <c r="J20" s="11"/>
      <c r="K20" s="11" t="str">
        <f>IF(AND(I20="Tak",C11&gt;C10),"Tak","")</f>
        <v/>
      </c>
      <c r="L20" s="12"/>
    </row>
    <row r="21" spans="2:12" x14ac:dyDescent="0.2">
      <c r="B21" s="10"/>
      <c r="C21" s="11"/>
      <c r="D21" s="11"/>
      <c r="E21" s="11"/>
      <c r="F21" s="11"/>
      <c r="G21" s="11"/>
      <c r="H21" s="11"/>
      <c r="I21" s="11"/>
      <c r="J21" s="11"/>
      <c r="K21" s="11" t="s">
        <v>16</v>
      </c>
      <c r="L21" s="54" t="str">
        <f>IF(K20="Tak","Typ 1","")</f>
        <v/>
      </c>
    </row>
    <row r="22" spans="2:12" x14ac:dyDescent="0.2"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2"/>
    </row>
    <row r="23" spans="2:12" x14ac:dyDescent="0.2"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2"/>
    </row>
    <row r="24" spans="2:12" x14ac:dyDescent="0.2"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2"/>
    </row>
    <row r="25" spans="2:12" x14ac:dyDescent="0.2">
      <c r="B25" s="10"/>
      <c r="C25" s="11"/>
      <c r="D25" s="15" t="str">
        <f>IF(((C4-C5)/C6)&gt;1.2,"Nie","")</f>
        <v/>
      </c>
      <c r="E25" s="11"/>
      <c r="F25" s="11"/>
      <c r="G25" s="11"/>
      <c r="H25" s="11" t="str">
        <f>IF(AND(E20="Tak",C7&gt;C11),"Nie","")</f>
        <v/>
      </c>
      <c r="I25" s="11"/>
      <c r="J25" s="14" t="str">
        <f>IF(AND(I20="Tak",C11&lt;C10),"Nie","")</f>
        <v>Nie</v>
      </c>
      <c r="K25" s="11"/>
      <c r="L25" s="12"/>
    </row>
    <row r="26" spans="2:12" x14ac:dyDescent="0.2">
      <c r="B26" s="10"/>
      <c r="C26" s="11"/>
      <c r="D26" s="11"/>
      <c r="E26" s="11"/>
      <c r="F26" s="11"/>
      <c r="G26" s="11"/>
      <c r="H26" s="11"/>
      <c r="I26" s="11"/>
      <c r="J26" s="11"/>
      <c r="K26" s="11"/>
      <c r="L26" s="12"/>
    </row>
    <row r="27" spans="2:12" x14ac:dyDescent="0.2">
      <c r="B27" s="10"/>
      <c r="C27" s="11"/>
      <c r="D27" s="11"/>
      <c r="E27" s="11" t="str">
        <f>IF(AND(D25="Nie",C7&gt;C6),"Tak","")</f>
        <v/>
      </c>
      <c r="F27" s="11"/>
      <c r="G27" s="11"/>
      <c r="H27" s="11"/>
      <c r="I27" s="11"/>
      <c r="J27" s="11"/>
      <c r="K27" s="11"/>
      <c r="L27" s="12"/>
    </row>
    <row r="28" spans="2:12" x14ac:dyDescent="0.2">
      <c r="B28" s="10"/>
      <c r="C28" s="11"/>
      <c r="D28" s="11"/>
      <c r="E28" s="11"/>
      <c r="F28" s="14" t="str">
        <f>IF(E27="Tak","Typ 4","")</f>
        <v/>
      </c>
      <c r="G28" s="11"/>
      <c r="H28" s="11"/>
      <c r="I28" s="11"/>
      <c r="J28" s="14" t="str">
        <f>IF(J25="Nie","Typ 2","")</f>
        <v>Typ 2</v>
      </c>
      <c r="K28" s="11"/>
      <c r="L28" s="12"/>
    </row>
    <row r="29" spans="2:12" x14ac:dyDescent="0.2">
      <c r="B29" s="10"/>
      <c r="C29" s="11"/>
      <c r="D29" s="11"/>
      <c r="E29" s="11"/>
      <c r="F29" s="11"/>
      <c r="G29" s="11"/>
      <c r="H29" s="11"/>
      <c r="I29" s="11"/>
      <c r="J29" s="11"/>
      <c r="K29" s="11"/>
      <c r="L29" s="12"/>
    </row>
    <row r="30" spans="2:12" x14ac:dyDescent="0.2">
      <c r="B30" s="10"/>
      <c r="C30" s="11"/>
      <c r="D30" s="11"/>
      <c r="E30" s="11"/>
      <c r="F30" s="11"/>
      <c r="G30" s="11"/>
      <c r="H30" s="11"/>
      <c r="I30" s="11" t="str">
        <f>IF(AND(H25="Nie",C10&gt;C11),"Tak","")</f>
        <v/>
      </c>
      <c r="J30" s="11"/>
      <c r="K30" s="11"/>
      <c r="L30" s="12"/>
    </row>
    <row r="31" spans="2:12" x14ac:dyDescent="0.2">
      <c r="B31" s="10"/>
      <c r="C31" s="11"/>
      <c r="D31" s="15" t="str">
        <f>IF(AND(D25="Nie",C7&lt;=C6),"Nie","")</f>
        <v/>
      </c>
      <c r="E31" s="11"/>
      <c r="F31" s="11"/>
      <c r="G31" s="11"/>
      <c r="H31" s="11"/>
      <c r="I31" s="11"/>
      <c r="J31" s="14" t="str">
        <f>IF(I30="Tak","Typ 3","")</f>
        <v/>
      </c>
      <c r="K31" s="11"/>
      <c r="L31" s="12"/>
    </row>
    <row r="32" spans="2:12" x14ac:dyDescent="0.2">
      <c r="B32" s="10"/>
      <c r="C32" s="11"/>
      <c r="D32" s="11"/>
      <c r="E32" s="11"/>
      <c r="F32" s="11"/>
      <c r="G32" s="11"/>
      <c r="H32" s="11"/>
      <c r="I32" s="11"/>
      <c r="J32" s="11"/>
      <c r="K32" s="11"/>
      <c r="L32" s="12"/>
    </row>
    <row r="33" spans="2:12" x14ac:dyDescent="0.2">
      <c r="B33" s="10"/>
      <c r="C33" s="11"/>
      <c r="D33" s="11"/>
      <c r="E33" s="11" t="str">
        <f>IF(AND(D31="Nie",C9&gt;C8),"Tak","")</f>
        <v/>
      </c>
      <c r="F33" s="11"/>
      <c r="G33" s="11"/>
      <c r="H33" s="11" t="str">
        <f>IF(AND(H25="Nie",C10&lt;C11),"Nie","")</f>
        <v/>
      </c>
      <c r="I33" s="11"/>
      <c r="J33" s="11"/>
      <c r="K33" s="11"/>
      <c r="L33" s="12"/>
    </row>
    <row r="34" spans="2:12" x14ac:dyDescent="0.2">
      <c r="B34" s="10"/>
      <c r="C34" s="11"/>
      <c r="D34" s="11"/>
      <c r="E34" s="11"/>
      <c r="F34" s="14" t="str">
        <f>IF(E33="Tak","Typ 5","")</f>
        <v/>
      </c>
      <c r="G34" s="11"/>
      <c r="H34" s="11"/>
      <c r="I34" s="11"/>
      <c r="J34" s="11"/>
      <c r="K34" s="11"/>
      <c r="L34" s="12"/>
    </row>
    <row r="35" spans="2:12" x14ac:dyDescent="0.2">
      <c r="B35" s="10"/>
      <c r="C35" s="11"/>
      <c r="D35" s="11"/>
      <c r="E35" s="11"/>
      <c r="F35" s="11"/>
      <c r="G35" s="11"/>
      <c r="H35" s="11"/>
      <c r="I35" s="11"/>
      <c r="J35" s="11"/>
      <c r="K35" s="11"/>
      <c r="L35" s="12"/>
    </row>
    <row r="36" spans="2:12" x14ac:dyDescent="0.2">
      <c r="B36" s="10"/>
      <c r="C36" s="11"/>
      <c r="D36" s="11"/>
      <c r="E36" s="11"/>
      <c r="F36" s="11"/>
      <c r="G36" s="14" t="str">
        <f>IF(H33="Nie","Błąd","")</f>
        <v/>
      </c>
      <c r="H36" s="11"/>
      <c r="I36" s="11"/>
      <c r="J36" s="11"/>
      <c r="K36" s="11"/>
      <c r="L36" s="12"/>
    </row>
    <row r="37" spans="2:12" x14ac:dyDescent="0.2">
      <c r="B37" s="10"/>
      <c r="C37" s="11"/>
      <c r="D37" s="11" t="str">
        <f>IF(AND(D31="Nie",C9&lt;=C8),"Nie","")</f>
        <v/>
      </c>
      <c r="E37" s="11"/>
      <c r="F37" s="11"/>
      <c r="G37" s="11"/>
      <c r="H37" s="11"/>
      <c r="I37" s="11"/>
      <c r="J37" s="11"/>
      <c r="K37" s="11"/>
      <c r="L37" s="12"/>
    </row>
    <row r="38" spans="2:12" x14ac:dyDescent="0.2">
      <c r="B38" s="10"/>
      <c r="C38" s="11"/>
      <c r="D38" s="11"/>
      <c r="E38" s="11"/>
      <c r="F38" s="11"/>
      <c r="G38" s="11"/>
      <c r="H38" s="11"/>
      <c r="I38" s="11"/>
      <c r="J38" s="11"/>
      <c r="K38" s="11"/>
      <c r="L38" s="12"/>
    </row>
    <row r="39" spans="2:12" x14ac:dyDescent="0.2">
      <c r="B39" s="10"/>
      <c r="C39" s="14" t="str">
        <f>IF(D37="Nie","Typ 6","")</f>
        <v/>
      </c>
      <c r="D39" s="11"/>
      <c r="E39" s="11"/>
      <c r="F39" s="11"/>
      <c r="G39" s="11"/>
      <c r="H39" s="11"/>
      <c r="I39" s="11"/>
      <c r="J39" s="11"/>
      <c r="K39" s="11"/>
      <c r="L39" s="12"/>
    </row>
    <row r="40" spans="2:12" x14ac:dyDescent="0.2"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8"/>
    </row>
    <row r="44" spans="2:12" x14ac:dyDescent="0.2">
      <c r="B44" s="60" t="s">
        <v>95</v>
      </c>
    </row>
    <row r="54" spans="2:2" x14ac:dyDescent="0.2">
      <c r="B54" s="60" t="s">
        <v>97</v>
      </c>
    </row>
    <row r="65" spans="2:2" x14ac:dyDescent="0.2">
      <c r="B65" s="60" t="s">
        <v>98</v>
      </c>
    </row>
    <row r="75" spans="2:2" x14ac:dyDescent="0.2">
      <c r="B75" s="60" t="s">
        <v>99</v>
      </c>
    </row>
    <row r="85" spans="2:2" x14ac:dyDescent="0.2">
      <c r="B85" s="60" t="s">
        <v>100</v>
      </c>
    </row>
    <row r="96" spans="2:2" x14ac:dyDescent="0.2">
      <c r="B96" s="60" t="s">
        <v>101</v>
      </c>
    </row>
  </sheetData>
  <conditionalFormatting sqref="D25">
    <cfRule type="cellIs" dxfId="132" priority="22" operator="equal">
      <formula>"Nie"</formula>
    </cfRule>
  </conditionalFormatting>
  <conditionalFormatting sqref="E27">
    <cfRule type="cellIs" dxfId="131" priority="21" operator="equal">
      <formula>"Tak"</formula>
    </cfRule>
  </conditionalFormatting>
  <conditionalFormatting sqref="F28">
    <cfRule type="cellIs" dxfId="130" priority="19" operator="equal">
      <formula>"Typ 4"</formula>
    </cfRule>
  </conditionalFormatting>
  <conditionalFormatting sqref="D31">
    <cfRule type="cellIs" dxfId="129" priority="18" operator="equal">
      <formula>"Nie"</formula>
    </cfRule>
  </conditionalFormatting>
  <conditionalFormatting sqref="E33">
    <cfRule type="cellIs" dxfId="128" priority="17" operator="equal">
      <formula>"Tak"</formula>
    </cfRule>
  </conditionalFormatting>
  <conditionalFormatting sqref="F34">
    <cfRule type="cellIs" dxfId="127" priority="16" operator="equal">
      <formula>"Typ 5"</formula>
    </cfRule>
  </conditionalFormatting>
  <conditionalFormatting sqref="C39">
    <cfRule type="cellIs" dxfId="126" priority="15" operator="equal">
      <formula>"Typ 6"</formula>
    </cfRule>
  </conditionalFormatting>
  <conditionalFormatting sqref="D37">
    <cfRule type="cellIs" dxfId="125" priority="14" operator="equal">
      <formula>"Nie"</formula>
    </cfRule>
  </conditionalFormatting>
  <conditionalFormatting sqref="E20">
    <cfRule type="cellIs" dxfId="124" priority="13" operator="equal">
      <formula>"Tak"</formula>
    </cfRule>
  </conditionalFormatting>
  <conditionalFormatting sqref="I20">
    <cfRule type="cellIs" dxfId="123" priority="12" operator="equal">
      <formula>"Tak"</formula>
    </cfRule>
  </conditionalFormatting>
  <conditionalFormatting sqref="K20">
    <cfRule type="cellIs" dxfId="122" priority="11" operator="equal">
      <formula>"Tak"</formula>
    </cfRule>
  </conditionalFormatting>
  <conditionalFormatting sqref="L21">
    <cfRule type="cellIs" dxfId="121" priority="10" operator="equal">
      <formula>"Typ 1"</formula>
    </cfRule>
  </conditionalFormatting>
  <conditionalFormatting sqref="J25">
    <cfRule type="cellIs" dxfId="120" priority="8" operator="equal">
      <formula>"Nie"</formula>
    </cfRule>
  </conditionalFormatting>
  <conditionalFormatting sqref="H25">
    <cfRule type="cellIs" dxfId="119" priority="7" operator="equal">
      <formula>"Nie"</formula>
    </cfRule>
  </conditionalFormatting>
  <conditionalFormatting sqref="I30">
    <cfRule type="cellIs" dxfId="118" priority="6" operator="equal">
      <formula>"Tak"</formula>
    </cfRule>
  </conditionalFormatting>
  <conditionalFormatting sqref="H33">
    <cfRule type="cellIs" dxfId="117" priority="4" operator="equal">
      <formula>"Nie"</formula>
    </cfRule>
  </conditionalFormatting>
  <conditionalFormatting sqref="G36">
    <cfRule type="cellIs" dxfId="116" priority="3" operator="equal">
      <formula>"Błąd"</formula>
    </cfRule>
  </conditionalFormatting>
  <conditionalFormatting sqref="J28">
    <cfRule type="cellIs" dxfId="115" priority="2" operator="equal">
      <formula>"Typ 2"</formula>
    </cfRule>
  </conditionalFormatting>
  <conditionalFormatting sqref="J31">
    <cfRule type="cellIs" dxfId="114" priority="1" operator="equal">
      <formula>"Typ 3"</formula>
    </cfRule>
  </conditionalFormatting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5"/>
  <sheetViews>
    <sheetView showGridLines="0" workbookViewId="0"/>
  </sheetViews>
  <sheetFormatPr defaultRowHeight="12.75" x14ac:dyDescent="0.2"/>
  <cols>
    <col min="1" max="16384" width="9.140625" style="1"/>
  </cols>
  <sheetData>
    <row r="1" spans="1:19" s="19" customFormat="1" ht="23.25" x14ac:dyDescent="0.35">
      <c r="A1" s="21" t="s">
        <v>22</v>
      </c>
    </row>
    <row r="3" spans="1:19" ht="14.25" x14ac:dyDescent="0.2">
      <c r="A3" s="20" t="s">
        <v>1</v>
      </c>
      <c r="B3" s="4"/>
      <c r="C3" s="4"/>
      <c r="D3" s="4"/>
      <c r="E3" s="4"/>
      <c r="F3" s="4"/>
      <c r="G3" s="4"/>
      <c r="H3" s="4"/>
      <c r="I3" s="4"/>
      <c r="K3" s="20" t="s">
        <v>24</v>
      </c>
      <c r="L3" s="4"/>
      <c r="M3" s="4"/>
      <c r="N3" s="4"/>
      <c r="O3" s="4"/>
      <c r="Q3" s="49" t="s">
        <v>75</v>
      </c>
    </row>
    <row r="4" spans="1:19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K4" s="4"/>
      <c r="L4" s="4"/>
      <c r="M4" s="4"/>
      <c r="N4" s="4"/>
      <c r="O4" s="4"/>
      <c r="P4" s="2"/>
    </row>
    <row r="5" spans="1:19" ht="15.75" x14ac:dyDescent="0.3">
      <c r="A5" s="4"/>
      <c r="B5" s="6">
        <v>52.1</v>
      </c>
      <c r="C5" s="4" t="s">
        <v>3</v>
      </c>
      <c r="D5" s="4"/>
      <c r="E5" s="4"/>
      <c r="F5" s="4"/>
      <c r="G5" s="4"/>
      <c r="H5" s="4"/>
      <c r="I5" s="4"/>
      <c r="K5" s="4" t="s">
        <v>68</v>
      </c>
      <c r="L5" s="4"/>
      <c r="M5" s="4"/>
      <c r="N5" s="4"/>
      <c r="O5" s="4"/>
      <c r="P5" s="2"/>
      <c r="Q5" s="31" t="s">
        <v>48</v>
      </c>
      <c r="R5" s="48">
        <f>B49</f>
        <v>1.42</v>
      </c>
      <c r="S5" s="26" t="s">
        <v>6</v>
      </c>
    </row>
    <row r="6" spans="1:19" x14ac:dyDescent="0.2">
      <c r="A6" s="4" t="s">
        <v>4</v>
      </c>
      <c r="B6" s="4"/>
      <c r="C6" s="4"/>
      <c r="D6" s="4"/>
      <c r="E6" s="4"/>
      <c r="F6" s="4"/>
      <c r="G6" s="4"/>
      <c r="H6" s="4"/>
      <c r="I6" s="4"/>
      <c r="K6" s="4" t="s">
        <v>67</v>
      </c>
      <c r="L6" s="4"/>
      <c r="M6" s="4"/>
      <c r="N6" s="4"/>
      <c r="O6" s="4"/>
      <c r="P6" s="2"/>
      <c r="Q6" s="32" t="s">
        <v>60</v>
      </c>
      <c r="R6" s="35">
        <f>L14*L18</f>
        <v>0.1</v>
      </c>
      <c r="S6" s="28" t="s">
        <v>6</v>
      </c>
    </row>
    <row r="7" spans="1:19" ht="15.75" x14ac:dyDescent="0.3">
      <c r="A7" s="4"/>
      <c r="B7" s="41">
        <v>50</v>
      </c>
      <c r="C7" s="4" t="s">
        <v>3</v>
      </c>
      <c r="D7" s="4"/>
      <c r="E7" s="4"/>
      <c r="F7" s="4"/>
      <c r="G7" s="4"/>
      <c r="H7" s="4"/>
      <c r="I7" s="4"/>
      <c r="K7" s="5" t="s">
        <v>55</v>
      </c>
      <c r="L7" s="6">
        <v>1.4</v>
      </c>
      <c r="M7" s="4" t="s">
        <v>6</v>
      </c>
      <c r="N7" s="4"/>
      <c r="O7" s="4"/>
      <c r="P7" s="2"/>
      <c r="Q7" s="32" t="s">
        <v>61</v>
      </c>
      <c r="R7" s="35">
        <f>L7</f>
        <v>1.4</v>
      </c>
      <c r="S7" s="28" t="s">
        <v>6</v>
      </c>
    </row>
    <row r="8" spans="1:19" ht="15.75" x14ac:dyDescent="0.3">
      <c r="A8" s="4" t="s">
        <v>5</v>
      </c>
      <c r="B8" s="4"/>
      <c r="C8" s="4"/>
      <c r="D8" s="4"/>
      <c r="E8" s="4"/>
      <c r="F8" s="4"/>
      <c r="G8" s="4"/>
      <c r="H8" s="4"/>
      <c r="I8" s="4"/>
      <c r="K8" s="4" t="s">
        <v>69</v>
      </c>
      <c r="L8" s="4"/>
      <c r="M8" s="4"/>
      <c r="N8" s="4"/>
      <c r="O8" s="4"/>
      <c r="P8" s="2"/>
      <c r="Q8" s="32" t="s">
        <v>62</v>
      </c>
      <c r="R8" s="35">
        <f>A26-L20</f>
        <v>0.63800000000000001</v>
      </c>
      <c r="S8" s="28" t="s">
        <v>6</v>
      </c>
    </row>
    <row r="9" spans="1:19" ht="15.75" x14ac:dyDescent="0.3">
      <c r="A9" s="4"/>
      <c r="B9" s="41">
        <v>2</v>
      </c>
      <c r="C9" s="4" t="s">
        <v>6</v>
      </c>
      <c r="D9" s="4"/>
      <c r="E9" s="4"/>
      <c r="F9" s="4"/>
      <c r="G9" s="4"/>
      <c r="H9" s="4"/>
      <c r="I9" s="4"/>
      <c r="K9" s="4" t="s">
        <v>70</v>
      </c>
      <c r="L9" s="4"/>
      <c r="M9" s="4"/>
      <c r="N9" s="4"/>
      <c r="O9" s="4"/>
      <c r="P9" s="2"/>
      <c r="Q9" s="32" t="s">
        <v>56</v>
      </c>
      <c r="R9" s="50">
        <f>L14</f>
        <v>0.01</v>
      </c>
      <c r="S9" s="28"/>
    </row>
    <row r="10" spans="1:19" ht="15.75" x14ac:dyDescent="0.3">
      <c r="A10" s="4" t="s">
        <v>7</v>
      </c>
      <c r="B10" s="4"/>
      <c r="C10" s="4"/>
      <c r="D10" s="4"/>
      <c r="E10" s="4"/>
      <c r="F10" s="4"/>
      <c r="G10" s="4"/>
      <c r="H10" s="4"/>
      <c r="I10" s="4"/>
      <c r="K10" s="5" t="s">
        <v>59</v>
      </c>
      <c r="L10" s="6">
        <v>0.2</v>
      </c>
      <c r="M10" s="4"/>
      <c r="N10" s="4"/>
      <c r="O10" s="4"/>
      <c r="P10" s="2"/>
      <c r="Q10" s="32" t="s">
        <v>63</v>
      </c>
      <c r="R10" s="50">
        <f>(B19/(PI()*L7^2/4))^2*L16^2/(L7/4)^(4/3)</f>
        <v>3.60762283781129E-3</v>
      </c>
      <c r="S10" s="28"/>
    </row>
    <row r="11" spans="1:19" ht="15.75" x14ac:dyDescent="0.3">
      <c r="A11" s="5" t="s">
        <v>28</v>
      </c>
      <c r="B11" s="6">
        <v>2.3E-2</v>
      </c>
      <c r="C11" s="4"/>
      <c r="D11" s="4"/>
      <c r="E11" s="4"/>
      <c r="F11" s="4"/>
      <c r="G11" s="4"/>
      <c r="H11" s="4"/>
      <c r="I11" s="4"/>
      <c r="K11" s="4" t="s">
        <v>71</v>
      </c>
      <c r="L11" s="4"/>
      <c r="M11" s="4"/>
      <c r="N11" s="4"/>
      <c r="O11" s="4"/>
      <c r="P11" s="2"/>
      <c r="Q11" s="32" t="s">
        <v>64</v>
      </c>
      <c r="R11" s="35">
        <f>A34</f>
        <v>0.78200000000000003</v>
      </c>
      <c r="S11" s="28" t="s">
        <v>6</v>
      </c>
    </row>
    <row r="12" spans="1:19" ht="15.75" x14ac:dyDescent="0.3">
      <c r="A12" s="4" t="s">
        <v>8</v>
      </c>
      <c r="B12" s="4"/>
      <c r="C12" s="4"/>
      <c r="D12" s="4"/>
      <c r="E12" s="4"/>
      <c r="F12" s="4"/>
      <c r="G12" s="4"/>
      <c r="H12" s="4"/>
      <c r="I12" s="4"/>
      <c r="K12" s="5" t="s">
        <v>54</v>
      </c>
      <c r="L12" s="45">
        <f>(1/(1+L10))^(1/2)</f>
        <v>0.9128709291752769</v>
      </c>
      <c r="M12" s="4"/>
      <c r="N12" s="4"/>
      <c r="O12" s="4"/>
      <c r="P12" s="2"/>
      <c r="Q12" s="33" t="s">
        <v>65</v>
      </c>
      <c r="R12" s="46">
        <f>A42</f>
        <v>0.98399999999999999</v>
      </c>
      <c r="S12" s="29" t="s">
        <v>6</v>
      </c>
    </row>
    <row r="13" spans="1:19" x14ac:dyDescent="0.2">
      <c r="A13" s="4"/>
      <c r="B13" s="6">
        <v>1.6</v>
      </c>
      <c r="C13" s="30" t="s">
        <v>6</v>
      </c>
      <c r="D13" s="4"/>
      <c r="E13" s="4"/>
      <c r="F13" s="4"/>
      <c r="G13" s="4"/>
      <c r="H13" s="4"/>
      <c r="I13" s="4"/>
      <c r="K13" s="4" t="s">
        <v>72</v>
      </c>
      <c r="L13" s="4"/>
      <c r="M13" s="4"/>
      <c r="N13" s="4"/>
      <c r="O13" s="4"/>
      <c r="P13" s="2"/>
    </row>
    <row r="14" spans="1:19" ht="15.75" x14ac:dyDescent="0.3">
      <c r="A14" s="4" t="s">
        <v>9</v>
      </c>
      <c r="B14" s="4"/>
      <c r="C14" s="4"/>
      <c r="D14" s="4"/>
      <c r="E14" s="4"/>
      <c r="F14" s="4"/>
      <c r="G14" s="4"/>
      <c r="H14" s="4"/>
      <c r="I14" s="4"/>
      <c r="K14" s="5" t="s">
        <v>56</v>
      </c>
      <c r="L14" s="6">
        <v>0.01</v>
      </c>
      <c r="M14" s="4"/>
      <c r="N14" s="4"/>
      <c r="O14" s="4"/>
      <c r="P14" s="2"/>
    </row>
    <row r="15" spans="1:19" ht="15.75" x14ac:dyDescent="0.3">
      <c r="A15" s="5" t="s">
        <v>29</v>
      </c>
      <c r="B15" s="6">
        <v>4.0000000000000001E-3</v>
      </c>
      <c r="C15" s="4"/>
      <c r="D15" s="4"/>
      <c r="E15" s="4"/>
      <c r="F15" s="4"/>
      <c r="G15" s="4"/>
      <c r="H15" s="4"/>
      <c r="I15" s="4"/>
      <c r="K15" s="4" t="s">
        <v>73</v>
      </c>
      <c r="L15" s="4"/>
      <c r="M15" s="4"/>
      <c r="N15" s="4"/>
      <c r="O15" s="4"/>
      <c r="P15" s="2"/>
    </row>
    <row r="16" spans="1:19" ht="15.75" x14ac:dyDescent="0.3">
      <c r="A16" s="61" t="s">
        <v>102</v>
      </c>
      <c r="B16" s="4"/>
      <c r="C16" s="4"/>
      <c r="D16" s="4"/>
      <c r="E16" s="4"/>
      <c r="F16" s="4"/>
      <c r="G16" s="4"/>
      <c r="H16" s="4"/>
      <c r="I16" s="4"/>
      <c r="K16" s="5" t="s">
        <v>57</v>
      </c>
      <c r="L16" s="6">
        <v>1.4E-2</v>
      </c>
      <c r="M16" s="4"/>
      <c r="N16" s="4"/>
      <c r="O16" s="4"/>
      <c r="P16" s="2"/>
    </row>
    <row r="17" spans="1:22" x14ac:dyDescent="0.2">
      <c r="A17" s="5" t="s">
        <v>30</v>
      </c>
      <c r="B17" s="6">
        <v>2</v>
      </c>
      <c r="C17" s="4"/>
      <c r="D17" s="4"/>
      <c r="E17" s="4"/>
      <c r="F17" s="4"/>
      <c r="G17" s="4"/>
      <c r="H17" s="4"/>
      <c r="I17" s="4"/>
      <c r="K17" s="4" t="s">
        <v>74</v>
      </c>
      <c r="L17" s="4"/>
      <c r="M17" s="4"/>
      <c r="N17" s="4"/>
      <c r="O17" s="4"/>
      <c r="P17" s="2"/>
    </row>
    <row r="18" spans="1:22" ht="15.75" x14ac:dyDescent="0.3">
      <c r="A18" s="4" t="s">
        <v>10</v>
      </c>
      <c r="B18" s="4"/>
      <c r="C18" s="4"/>
      <c r="D18" s="4"/>
      <c r="E18" s="4"/>
      <c r="F18" s="4"/>
      <c r="G18" s="4"/>
      <c r="H18" s="4"/>
      <c r="I18" s="4"/>
      <c r="K18" s="5" t="s">
        <v>58</v>
      </c>
      <c r="L18" s="41">
        <v>10</v>
      </c>
      <c r="M18" s="4" t="s">
        <v>6</v>
      </c>
      <c r="N18" s="4"/>
      <c r="O18" s="4"/>
    </row>
    <row r="19" spans="1:22" ht="15.75" x14ac:dyDescent="0.3">
      <c r="A19" s="5" t="s">
        <v>31</v>
      </c>
      <c r="B19" s="6">
        <v>3.28</v>
      </c>
      <c r="C19" s="4" t="s">
        <v>37</v>
      </c>
      <c r="D19" s="4"/>
      <c r="E19" s="4"/>
      <c r="F19" s="4"/>
      <c r="G19" s="4"/>
      <c r="H19" s="4"/>
      <c r="I19" s="4"/>
      <c r="K19" s="4" t="s">
        <v>92</v>
      </c>
      <c r="L19" s="4"/>
      <c r="M19" s="4"/>
      <c r="N19" s="4"/>
      <c r="O19" s="4"/>
    </row>
    <row r="20" spans="1:22" x14ac:dyDescent="0.2">
      <c r="A20" s="4" t="s">
        <v>13</v>
      </c>
      <c r="B20" s="4"/>
      <c r="C20" s="4"/>
      <c r="D20" s="4"/>
      <c r="E20" s="4"/>
      <c r="F20" s="4"/>
      <c r="G20" s="4"/>
      <c r="H20" s="4"/>
      <c r="I20" s="4"/>
      <c r="K20" s="5" t="s">
        <v>87</v>
      </c>
      <c r="L20" s="41">
        <v>0</v>
      </c>
      <c r="M20" s="4" t="s">
        <v>6</v>
      </c>
      <c r="N20" s="4"/>
      <c r="O20" s="4"/>
    </row>
    <row r="21" spans="1:22" ht="14.25" x14ac:dyDescent="0.2">
      <c r="A21" s="5" t="s">
        <v>23</v>
      </c>
      <c r="B21" s="6">
        <v>1.1000000000000001</v>
      </c>
      <c r="C21" s="4"/>
      <c r="D21" s="4"/>
      <c r="E21" s="4"/>
      <c r="F21" s="4"/>
      <c r="G21" s="4"/>
      <c r="H21" s="4"/>
      <c r="I21" s="4"/>
      <c r="P21" s="49" t="s">
        <v>66</v>
      </c>
    </row>
    <row r="22" spans="1:22" x14ac:dyDescent="0.2">
      <c r="D22" s="2"/>
      <c r="E22" s="2"/>
      <c r="F22" s="2"/>
      <c r="G22" s="2"/>
      <c r="H22" s="2"/>
      <c r="I22" s="2"/>
      <c r="K22" s="7"/>
      <c r="L22" s="8"/>
      <c r="M22" s="8"/>
      <c r="N22" s="8"/>
      <c r="O22" s="8"/>
      <c r="P22" s="8"/>
      <c r="Q22" s="8"/>
      <c r="R22" s="8"/>
      <c r="S22" s="8"/>
      <c r="T22" s="8"/>
      <c r="U22" s="8"/>
      <c r="V22" s="9"/>
    </row>
    <row r="23" spans="1:22" x14ac:dyDescent="0.2">
      <c r="A23" s="22" t="s">
        <v>11</v>
      </c>
      <c r="K23" s="10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2"/>
    </row>
    <row r="24" spans="1:22" x14ac:dyDescent="0.2">
      <c r="A24" s="1" t="s">
        <v>12</v>
      </c>
      <c r="K24" s="10"/>
      <c r="L24" s="11"/>
      <c r="M24" s="11"/>
      <c r="N24" s="13" t="str">
        <f>IF(((R5-R6)/R7)&lt;=1.2,"Tak","")</f>
        <v>Tak</v>
      </c>
      <c r="O24" s="11"/>
      <c r="P24" s="11"/>
      <c r="Q24" s="11"/>
      <c r="R24" s="11" t="str">
        <f>IF(AND(N24="Tak",R8&lt;R12),"Tak","")</f>
        <v>Tak</v>
      </c>
      <c r="S24" s="11"/>
      <c r="T24" s="11" t="str">
        <f>IF(AND(R24="Tak",R12&gt;R11),"Tak","")</f>
        <v>Tak</v>
      </c>
      <c r="U24" s="11"/>
      <c r="V24" s="12"/>
    </row>
    <row r="25" spans="1:22" ht="15.75" x14ac:dyDescent="0.3">
      <c r="A25" s="24" t="s">
        <v>32</v>
      </c>
      <c r="B25" s="24" t="s">
        <v>40</v>
      </c>
      <c r="C25" s="24" t="s">
        <v>33</v>
      </c>
      <c r="D25" s="24" t="s">
        <v>34</v>
      </c>
      <c r="E25" s="24" t="s">
        <v>35</v>
      </c>
      <c r="F25" s="24" t="s">
        <v>36</v>
      </c>
      <c r="I25" s="2"/>
      <c r="K25" s="10"/>
      <c r="L25" s="11"/>
      <c r="M25" s="11"/>
      <c r="N25" s="11"/>
      <c r="O25" s="11"/>
      <c r="P25" s="11"/>
      <c r="Q25" s="11"/>
      <c r="R25" s="11"/>
      <c r="S25" s="11"/>
      <c r="T25" s="11" t="s">
        <v>16</v>
      </c>
      <c r="U25" s="14" t="str">
        <f>IF(T24="Tak","Typ 1","")</f>
        <v>Typ 1</v>
      </c>
      <c r="V25" s="12"/>
    </row>
    <row r="26" spans="1:22" x14ac:dyDescent="0.2">
      <c r="A26" s="23">
        <v>0.63800000000000001</v>
      </c>
      <c r="B26" s="23">
        <f>(B9+B17*A26)*A26</f>
        <v>2.0900879999999997</v>
      </c>
      <c r="C26" s="23">
        <f>B9+2*B17*A26</f>
        <v>4.5519999999999996</v>
      </c>
      <c r="D26" s="23">
        <f>B9+2*A26*(1+B17^2)^0.5</f>
        <v>4.8532227392897322</v>
      </c>
      <c r="E26" s="23">
        <f>B26/D26</f>
        <v>0.43065981354605692</v>
      </c>
      <c r="F26" s="23">
        <f>1/B11*E26^(2/3)*B15^(1/2)</f>
        <v>1.568164885998613</v>
      </c>
      <c r="K26" s="10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2"/>
    </row>
    <row r="27" spans="1:22" x14ac:dyDescent="0.2">
      <c r="A27" s="1" t="s">
        <v>14</v>
      </c>
      <c r="K27" s="10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2"/>
    </row>
    <row r="28" spans="1:22" ht="15.75" x14ac:dyDescent="0.3">
      <c r="A28" s="36" t="s">
        <v>31</v>
      </c>
      <c r="B28" s="34">
        <f>B19</f>
        <v>3.28</v>
      </c>
      <c r="C28" s="26" t="s">
        <v>37</v>
      </c>
      <c r="K28" s="10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2"/>
    </row>
    <row r="29" spans="1:22" ht="15.75" x14ac:dyDescent="0.3">
      <c r="A29" s="37" t="s">
        <v>50</v>
      </c>
      <c r="B29" s="35">
        <f>F26*B26</f>
        <v>3.2776026102470688</v>
      </c>
      <c r="C29" s="28" t="s">
        <v>37</v>
      </c>
      <c r="K29" s="10"/>
      <c r="L29" s="11"/>
      <c r="M29" s="15" t="str">
        <f>IF(((R5-R6)/R7)&gt;1.2,"Nie","")</f>
        <v/>
      </c>
      <c r="N29" s="11"/>
      <c r="O29" s="11"/>
      <c r="P29" s="11"/>
      <c r="Q29" s="11" t="str">
        <f>IF(AND(N24="Tak",R8&gt;R12),"Nie","")</f>
        <v/>
      </c>
      <c r="R29" s="11"/>
      <c r="S29" s="14" t="str">
        <f>IF(AND(R24="Tak",R12&lt;R11),"Nie","")</f>
        <v/>
      </c>
      <c r="T29" s="11"/>
      <c r="U29" s="11"/>
      <c r="V29" s="12"/>
    </row>
    <row r="30" spans="1:22" x14ac:dyDescent="0.2">
      <c r="A30" s="33" t="s">
        <v>51</v>
      </c>
      <c r="B30" s="39">
        <f>ABS((B28-B29)/B28*100)</f>
        <v>7.3091151003994603E-2</v>
      </c>
      <c r="C30" s="38" t="s">
        <v>25</v>
      </c>
      <c r="K30" s="10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2"/>
    </row>
    <row r="31" spans="1:22" x14ac:dyDescent="0.2">
      <c r="K31" s="10"/>
      <c r="L31" s="11"/>
      <c r="M31" s="11"/>
      <c r="N31" s="11" t="str">
        <f>IF(AND(M29="Nie",R8&gt;R7),"Tak","")</f>
        <v/>
      </c>
      <c r="O31" s="11"/>
      <c r="P31" s="11"/>
      <c r="Q31" s="11"/>
      <c r="R31" s="11"/>
      <c r="S31" s="11"/>
      <c r="T31" s="11"/>
      <c r="U31" s="11"/>
      <c r="V31" s="12"/>
    </row>
    <row r="32" spans="1:22" x14ac:dyDescent="0.2">
      <c r="A32" s="22" t="s">
        <v>15</v>
      </c>
      <c r="K32" s="10"/>
      <c r="L32" s="11"/>
      <c r="M32" s="11"/>
      <c r="N32" s="11"/>
      <c r="O32" s="14" t="str">
        <f>IF(N31="Tak","Typ 4","")</f>
        <v/>
      </c>
      <c r="P32" s="11"/>
      <c r="Q32" s="11"/>
      <c r="R32" s="11"/>
      <c r="S32" s="14" t="str">
        <f>IF(S29="Nie","Typ 2","")</f>
        <v/>
      </c>
      <c r="T32" s="11"/>
      <c r="U32" s="11"/>
      <c r="V32" s="12"/>
    </row>
    <row r="33" spans="1:22" ht="15.75" x14ac:dyDescent="0.3">
      <c r="A33" s="24" t="s">
        <v>38</v>
      </c>
      <c r="B33" s="40" t="s">
        <v>39</v>
      </c>
      <c r="C33" s="24" t="s">
        <v>41</v>
      </c>
      <c r="D33" s="24" t="s">
        <v>42</v>
      </c>
      <c r="E33" s="24" t="s">
        <v>43</v>
      </c>
      <c r="K33" s="10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2"/>
    </row>
    <row r="34" spans="1:22" x14ac:dyDescent="0.2">
      <c r="A34" s="23">
        <v>0.78200000000000003</v>
      </c>
      <c r="B34" s="23">
        <f>(2*ASIN((A34-L7/2)/(L7/2))+PI())/2*(L7/2)^2+L7/2*COS(ASIN((A34-L7/2)/(L7/2)))*(A34-L7/2)</f>
        <v>0.88422710083551148</v>
      </c>
      <c r="C34" s="23">
        <f>(2*ASIN((A34-L7/2)/(L7/2))+PI())*L7/2</f>
        <v>2.3634922730410763</v>
      </c>
      <c r="D34" s="23">
        <f>B34/C34</f>
        <v>0.37411888793602333</v>
      </c>
      <c r="E34" s="23">
        <f>1/L16*D34^(2/3)*L14^(1/2)</f>
        <v>3.7086147461472567</v>
      </c>
      <c r="K34" s="10"/>
      <c r="L34" s="11"/>
      <c r="M34" s="11"/>
      <c r="N34" s="11"/>
      <c r="O34" s="11"/>
      <c r="P34" s="11"/>
      <c r="Q34" s="11"/>
      <c r="R34" s="11" t="str">
        <f>IF(AND(Q29="Nie",R11&gt;R12),"Tak","")</f>
        <v/>
      </c>
      <c r="S34" s="11"/>
      <c r="T34" s="11"/>
      <c r="U34" s="11"/>
      <c r="V34" s="12"/>
    </row>
    <row r="35" spans="1:22" x14ac:dyDescent="0.2">
      <c r="A35" s="1" t="s">
        <v>14</v>
      </c>
      <c r="K35" s="10"/>
      <c r="L35" s="11"/>
      <c r="M35" s="15" t="str">
        <f>IF(AND(M29="Nie",R8&lt;=R7),"Nie","")</f>
        <v/>
      </c>
      <c r="N35" s="11"/>
      <c r="O35" s="11"/>
      <c r="P35" s="11"/>
      <c r="Q35" s="11"/>
      <c r="R35" s="11"/>
      <c r="S35" s="14" t="str">
        <f>IF(R34="Tak","Typ 3","")</f>
        <v/>
      </c>
      <c r="T35" s="11"/>
      <c r="U35" s="11"/>
      <c r="V35" s="12"/>
    </row>
    <row r="36" spans="1:22" ht="15.75" x14ac:dyDescent="0.3">
      <c r="A36" s="36" t="s">
        <v>31</v>
      </c>
      <c r="B36" s="34">
        <f>B19</f>
        <v>3.28</v>
      </c>
      <c r="C36" s="26" t="s">
        <v>37</v>
      </c>
      <c r="K36" s="10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2"/>
    </row>
    <row r="37" spans="1:22" ht="15.75" x14ac:dyDescent="0.3">
      <c r="A37" s="37" t="s">
        <v>50</v>
      </c>
      <c r="B37" s="35">
        <f>E34*B34</f>
        <v>3.279257665101615</v>
      </c>
      <c r="C37" s="28" t="s">
        <v>37</v>
      </c>
      <c r="K37" s="10"/>
      <c r="L37" s="11"/>
      <c r="M37" s="11"/>
      <c r="N37" s="11" t="str">
        <f>IF(AND(M35="Nie",R10&gt;R9),"Tak","")</f>
        <v/>
      </c>
      <c r="O37" s="11"/>
      <c r="P37" s="11"/>
      <c r="Q37" s="11" t="str">
        <f>IF(AND(Q29="Nie",R11&lt;R12),"Nie","")</f>
        <v/>
      </c>
      <c r="R37" s="11"/>
      <c r="S37" s="11"/>
      <c r="T37" s="11"/>
      <c r="U37" s="11"/>
      <c r="V37" s="12"/>
    </row>
    <row r="38" spans="1:22" x14ac:dyDescent="0.2">
      <c r="A38" s="33" t="s">
        <v>51</v>
      </c>
      <c r="B38" s="39">
        <f>ABS((B36-B37)/B36*100)</f>
        <v>2.2632161536122627E-2</v>
      </c>
      <c r="C38" s="38" t="s">
        <v>25</v>
      </c>
      <c r="K38" s="10"/>
      <c r="L38" s="11"/>
      <c r="M38" s="11"/>
      <c r="N38" s="11"/>
      <c r="O38" s="14" t="str">
        <f>IF(N37="Tak","Typ 5","")</f>
        <v/>
      </c>
      <c r="P38" s="11"/>
      <c r="Q38" s="11"/>
      <c r="R38" s="11"/>
      <c r="S38" s="11"/>
      <c r="T38" s="11"/>
      <c r="U38" s="11"/>
      <c r="V38" s="12"/>
    </row>
    <row r="39" spans="1:22" x14ac:dyDescent="0.2">
      <c r="K39" s="10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2"/>
    </row>
    <row r="40" spans="1:22" x14ac:dyDescent="0.2">
      <c r="A40" s="22" t="s">
        <v>19</v>
      </c>
      <c r="K40" s="10"/>
      <c r="L40" s="11"/>
      <c r="M40" s="11"/>
      <c r="N40" s="11"/>
      <c r="O40" s="11"/>
      <c r="P40" s="14" t="str">
        <f>IF(Q37="Nie","Błąd","")</f>
        <v/>
      </c>
      <c r="Q40" s="11"/>
      <c r="R40" s="11"/>
      <c r="S40" s="11"/>
      <c r="T40" s="11"/>
      <c r="U40" s="11"/>
      <c r="V40" s="12"/>
    </row>
    <row r="41" spans="1:22" ht="15.75" x14ac:dyDescent="0.3">
      <c r="A41" s="24" t="s">
        <v>45</v>
      </c>
      <c r="B41" s="24" t="s">
        <v>46</v>
      </c>
      <c r="C41" s="40" t="s">
        <v>47</v>
      </c>
      <c r="D41" s="14"/>
      <c r="K41" s="10"/>
      <c r="L41" s="11"/>
      <c r="M41" s="11" t="str">
        <f>IF(AND(M35="Nie",R10&lt;=R9),"Nie","")</f>
        <v/>
      </c>
      <c r="N41" s="11"/>
      <c r="O41" s="11"/>
      <c r="P41" s="11"/>
      <c r="Q41" s="11"/>
      <c r="R41" s="11"/>
      <c r="S41" s="11"/>
      <c r="T41" s="11"/>
      <c r="U41" s="11"/>
      <c r="V41" s="12"/>
    </row>
    <row r="42" spans="1:22" x14ac:dyDescent="0.2">
      <c r="A42" s="23">
        <v>0.98399999999999999</v>
      </c>
      <c r="B42" s="23">
        <f>(2*ASIN((A42-L7/2)/(L7/2))+PI())/2*(L7/2)^2+L7/2*COS(ASIN((A42-L7/2)/(L7/2)))*(A42-L7/2)</f>
        <v>1.1560958840834477</v>
      </c>
      <c r="C42" s="23">
        <f>L7*COS(ASIN((A42-L7/2)/(L7/2)))</f>
        <v>1.279599937480461</v>
      </c>
      <c r="D42" s="25"/>
      <c r="K42" s="10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2"/>
    </row>
    <row r="43" spans="1:22" x14ac:dyDescent="0.2">
      <c r="A43" s="1" t="s">
        <v>26</v>
      </c>
      <c r="K43" s="10"/>
      <c r="L43" s="14" t="str">
        <f>IF(M41="Nie","Typ 6","")</f>
        <v/>
      </c>
      <c r="M43" s="11"/>
      <c r="N43" s="11"/>
      <c r="O43" s="11"/>
      <c r="P43" s="11"/>
      <c r="Q43" s="11"/>
      <c r="R43" s="11"/>
      <c r="S43" s="11"/>
      <c r="T43" s="11"/>
      <c r="U43" s="11"/>
      <c r="V43" s="12"/>
    </row>
    <row r="44" spans="1:22" ht="14.25" x14ac:dyDescent="0.2">
      <c r="A44" s="31" t="s">
        <v>53</v>
      </c>
      <c r="B44" s="47">
        <f>B21*B19^2/9.81</f>
        <v>1.2063445463812434</v>
      </c>
      <c r="C44" s="26"/>
      <c r="K44" s="16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8"/>
    </row>
    <row r="45" spans="1:22" ht="15.75" x14ac:dyDescent="0.3">
      <c r="A45" s="27" t="s">
        <v>52</v>
      </c>
      <c r="B45" s="50">
        <f>B42^3/C42</f>
        <v>1.2075562077510975</v>
      </c>
      <c r="C45" s="28"/>
    </row>
    <row r="46" spans="1:22" x14ac:dyDescent="0.2">
      <c r="A46" s="33" t="s">
        <v>51</v>
      </c>
      <c r="B46" s="39">
        <f>ABS((B44-B45)/B44*100)</f>
        <v>0.1004407383851299</v>
      </c>
      <c r="C46" s="29" t="s">
        <v>25</v>
      </c>
    </row>
    <row r="48" spans="1:22" x14ac:dyDescent="0.2">
      <c r="A48" s="22" t="s">
        <v>27</v>
      </c>
    </row>
    <row r="49" spans="1:15" ht="15.75" x14ac:dyDescent="0.3">
      <c r="A49" s="42" t="s">
        <v>48</v>
      </c>
      <c r="B49" s="43">
        <v>1.42</v>
      </c>
      <c r="C49" s="44" t="s">
        <v>6</v>
      </c>
      <c r="E49"/>
    </row>
    <row r="50" spans="1:15" ht="15.75" x14ac:dyDescent="0.3">
      <c r="A50" s="42" t="s">
        <v>49</v>
      </c>
      <c r="B50" s="43">
        <f>B19/((B9+B17*B49)*A26)</f>
        <v>1.0622036840332651</v>
      </c>
      <c r="C50" s="1" t="s">
        <v>76</v>
      </c>
    </row>
    <row r="51" spans="1:15" x14ac:dyDescent="0.2">
      <c r="A51" s="1" t="s">
        <v>14</v>
      </c>
    </row>
    <row r="52" spans="1:15" ht="15.75" x14ac:dyDescent="0.3">
      <c r="A52" s="36" t="s">
        <v>31</v>
      </c>
      <c r="B52" s="34">
        <f>B19</f>
        <v>3.28</v>
      </c>
      <c r="C52" s="26" t="s">
        <v>37</v>
      </c>
    </row>
    <row r="53" spans="1:15" ht="15.75" x14ac:dyDescent="0.3">
      <c r="A53" s="37" t="s">
        <v>50</v>
      </c>
      <c r="B53" s="35">
        <f>L12*B42*(19.62*(B49+B50^2/19.62-A42))^(1/2)</f>
        <v>3.2839697857602168</v>
      </c>
      <c r="C53" s="28" t="s">
        <v>37</v>
      </c>
      <c r="O53" s="22" t="s">
        <v>44</v>
      </c>
    </row>
    <row r="54" spans="1:15" x14ac:dyDescent="0.2">
      <c r="A54" s="33" t="s">
        <v>51</v>
      </c>
      <c r="B54" s="39">
        <f>ABS((B52-B53)/B52*100)</f>
        <v>0.12103005366515256</v>
      </c>
      <c r="C54" s="38" t="s">
        <v>25</v>
      </c>
    </row>
    <row r="55" spans="1:15" x14ac:dyDescent="0.2">
      <c r="J55" s="22"/>
    </row>
  </sheetData>
  <conditionalFormatting sqref="M29">
    <cfRule type="cellIs" dxfId="113" priority="19" operator="equal">
      <formula>"Nie"</formula>
    </cfRule>
  </conditionalFormatting>
  <conditionalFormatting sqref="N31">
    <cfRule type="cellIs" dxfId="112" priority="18" operator="equal">
      <formula>"Tak"</formula>
    </cfRule>
  </conditionalFormatting>
  <conditionalFormatting sqref="O32">
    <cfRule type="cellIs" dxfId="111" priority="17" operator="equal">
      <formula>"Typ 4"</formula>
    </cfRule>
  </conditionalFormatting>
  <conditionalFormatting sqref="M35">
    <cfRule type="cellIs" dxfId="110" priority="16" operator="equal">
      <formula>"Nie"</formula>
    </cfRule>
  </conditionalFormatting>
  <conditionalFormatting sqref="N37">
    <cfRule type="cellIs" dxfId="109" priority="15" operator="equal">
      <formula>"Tak"</formula>
    </cfRule>
  </conditionalFormatting>
  <conditionalFormatting sqref="O38">
    <cfRule type="cellIs" dxfId="108" priority="14" operator="equal">
      <formula>"Typ 5"</formula>
    </cfRule>
  </conditionalFormatting>
  <conditionalFormatting sqref="L43">
    <cfRule type="cellIs" dxfId="107" priority="13" operator="equal">
      <formula>"Typ 6"</formula>
    </cfRule>
  </conditionalFormatting>
  <conditionalFormatting sqref="M41">
    <cfRule type="cellIs" dxfId="106" priority="12" operator="equal">
      <formula>"Nie"</formula>
    </cfRule>
  </conditionalFormatting>
  <conditionalFormatting sqref="N24">
    <cfRule type="cellIs" dxfId="105" priority="11" operator="equal">
      <formula>"Tak"</formula>
    </cfRule>
  </conditionalFormatting>
  <conditionalFormatting sqref="R24">
    <cfRule type="cellIs" dxfId="104" priority="10" operator="equal">
      <formula>"Tak"</formula>
    </cfRule>
  </conditionalFormatting>
  <conditionalFormatting sqref="T24">
    <cfRule type="cellIs" dxfId="103" priority="9" operator="equal">
      <formula>"Tak"</formula>
    </cfRule>
  </conditionalFormatting>
  <conditionalFormatting sqref="U25">
    <cfRule type="cellIs" dxfId="102" priority="8" operator="equal">
      <formula>"Typ 1"</formula>
    </cfRule>
  </conditionalFormatting>
  <conditionalFormatting sqref="S29">
    <cfRule type="cellIs" dxfId="101" priority="7" operator="equal">
      <formula>"Nie"</formula>
    </cfRule>
  </conditionalFormatting>
  <conditionalFormatting sqref="Q29">
    <cfRule type="cellIs" dxfId="100" priority="6" operator="equal">
      <formula>"Nie"</formula>
    </cfRule>
  </conditionalFormatting>
  <conditionalFormatting sqref="R34">
    <cfRule type="cellIs" dxfId="99" priority="5" operator="equal">
      <formula>"Tak"</formula>
    </cfRule>
  </conditionalFormatting>
  <conditionalFormatting sqref="Q37">
    <cfRule type="cellIs" dxfId="98" priority="4" operator="equal">
      <formula>"Nie"</formula>
    </cfRule>
  </conditionalFormatting>
  <conditionalFormatting sqref="P40">
    <cfRule type="cellIs" dxfId="97" priority="3" operator="equal">
      <formula>"Błąd"</formula>
    </cfRule>
  </conditionalFormatting>
  <conditionalFormatting sqref="S32">
    <cfRule type="cellIs" dxfId="96" priority="2" operator="equal">
      <formula>"Typ 2"</formula>
    </cfRule>
  </conditionalFormatting>
  <conditionalFormatting sqref="S35">
    <cfRule type="cellIs" dxfId="95" priority="1" operator="equal">
      <formula>"Typ 3"</formula>
    </cfRule>
  </conditionalFormatting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5"/>
  <sheetViews>
    <sheetView showGridLines="0" zoomScaleNormal="100" workbookViewId="0"/>
  </sheetViews>
  <sheetFormatPr defaultRowHeight="12.75" x14ac:dyDescent="0.2"/>
  <cols>
    <col min="1" max="16384" width="9.140625" style="1"/>
  </cols>
  <sheetData>
    <row r="1" spans="1:19" s="19" customFormat="1" ht="23.25" x14ac:dyDescent="0.35">
      <c r="A1" s="21" t="s">
        <v>21</v>
      </c>
    </row>
    <row r="3" spans="1:19" ht="14.25" x14ac:dyDescent="0.2">
      <c r="A3" s="20" t="s">
        <v>1</v>
      </c>
      <c r="B3" s="4"/>
      <c r="C3" s="4"/>
      <c r="D3" s="4"/>
      <c r="E3" s="4"/>
      <c r="F3" s="4"/>
      <c r="G3" s="4"/>
      <c r="H3" s="4"/>
      <c r="I3" s="4"/>
      <c r="K3" s="20" t="s">
        <v>24</v>
      </c>
      <c r="L3" s="4"/>
      <c r="M3" s="4"/>
      <c r="N3" s="4"/>
      <c r="O3" s="4"/>
      <c r="Q3" s="49" t="s">
        <v>75</v>
      </c>
    </row>
    <row r="4" spans="1:19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K4" s="4"/>
      <c r="L4" s="4"/>
      <c r="M4" s="4"/>
      <c r="N4" s="4"/>
      <c r="O4" s="4"/>
      <c r="P4" s="2"/>
    </row>
    <row r="5" spans="1:19" ht="15.75" x14ac:dyDescent="0.3">
      <c r="A5" s="4"/>
      <c r="B5" s="6">
        <v>52.1</v>
      </c>
      <c r="C5" s="4" t="s">
        <v>3</v>
      </c>
      <c r="D5" s="4"/>
      <c r="E5" s="4"/>
      <c r="F5" s="4"/>
      <c r="G5" s="4"/>
      <c r="H5" s="4"/>
      <c r="I5" s="4"/>
      <c r="K5" s="4" t="s">
        <v>68</v>
      </c>
      <c r="L5" s="4"/>
      <c r="M5" s="4"/>
      <c r="N5" s="4"/>
      <c r="O5" s="4"/>
      <c r="P5" s="2"/>
      <c r="Q5" s="31" t="s">
        <v>48</v>
      </c>
      <c r="R5" s="48">
        <f>B49</f>
        <v>1.47</v>
      </c>
      <c r="S5" s="26" t="s">
        <v>6</v>
      </c>
    </row>
    <row r="6" spans="1:19" x14ac:dyDescent="0.2">
      <c r="A6" s="4" t="s">
        <v>4</v>
      </c>
      <c r="B6" s="4"/>
      <c r="C6" s="4"/>
      <c r="D6" s="4"/>
      <c r="E6" s="4"/>
      <c r="F6" s="4"/>
      <c r="G6" s="4"/>
      <c r="H6" s="4"/>
      <c r="I6" s="4"/>
      <c r="K6" s="4" t="s">
        <v>67</v>
      </c>
      <c r="L6" s="4"/>
      <c r="M6" s="4"/>
      <c r="N6" s="4"/>
      <c r="O6" s="4"/>
      <c r="P6" s="2"/>
      <c r="Q6" s="32" t="s">
        <v>60</v>
      </c>
      <c r="R6" s="35">
        <f>L14*L18</f>
        <v>0.05</v>
      </c>
      <c r="S6" s="28" t="s">
        <v>6</v>
      </c>
    </row>
    <row r="7" spans="1:19" ht="15.75" x14ac:dyDescent="0.3">
      <c r="A7" s="4"/>
      <c r="B7" s="41">
        <v>50</v>
      </c>
      <c r="C7" s="4" t="s">
        <v>3</v>
      </c>
      <c r="D7" s="4"/>
      <c r="E7" s="4"/>
      <c r="F7" s="4"/>
      <c r="G7" s="4"/>
      <c r="H7" s="4"/>
      <c r="I7" s="4"/>
      <c r="K7" s="5" t="s">
        <v>55</v>
      </c>
      <c r="L7" s="6">
        <v>1.4</v>
      </c>
      <c r="M7" s="4" t="s">
        <v>6</v>
      </c>
      <c r="N7" s="4"/>
      <c r="O7" s="4"/>
      <c r="P7" s="2"/>
      <c r="Q7" s="32" t="s">
        <v>61</v>
      </c>
      <c r="R7" s="35">
        <f>L7</f>
        <v>1.4</v>
      </c>
      <c r="S7" s="28" t="s">
        <v>6</v>
      </c>
    </row>
    <row r="8" spans="1:19" ht="15.75" x14ac:dyDescent="0.3">
      <c r="A8" s="4" t="s">
        <v>5</v>
      </c>
      <c r="B8" s="4"/>
      <c r="C8" s="4"/>
      <c r="D8" s="4"/>
      <c r="E8" s="4"/>
      <c r="F8" s="4"/>
      <c r="G8" s="4"/>
      <c r="H8" s="4"/>
      <c r="I8" s="4"/>
      <c r="K8" s="4" t="s">
        <v>69</v>
      </c>
      <c r="L8" s="4"/>
      <c r="M8" s="4"/>
      <c r="N8" s="4"/>
      <c r="O8" s="4"/>
      <c r="P8" s="2"/>
      <c r="Q8" s="32" t="s">
        <v>62</v>
      </c>
      <c r="R8" s="35">
        <f>A26-L20</f>
        <v>0.63800000000000001</v>
      </c>
      <c r="S8" s="28" t="s">
        <v>6</v>
      </c>
    </row>
    <row r="9" spans="1:19" ht="15.75" x14ac:dyDescent="0.3">
      <c r="A9" s="4"/>
      <c r="B9" s="41">
        <v>2</v>
      </c>
      <c r="C9" s="4" t="s">
        <v>6</v>
      </c>
      <c r="D9" s="4"/>
      <c r="E9" s="4"/>
      <c r="F9" s="4"/>
      <c r="G9" s="4"/>
      <c r="H9" s="4"/>
      <c r="I9" s="4"/>
      <c r="K9" s="4" t="s">
        <v>70</v>
      </c>
      <c r="L9" s="4"/>
      <c r="M9" s="4"/>
      <c r="N9" s="4"/>
      <c r="O9" s="4"/>
      <c r="P9" s="2"/>
      <c r="Q9" s="32" t="s">
        <v>56</v>
      </c>
      <c r="R9" s="14">
        <f>L14</f>
        <v>5.0000000000000001E-3</v>
      </c>
      <c r="S9" s="28"/>
    </row>
    <row r="10" spans="1:19" ht="15.75" x14ac:dyDescent="0.3">
      <c r="A10" s="4" t="s">
        <v>7</v>
      </c>
      <c r="B10" s="4"/>
      <c r="C10" s="4"/>
      <c r="D10" s="4"/>
      <c r="E10" s="4"/>
      <c r="F10" s="4"/>
      <c r="G10" s="4"/>
      <c r="H10" s="4"/>
      <c r="I10" s="4"/>
      <c r="K10" s="5" t="s">
        <v>59</v>
      </c>
      <c r="L10" s="6">
        <v>0.2</v>
      </c>
      <c r="M10" s="4"/>
      <c r="N10" s="4"/>
      <c r="O10" s="4"/>
      <c r="P10" s="2"/>
      <c r="Q10" s="32" t="s">
        <v>63</v>
      </c>
      <c r="R10" s="50">
        <f>(B19/(PI()*L7^2/4))^2*L16^2/(L7/4)^(4/3)</f>
        <v>3.60762283781129E-3</v>
      </c>
      <c r="S10" s="28"/>
    </row>
    <row r="11" spans="1:19" ht="15.75" x14ac:dyDescent="0.3">
      <c r="A11" s="5" t="s">
        <v>28</v>
      </c>
      <c r="B11" s="6">
        <v>2.3E-2</v>
      </c>
      <c r="C11" s="4"/>
      <c r="D11" s="4"/>
      <c r="E11" s="4"/>
      <c r="F11" s="4"/>
      <c r="G11" s="4"/>
      <c r="H11" s="4"/>
      <c r="I11" s="4"/>
      <c r="K11" s="4" t="s">
        <v>71</v>
      </c>
      <c r="L11" s="4"/>
      <c r="M11" s="4"/>
      <c r="N11" s="4"/>
      <c r="O11" s="4"/>
      <c r="P11" s="2"/>
      <c r="Q11" s="32" t="s">
        <v>64</v>
      </c>
      <c r="R11" s="35">
        <f>A34</f>
        <v>0.99</v>
      </c>
      <c r="S11" s="28" t="s">
        <v>6</v>
      </c>
    </row>
    <row r="12" spans="1:19" ht="15.75" x14ac:dyDescent="0.3">
      <c r="A12" s="4" t="s">
        <v>8</v>
      </c>
      <c r="B12" s="4"/>
      <c r="C12" s="4"/>
      <c r="D12" s="4"/>
      <c r="E12" s="4"/>
      <c r="F12" s="4"/>
      <c r="G12" s="4"/>
      <c r="H12" s="4"/>
      <c r="I12" s="4"/>
      <c r="K12" s="5" t="s">
        <v>54</v>
      </c>
      <c r="L12" s="45">
        <f>(1/(1+L10))^(1/2)</f>
        <v>0.9128709291752769</v>
      </c>
      <c r="M12" s="4"/>
      <c r="N12" s="4"/>
      <c r="O12" s="4"/>
      <c r="P12" s="2"/>
      <c r="Q12" s="33" t="s">
        <v>65</v>
      </c>
      <c r="R12" s="46">
        <f>A42</f>
        <v>0.98399999999999999</v>
      </c>
      <c r="S12" s="29" t="s">
        <v>6</v>
      </c>
    </row>
    <row r="13" spans="1:19" x14ac:dyDescent="0.2">
      <c r="A13" s="4"/>
      <c r="B13" s="6">
        <v>1.6</v>
      </c>
      <c r="C13" s="30" t="s">
        <v>6</v>
      </c>
      <c r="D13" s="4"/>
      <c r="E13" s="4"/>
      <c r="F13" s="4"/>
      <c r="G13" s="4"/>
      <c r="H13" s="4"/>
      <c r="I13" s="4"/>
      <c r="K13" s="4" t="s">
        <v>72</v>
      </c>
      <c r="L13" s="4"/>
      <c r="M13" s="4"/>
      <c r="N13" s="4"/>
      <c r="O13" s="4"/>
      <c r="P13" s="2"/>
    </row>
    <row r="14" spans="1:19" ht="15.75" x14ac:dyDescent="0.3">
      <c r="A14" s="4" t="s">
        <v>9</v>
      </c>
      <c r="B14" s="4"/>
      <c r="C14" s="4"/>
      <c r="D14" s="4"/>
      <c r="E14" s="4"/>
      <c r="F14" s="4"/>
      <c r="G14" s="4"/>
      <c r="H14" s="4"/>
      <c r="I14" s="4"/>
      <c r="K14" s="5" t="s">
        <v>56</v>
      </c>
      <c r="L14" s="6">
        <v>5.0000000000000001E-3</v>
      </c>
      <c r="M14" s="4"/>
      <c r="N14" s="4"/>
      <c r="O14" s="4"/>
      <c r="P14" s="2"/>
    </row>
    <row r="15" spans="1:19" ht="15.75" x14ac:dyDescent="0.3">
      <c r="A15" s="5" t="s">
        <v>29</v>
      </c>
      <c r="B15" s="6">
        <v>4.0000000000000001E-3</v>
      </c>
      <c r="C15" s="4"/>
      <c r="D15" s="4"/>
      <c r="E15" s="4"/>
      <c r="F15" s="4"/>
      <c r="G15" s="4"/>
      <c r="H15" s="4"/>
      <c r="I15" s="4"/>
      <c r="K15" s="4" t="s">
        <v>73</v>
      </c>
      <c r="L15" s="4"/>
      <c r="M15" s="4"/>
      <c r="N15" s="4"/>
      <c r="O15" s="4"/>
      <c r="P15" s="2"/>
    </row>
    <row r="16" spans="1:19" ht="15.75" x14ac:dyDescent="0.3">
      <c r="A16" s="61" t="s">
        <v>102</v>
      </c>
      <c r="B16" s="4"/>
      <c r="C16" s="4"/>
      <c r="D16" s="4"/>
      <c r="E16" s="4"/>
      <c r="F16" s="4"/>
      <c r="G16" s="4"/>
      <c r="H16" s="4"/>
      <c r="I16" s="4"/>
      <c r="K16" s="5" t="s">
        <v>57</v>
      </c>
      <c r="L16" s="6">
        <v>1.4E-2</v>
      </c>
      <c r="M16" s="4"/>
      <c r="N16" s="4"/>
      <c r="O16" s="4"/>
      <c r="P16" s="2"/>
    </row>
    <row r="17" spans="1:22" x14ac:dyDescent="0.2">
      <c r="A17" s="5" t="s">
        <v>30</v>
      </c>
      <c r="B17" s="6">
        <v>2</v>
      </c>
      <c r="C17" s="4"/>
      <c r="D17" s="4"/>
      <c r="E17" s="4"/>
      <c r="F17" s="4"/>
      <c r="G17" s="4"/>
      <c r="H17" s="4"/>
      <c r="I17" s="4"/>
      <c r="K17" s="4" t="s">
        <v>74</v>
      </c>
      <c r="L17" s="4"/>
      <c r="M17" s="4"/>
      <c r="N17" s="4"/>
      <c r="O17" s="4"/>
      <c r="P17" s="2"/>
    </row>
    <row r="18" spans="1:22" ht="15.75" x14ac:dyDescent="0.3">
      <c r="A18" s="4" t="s">
        <v>10</v>
      </c>
      <c r="B18" s="4"/>
      <c r="C18" s="4"/>
      <c r="D18" s="4"/>
      <c r="E18" s="4"/>
      <c r="F18" s="4"/>
      <c r="G18" s="4"/>
      <c r="H18" s="4"/>
      <c r="I18" s="4"/>
      <c r="K18" s="5" t="s">
        <v>58</v>
      </c>
      <c r="L18" s="41">
        <v>10</v>
      </c>
      <c r="M18" s="4" t="s">
        <v>6</v>
      </c>
      <c r="N18" s="4"/>
      <c r="O18" s="4"/>
    </row>
    <row r="19" spans="1:22" ht="15.75" x14ac:dyDescent="0.3">
      <c r="A19" s="5" t="s">
        <v>31</v>
      </c>
      <c r="B19" s="6">
        <v>3.28</v>
      </c>
      <c r="C19" s="4" t="s">
        <v>37</v>
      </c>
      <c r="D19" s="4"/>
      <c r="E19" s="4"/>
      <c r="F19" s="4"/>
      <c r="G19" s="4"/>
      <c r="H19" s="4"/>
      <c r="I19" s="4"/>
      <c r="K19" s="4" t="s">
        <v>92</v>
      </c>
      <c r="L19" s="4"/>
      <c r="M19" s="4"/>
      <c r="N19" s="4"/>
      <c r="O19" s="4"/>
    </row>
    <row r="20" spans="1:22" x14ac:dyDescent="0.2">
      <c r="A20" s="4" t="s">
        <v>13</v>
      </c>
      <c r="B20" s="4"/>
      <c r="C20" s="4"/>
      <c r="D20" s="4"/>
      <c r="E20" s="4"/>
      <c r="F20" s="4"/>
      <c r="G20" s="4"/>
      <c r="H20" s="4"/>
      <c r="I20" s="4"/>
      <c r="K20" s="5" t="s">
        <v>87</v>
      </c>
      <c r="L20" s="41">
        <v>0</v>
      </c>
      <c r="M20" s="4" t="s">
        <v>6</v>
      </c>
      <c r="N20" s="4"/>
      <c r="O20" s="4"/>
    </row>
    <row r="21" spans="1:22" ht="14.25" x14ac:dyDescent="0.2">
      <c r="A21" s="5" t="s">
        <v>23</v>
      </c>
      <c r="B21" s="6">
        <v>1.1000000000000001</v>
      </c>
      <c r="C21" s="4"/>
      <c r="D21" s="4"/>
      <c r="E21" s="4"/>
      <c r="F21" s="4"/>
      <c r="G21" s="4"/>
      <c r="H21" s="4"/>
      <c r="I21" s="4"/>
      <c r="P21" s="49" t="s">
        <v>66</v>
      </c>
    </row>
    <row r="22" spans="1:22" x14ac:dyDescent="0.2">
      <c r="D22" s="2"/>
      <c r="E22" s="2"/>
      <c r="F22" s="2"/>
      <c r="G22" s="2"/>
      <c r="H22" s="2"/>
      <c r="I22" s="2"/>
      <c r="K22" s="7"/>
      <c r="L22" s="8"/>
      <c r="M22" s="8"/>
      <c r="N22" s="8"/>
      <c r="O22" s="8"/>
      <c r="P22" s="8"/>
      <c r="Q22" s="8"/>
      <c r="R22" s="8"/>
      <c r="S22" s="8"/>
      <c r="T22" s="8"/>
      <c r="U22" s="8"/>
      <c r="V22" s="9"/>
    </row>
    <row r="23" spans="1:22" x14ac:dyDescent="0.2">
      <c r="A23" s="22" t="s">
        <v>11</v>
      </c>
      <c r="K23" s="10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2"/>
    </row>
    <row r="24" spans="1:22" x14ac:dyDescent="0.2">
      <c r="A24" s="1" t="s">
        <v>12</v>
      </c>
      <c r="K24" s="10"/>
      <c r="L24" s="11"/>
      <c r="M24" s="11"/>
      <c r="N24" s="13" t="str">
        <f>IF(((R5-R6)/R7)&lt;=1.2,"Tak","")</f>
        <v>Tak</v>
      </c>
      <c r="O24" s="11"/>
      <c r="P24" s="11"/>
      <c r="Q24" s="11"/>
      <c r="R24" s="11" t="str">
        <f>IF(AND(N24="Tak",R8&lt;R12),"Tak","")</f>
        <v>Tak</v>
      </c>
      <c r="S24" s="11"/>
      <c r="T24" s="11" t="str">
        <f>IF(AND(R24="Tak",R12&gt;R11),"Tak","")</f>
        <v/>
      </c>
      <c r="U24" s="11"/>
      <c r="V24" s="12"/>
    </row>
    <row r="25" spans="1:22" ht="15.75" x14ac:dyDescent="0.3">
      <c r="A25" s="24" t="s">
        <v>32</v>
      </c>
      <c r="B25" s="24" t="s">
        <v>40</v>
      </c>
      <c r="C25" s="24" t="s">
        <v>33</v>
      </c>
      <c r="D25" s="24" t="s">
        <v>34</v>
      </c>
      <c r="E25" s="24" t="s">
        <v>35</v>
      </c>
      <c r="F25" s="24" t="s">
        <v>36</v>
      </c>
      <c r="I25" s="2"/>
      <c r="K25" s="10"/>
      <c r="L25" s="11"/>
      <c r="M25" s="11"/>
      <c r="N25" s="11"/>
      <c r="O25" s="11"/>
      <c r="P25" s="11"/>
      <c r="Q25" s="11"/>
      <c r="R25" s="11"/>
      <c r="S25" s="11"/>
      <c r="T25" s="11" t="s">
        <v>16</v>
      </c>
      <c r="U25" s="14" t="str">
        <f>IF(T24="Tak","Typ 1","")</f>
        <v/>
      </c>
      <c r="V25" s="12"/>
    </row>
    <row r="26" spans="1:22" x14ac:dyDescent="0.2">
      <c r="A26" s="23">
        <v>0.63800000000000001</v>
      </c>
      <c r="B26" s="23">
        <f>(B9+B17*A26)*A26</f>
        <v>2.0900879999999997</v>
      </c>
      <c r="C26" s="23">
        <f>B9+2*B17*A26</f>
        <v>4.5519999999999996</v>
      </c>
      <c r="D26" s="23">
        <f>B9+2*A26*(1+B17^2)^0.5</f>
        <v>4.8532227392897322</v>
      </c>
      <c r="E26" s="23">
        <f>B26/D26</f>
        <v>0.43065981354605692</v>
      </c>
      <c r="F26" s="23">
        <f>1/B11*E26^(2/3)*B15^(1/2)</f>
        <v>1.568164885998613</v>
      </c>
      <c r="K26" s="10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2"/>
    </row>
    <row r="27" spans="1:22" x14ac:dyDescent="0.2">
      <c r="A27" s="1" t="s">
        <v>14</v>
      </c>
      <c r="K27" s="10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2"/>
    </row>
    <row r="28" spans="1:22" ht="15.75" x14ac:dyDescent="0.3">
      <c r="A28" s="36" t="s">
        <v>31</v>
      </c>
      <c r="B28" s="34">
        <f>B19</f>
        <v>3.28</v>
      </c>
      <c r="C28" s="26" t="s">
        <v>37</v>
      </c>
      <c r="K28" s="10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2"/>
    </row>
    <row r="29" spans="1:22" ht="15.75" x14ac:dyDescent="0.3">
      <c r="A29" s="37" t="s">
        <v>50</v>
      </c>
      <c r="B29" s="35">
        <f>F26*B26</f>
        <v>3.2776026102470688</v>
      </c>
      <c r="C29" s="28" t="s">
        <v>37</v>
      </c>
      <c r="K29" s="10"/>
      <c r="L29" s="11"/>
      <c r="M29" s="15" t="str">
        <f>IF(((R5-R6)/R7)&gt;1.2,"Nie","")</f>
        <v/>
      </c>
      <c r="N29" s="11"/>
      <c r="O29" s="11"/>
      <c r="P29" s="11"/>
      <c r="Q29" s="11" t="str">
        <f>IF(AND(N24="Tak",R8&gt;R12),"Nie","")</f>
        <v/>
      </c>
      <c r="R29" s="11"/>
      <c r="S29" s="14" t="str">
        <f>IF(AND(R24="Tak",R12&lt;R11),"Nie","")</f>
        <v>Nie</v>
      </c>
      <c r="T29" s="11"/>
      <c r="U29" s="11"/>
      <c r="V29" s="12"/>
    </row>
    <row r="30" spans="1:22" x14ac:dyDescent="0.2">
      <c r="A30" s="33" t="s">
        <v>51</v>
      </c>
      <c r="B30" s="39">
        <f>ABS((B28-B29)/B28*100)</f>
        <v>7.3091151003994603E-2</v>
      </c>
      <c r="C30" s="38" t="s">
        <v>25</v>
      </c>
      <c r="K30" s="10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2"/>
    </row>
    <row r="31" spans="1:22" x14ac:dyDescent="0.2">
      <c r="K31" s="10"/>
      <c r="L31" s="11"/>
      <c r="M31" s="11"/>
      <c r="N31" s="11" t="str">
        <f>IF(AND(M29="Nie",R8&gt;R7),"Tak","")</f>
        <v/>
      </c>
      <c r="O31" s="11"/>
      <c r="P31" s="11"/>
      <c r="Q31" s="11"/>
      <c r="R31" s="11"/>
      <c r="S31" s="11"/>
      <c r="T31" s="11"/>
      <c r="U31" s="11"/>
      <c r="V31" s="12"/>
    </row>
    <row r="32" spans="1:22" x14ac:dyDescent="0.2">
      <c r="A32" s="22" t="s">
        <v>15</v>
      </c>
      <c r="K32" s="10"/>
      <c r="L32" s="11"/>
      <c r="M32" s="11"/>
      <c r="N32" s="11"/>
      <c r="O32" s="14" t="str">
        <f>IF(N31="Tak","Typ 4","")</f>
        <v/>
      </c>
      <c r="P32" s="11"/>
      <c r="Q32" s="11"/>
      <c r="R32" s="11"/>
      <c r="S32" s="14" t="str">
        <f>IF(S29="Nie","Typ 2","")</f>
        <v>Typ 2</v>
      </c>
      <c r="T32" s="11"/>
      <c r="U32" s="11"/>
      <c r="V32" s="12"/>
    </row>
    <row r="33" spans="1:22" ht="15.75" x14ac:dyDescent="0.3">
      <c r="A33" s="24" t="s">
        <v>38</v>
      </c>
      <c r="B33" s="40" t="s">
        <v>39</v>
      </c>
      <c r="C33" s="24" t="s">
        <v>41</v>
      </c>
      <c r="D33" s="24" t="s">
        <v>42</v>
      </c>
      <c r="E33" s="24" t="s">
        <v>43</v>
      </c>
      <c r="K33" s="10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2"/>
    </row>
    <row r="34" spans="1:22" x14ac:dyDescent="0.2">
      <c r="A34" s="23">
        <v>0.99</v>
      </c>
      <c r="B34" s="23">
        <f>(2*ASIN((A34-L7/2)/(L7/2))+PI())/2*(L7/2)^2+L7/2*COS(ASIN((A34-L7/2)/(L7/2)))*(A34-L7/2)</f>
        <v>1.1637573685808873</v>
      </c>
      <c r="C34" s="23">
        <f>(2*ASIN((A34-L7/2)/(L7/2))+PI())*L7/2</f>
        <v>2.7971358614885951</v>
      </c>
      <c r="D34" s="23">
        <f>B34/C34</f>
        <v>0.41605321522049793</v>
      </c>
      <c r="E34" s="23">
        <f>1/L16*D34^(2/3)*L14^(1/2)</f>
        <v>2.8148562529794781</v>
      </c>
      <c r="K34" s="10"/>
      <c r="L34" s="11"/>
      <c r="M34" s="11"/>
      <c r="N34" s="11"/>
      <c r="O34" s="11"/>
      <c r="P34" s="11"/>
      <c r="Q34" s="11"/>
      <c r="R34" s="11" t="str">
        <f>IF(AND(Q29="Nie",R11&gt;R12),"Tak","")</f>
        <v/>
      </c>
      <c r="S34" s="11"/>
      <c r="T34" s="11"/>
      <c r="U34" s="11"/>
      <c r="V34" s="12"/>
    </row>
    <row r="35" spans="1:22" x14ac:dyDescent="0.2">
      <c r="A35" s="1" t="s">
        <v>14</v>
      </c>
      <c r="K35" s="10"/>
      <c r="L35" s="11"/>
      <c r="M35" s="15" t="str">
        <f>IF(AND(M29="Nie",R8&lt;=R7),"Nie","")</f>
        <v/>
      </c>
      <c r="N35" s="11"/>
      <c r="O35" s="11"/>
      <c r="P35" s="11"/>
      <c r="Q35" s="11"/>
      <c r="R35" s="11"/>
      <c r="S35" s="14" t="str">
        <f>IF(R34="Tak","Typ 3","")</f>
        <v/>
      </c>
      <c r="T35" s="11"/>
      <c r="U35" s="11"/>
      <c r="V35" s="12"/>
    </row>
    <row r="36" spans="1:22" ht="15.75" x14ac:dyDescent="0.3">
      <c r="A36" s="36" t="s">
        <v>31</v>
      </c>
      <c r="B36" s="34">
        <f>B19</f>
        <v>3.28</v>
      </c>
      <c r="C36" s="26" t="s">
        <v>37</v>
      </c>
      <c r="K36" s="10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2"/>
    </row>
    <row r="37" spans="1:22" ht="15.75" x14ac:dyDescent="0.3">
      <c r="A37" s="37" t="s">
        <v>50</v>
      </c>
      <c r="B37" s="35">
        <f>E34*B34</f>
        <v>3.275809705900854</v>
      </c>
      <c r="C37" s="28" t="s">
        <v>37</v>
      </c>
      <c r="K37" s="10"/>
      <c r="L37" s="11"/>
      <c r="M37" s="11"/>
      <c r="N37" s="11" t="str">
        <f>IF(AND(M35="Nie",R10&gt;R9),"Tak","")</f>
        <v/>
      </c>
      <c r="O37" s="11"/>
      <c r="P37" s="11"/>
      <c r="Q37" s="11" t="str">
        <f>IF(AND(Q29="Nie",R11&lt;R12),"Nie","")</f>
        <v/>
      </c>
      <c r="R37" s="11"/>
      <c r="S37" s="11"/>
      <c r="T37" s="11"/>
      <c r="U37" s="11"/>
      <c r="V37" s="12"/>
    </row>
    <row r="38" spans="1:22" x14ac:dyDescent="0.2">
      <c r="A38" s="33" t="s">
        <v>51</v>
      </c>
      <c r="B38" s="39">
        <f>ABS((B36-B37)/B36*100)</f>
        <v>0.12775286887639761</v>
      </c>
      <c r="C38" s="38" t="s">
        <v>25</v>
      </c>
      <c r="K38" s="10"/>
      <c r="L38" s="11"/>
      <c r="M38" s="11"/>
      <c r="N38" s="11"/>
      <c r="O38" s="14" t="str">
        <f>IF(N37="Tak","Typ 5","")</f>
        <v/>
      </c>
      <c r="P38" s="11"/>
      <c r="Q38" s="11"/>
      <c r="R38" s="11"/>
      <c r="S38" s="11"/>
      <c r="T38" s="11"/>
      <c r="U38" s="11"/>
      <c r="V38" s="12"/>
    </row>
    <row r="39" spans="1:22" x14ac:dyDescent="0.2">
      <c r="K39" s="10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2"/>
    </row>
    <row r="40" spans="1:22" x14ac:dyDescent="0.2">
      <c r="A40" s="22" t="s">
        <v>19</v>
      </c>
      <c r="K40" s="10"/>
      <c r="L40" s="11"/>
      <c r="M40" s="11"/>
      <c r="N40" s="11"/>
      <c r="O40" s="11"/>
      <c r="P40" s="14" t="str">
        <f>IF(Q37="Nie","Błąd","")</f>
        <v/>
      </c>
      <c r="Q40" s="11"/>
      <c r="R40" s="11"/>
      <c r="S40" s="11"/>
      <c r="T40" s="11"/>
      <c r="U40" s="11"/>
      <c r="V40" s="12"/>
    </row>
    <row r="41" spans="1:22" ht="15.75" x14ac:dyDescent="0.3">
      <c r="A41" s="24" t="s">
        <v>45</v>
      </c>
      <c r="B41" s="24" t="s">
        <v>46</v>
      </c>
      <c r="C41" s="40" t="s">
        <v>47</v>
      </c>
      <c r="D41" s="14"/>
      <c r="K41" s="10"/>
      <c r="L41" s="11"/>
      <c r="M41" s="11" t="str">
        <f>IF(AND(M35="Nie",R10&lt;=R9),"Nie","")</f>
        <v/>
      </c>
      <c r="N41" s="11"/>
      <c r="O41" s="11"/>
      <c r="P41" s="11"/>
      <c r="Q41" s="11"/>
      <c r="R41" s="11"/>
      <c r="S41" s="11"/>
      <c r="T41" s="11"/>
      <c r="U41" s="11"/>
      <c r="V41" s="12"/>
    </row>
    <row r="42" spans="1:22" x14ac:dyDescent="0.2">
      <c r="A42" s="23">
        <v>0.98399999999999999</v>
      </c>
      <c r="B42" s="23">
        <f>(2*ASIN((A42-L7/2)/(L7/2))+PI())/2*(L7/2)^2+L7/2*COS(ASIN((A42-L7/2)/(L7/2)))*(A42-L7/2)</f>
        <v>1.1560958840834477</v>
      </c>
      <c r="C42" s="23">
        <f>L7*COS(ASIN((A42-L7/2)/(L7/2)))</f>
        <v>1.279599937480461</v>
      </c>
      <c r="D42" s="25"/>
      <c r="K42" s="10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2"/>
    </row>
    <row r="43" spans="1:22" x14ac:dyDescent="0.2">
      <c r="A43" s="1" t="s">
        <v>26</v>
      </c>
      <c r="K43" s="10"/>
      <c r="L43" s="14" t="str">
        <f>IF(M41="Nie","Typ 6","")</f>
        <v/>
      </c>
      <c r="M43" s="11"/>
      <c r="N43" s="11"/>
      <c r="O43" s="11"/>
      <c r="P43" s="11"/>
      <c r="Q43" s="11"/>
      <c r="R43" s="11"/>
      <c r="S43" s="11"/>
      <c r="T43" s="11"/>
      <c r="U43" s="11"/>
      <c r="V43" s="12"/>
    </row>
    <row r="44" spans="1:22" ht="14.25" x14ac:dyDescent="0.2">
      <c r="A44" s="31" t="s">
        <v>53</v>
      </c>
      <c r="B44" s="47">
        <f>B21*B19^2/9.81</f>
        <v>1.2063445463812434</v>
      </c>
      <c r="C44" s="26"/>
      <c r="K44" s="16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8"/>
    </row>
    <row r="45" spans="1:22" ht="15.75" x14ac:dyDescent="0.3">
      <c r="A45" s="27" t="s">
        <v>52</v>
      </c>
      <c r="B45" s="50">
        <f>B42^3/C42</f>
        <v>1.2075562077510975</v>
      </c>
      <c r="C45" s="28"/>
    </row>
    <row r="46" spans="1:22" x14ac:dyDescent="0.2">
      <c r="A46" s="33" t="s">
        <v>51</v>
      </c>
      <c r="B46" s="39">
        <f>ABS((B44-B45)/B44*100)</f>
        <v>0.1004407383851299</v>
      </c>
      <c r="C46" s="29" t="s">
        <v>25</v>
      </c>
    </row>
    <row r="48" spans="1:22" x14ac:dyDescent="0.2">
      <c r="A48" s="22" t="s">
        <v>27</v>
      </c>
    </row>
    <row r="49" spans="1:15" ht="15.75" x14ac:dyDescent="0.3">
      <c r="A49" s="42" t="s">
        <v>48</v>
      </c>
      <c r="B49" s="43">
        <v>1.47</v>
      </c>
      <c r="C49" s="44" t="s">
        <v>6</v>
      </c>
      <c r="E49"/>
    </row>
    <row r="50" spans="1:15" ht="15.75" x14ac:dyDescent="0.3">
      <c r="A50" s="42" t="s">
        <v>49</v>
      </c>
      <c r="B50" s="43">
        <f>B19/((B9+B17*B49)*A26)</f>
        <v>1.0407015851661949</v>
      </c>
      <c r="C50" s="1" t="s">
        <v>76</v>
      </c>
    </row>
    <row r="51" spans="1:15" ht="15.75" x14ac:dyDescent="0.3">
      <c r="A51" s="42" t="s">
        <v>78</v>
      </c>
      <c r="B51" s="1">
        <f>L16^2*L18*E34^2/D34^(4/3)</f>
        <v>5.0000000000000017E-2</v>
      </c>
      <c r="C51" s="1" t="s">
        <v>6</v>
      </c>
    </row>
    <row r="52" spans="1:15" x14ac:dyDescent="0.2">
      <c r="A52" s="1" t="s">
        <v>14</v>
      </c>
    </row>
    <row r="53" spans="1:15" ht="15.75" x14ac:dyDescent="0.3">
      <c r="A53" s="36" t="s">
        <v>31</v>
      </c>
      <c r="B53" s="34">
        <f>B19</f>
        <v>3.28</v>
      </c>
      <c r="C53" s="26" t="s">
        <v>37</v>
      </c>
      <c r="O53" s="22" t="s">
        <v>77</v>
      </c>
    </row>
    <row r="54" spans="1:15" ht="15.75" x14ac:dyDescent="0.3">
      <c r="A54" s="37" t="s">
        <v>50</v>
      </c>
      <c r="B54" s="35">
        <f>L12*B42*(19.62*(B49+B50^2/19.62-A42-B51))^(1/2)</f>
        <v>3.2762928872581543</v>
      </c>
      <c r="C54" s="28" t="s">
        <v>37</v>
      </c>
    </row>
    <row r="55" spans="1:15" x14ac:dyDescent="0.2">
      <c r="A55" s="33" t="s">
        <v>51</v>
      </c>
      <c r="B55" s="39">
        <f>ABS((B53-B54)/B53*100)</f>
        <v>0.11302172993431531</v>
      </c>
      <c r="C55" s="38" t="s">
        <v>25</v>
      </c>
      <c r="J55" s="22"/>
    </row>
  </sheetData>
  <conditionalFormatting sqref="M29">
    <cfRule type="cellIs" dxfId="94" priority="19" operator="equal">
      <formula>"Nie"</formula>
    </cfRule>
  </conditionalFormatting>
  <conditionalFormatting sqref="N31">
    <cfRule type="cellIs" dxfId="93" priority="18" operator="equal">
      <formula>"Tak"</formula>
    </cfRule>
  </conditionalFormatting>
  <conditionalFormatting sqref="O32">
    <cfRule type="cellIs" dxfId="92" priority="17" operator="equal">
      <formula>"Typ 4"</formula>
    </cfRule>
  </conditionalFormatting>
  <conditionalFormatting sqref="M35">
    <cfRule type="cellIs" dxfId="91" priority="16" operator="equal">
      <formula>"Nie"</formula>
    </cfRule>
  </conditionalFormatting>
  <conditionalFormatting sqref="N37">
    <cfRule type="cellIs" dxfId="90" priority="15" operator="equal">
      <formula>"Tak"</formula>
    </cfRule>
  </conditionalFormatting>
  <conditionalFormatting sqref="O38">
    <cfRule type="cellIs" dxfId="89" priority="14" operator="equal">
      <formula>"Typ 5"</formula>
    </cfRule>
  </conditionalFormatting>
  <conditionalFormatting sqref="L43">
    <cfRule type="cellIs" dxfId="88" priority="13" operator="equal">
      <formula>"Typ 6"</formula>
    </cfRule>
  </conditionalFormatting>
  <conditionalFormatting sqref="M41">
    <cfRule type="cellIs" dxfId="87" priority="12" operator="equal">
      <formula>"Nie"</formula>
    </cfRule>
  </conditionalFormatting>
  <conditionalFormatting sqref="N24">
    <cfRule type="cellIs" dxfId="86" priority="11" operator="equal">
      <formula>"Tak"</formula>
    </cfRule>
  </conditionalFormatting>
  <conditionalFormatting sqref="R24">
    <cfRule type="cellIs" dxfId="85" priority="10" operator="equal">
      <formula>"Tak"</formula>
    </cfRule>
  </conditionalFormatting>
  <conditionalFormatting sqref="T24">
    <cfRule type="cellIs" dxfId="84" priority="9" operator="equal">
      <formula>"Tak"</formula>
    </cfRule>
  </conditionalFormatting>
  <conditionalFormatting sqref="U25">
    <cfRule type="cellIs" dxfId="83" priority="8" operator="equal">
      <formula>"Typ 1"</formula>
    </cfRule>
  </conditionalFormatting>
  <conditionalFormatting sqref="S29">
    <cfRule type="cellIs" dxfId="82" priority="7" operator="equal">
      <formula>"Nie"</formula>
    </cfRule>
  </conditionalFormatting>
  <conditionalFormatting sqref="Q29">
    <cfRule type="cellIs" dxfId="81" priority="6" operator="equal">
      <formula>"Nie"</formula>
    </cfRule>
  </conditionalFormatting>
  <conditionalFormatting sqref="R34">
    <cfRule type="cellIs" dxfId="80" priority="5" operator="equal">
      <formula>"Tak"</formula>
    </cfRule>
  </conditionalFormatting>
  <conditionalFormatting sqref="Q37">
    <cfRule type="cellIs" dxfId="79" priority="4" operator="equal">
      <formula>"Nie"</formula>
    </cfRule>
  </conditionalFormatting>
  <conditionalFormatting sqref="P40">
    <cfRule type="cellIs" dxfId="78" priority="3" operator="equal">
      <formula>"Błąd"</formula>
    </cfRule>
  </conditionalFormatting>
  <conditionalFormatting sqref="S32">
    <cfRule type="cellIs" dxfId="77" priority="2" operator="equal">
      <formula>"Typ 2"</formula>
    </cfRule>
  </conditionalFormatting>
  <conditionalFormatting sqref="S35">
    <cfRule type="cellIs" dxfId="76" priority="1" operator="equal">
      <formula>"Typ 3"</formula>
    </cfRule>
  </conditionalFormatting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6"/>
  <sheetViews>
    <sheetView showGridLines="0" workbookViewId="0"/>
  </sheetViews>
  <sheetFormatPr defaultRowHeight="12.75" x14ac:dyDescent="0.2"/>
  <cols>
    <col min="1" max="16384" width="9.140625" style="1"/>
  </cols>
  <sheetData>
    <row r="1" spans="1:19" s="19" customFormat="1" ht="23.25" x14ac:dyDescent="0.35">
      <c r="A1" s="21" t="s">
        <v>20</v>
      </c>
    </row>
    <row r="3" spans="1:19" ht="14.25" x14ac:dyDescent="0.2">
      <c r="A3" s="20" t="s">
        <v>1</v>
      </c>
      <c r="B3" s="4"/>
      <c r="C3" s="4"/>
      <c r="D3" s="4"/>
      <c r="E3" s="4"/>
      <c r="F3" s="4"/>
      <c r="G3" s="4"/>
      <c r="H3" s="4"/>
      <c r="I3" s="4"/>
      <c r="K3" s="20" t="s">
        <v>24</v>
      </c>
      <c r="L3" s="4"/>
      <c r="M3" s="4"/>
      <c r="N3" s="4"/>
      <c r="O3" s="4"/>
      <c r="Q3" s="49" t="s">
        <v>75</v>
      </c>
    </row>
    <row r="4" spans="1:19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K4" s="4"/>
      <c r="L4" s="4"/>
      <c r="M4" s="4"/>
      <c r="N4" s="4"/>
      <c r="O4" s="4"/>
      <c r="P4" s="2"/>
    </row>
    <row r="5" spans="1:19" ht="15.75" x14ac:dyDescent="0.3">
      <c r="A5" s="4"/>
      <c r="B5" s="6">
        <v>52.1</v>
      </c>
      <c r="C5" s="4" t="s">
        <v>3</v>
      </c>
      <c r="D5" s="4"/>
      <c r="E5" s="4"/>
      <c r="F5" s="4"/>
      <c r="G5" s="4"/>
      <c r="H5" s="4"/>
      <c r="I5" s="4"/>
      <c r="K5" s="4" t="s">
        <v>68</v>
      </c>
      <c r="L5" s="4"/>
      <c r="M5" s="4"/>
      <c r="N5" s="4"/>
      <c r="O5" s="4"/>
      <c r="P5" s="2"/>
      <c r="Q5" s="31" t="s">
        <v>48</v>
      </c>
      <c r="R5" s="48">
        <f>B49</f>
        <v>1.482</v>
      </c>
      <c r="S5" s="26" t="s">
        <v>6</v>
      </c>
    </row>
    <row r="6" spans="1:19" x14ac:dyDescent="0.2">
      <c r="A6" s="4" t="s">
        <v>4</v>
      </c>
      <c r="B6" s="4"/>
      <c r="C6" s="4"/>
      <c r="D6" s="4"/>
      <c r="E6" s="4"/>
      <c r="F6" s="4"/>
      <c r="G6" s="4"/>
      <c r="H6" s="4"/>
      <c r="I6" s="4"/>
      <c r="K6" s="4" t="s">
        <v>67</v>
      </c>
      <c r="L6" s="4"/>
      <c r="M6" s="4"/>
      <c r="N6" s="4"/>
      <c r="O6" s="4"/>
      <c r="P6" s="2"/>
      <c r="Q6" s="32" t="s">
        <v>60</v>
      </c>
      <c r="R6" s="14">
        <f>L14*L18</f>
        <v>0.02</v>
      </c>
      <c r="S6" s="28" t="s">
        <v>6</v>
      </c>
    </row>
    <row r="7" spans="1:19" ht="15.75" x14ac:dyDescent="0.3">
      <c r="A7" s="4"/>
      <c r="B7" s="41">
        <v>50</v>
      </c>
      <c r="C7" s="4" t="s">
        <v>3</v>
      </c>
      <c r="D7" s="4"/>
      <c r="E7" s="4"/>
      <c r="F7" s="4"/>
      <c r="G7" s="4"/>
      <c r="H7" s="4"/>
      <c r="I7" s="4"/>
      <c r="K7" s="5" t="s">
        <v>55</v>
      </c>
      <c r="L7" s="6">
        <v>1.8</v>
      </c>
      <c r="M7" s="4" t="s">
        <v>6</v>
      </c>
      <c r="N7" s="4"/>
      <c r="O7" s="4"/>
      <c r="P7" s="2"/>
      <c r="Q7" s="32" t="s">
        <v>61</v>
      </c>
      <c r="R7" s="35">
        <f>L7</f>
        <v>1.8</v>
      </c>
      <c r="S7" s="28" t="s">
        <v>6</v>
      </c>
    </row>
    <row r="8" spans="1:19" ht="15.75" x14ac:dyDescent="0.3">
      <c r="A8" s="4" t="s">
        <v>5</v>
      </c>
      <c r="B8" s="4"/>
      <c r="C8" s="4"/>
      <c r="D8" s="4"/>
      <c r="E8" s="4"/>
      <c r="F8" s="4"/>
      <c r="G8" s="4"/>
      <c r="H8" s="4"/>
      <c r="I8" s="4"/>
      <c r="K8" s="4" t="s">
        <v>79</v>
      </c>
      <c r="L8" s="4"/>
      <c r="M8" s="4"/>
      <c r="N8" s="4"/>
      <c r="O8" s="4"/>
      <c r="P8" s="2"/>
      <c r="Q8" s="32" t="s">
        <v>62</v>
      </c>
      <c r="R8" s="35">
        <f>A26-L20</f>
        <v>1.0649999999999999</v>
      </c>
      <c r="S8" s="28" t="s">
        <v>6</v>
      </c>
    </row>
    <row r="9" spans="1:19" ht="15.75" x14ac:dyDescent="0.3">
      <c r="A9" s="4"/>
      <c r="B9" s="41">
        <v>2</v>
      </c>
      <c r="C9" s="4" t="s">
        <v>6</v>
      </c>
      <c r="D9" s="4"/>
      <c r="E9" s="4"/>
      <c r="F9" s="4"/>
      <c r="G9" s="4"/>
      <c r="H9" s="4"/>
      <c r="I9" s="4"/>
      <c r="K9" s="4" t="s">
        <v>70</v>
      </c>
      <c r="L9" s="4"/>
      <c r="M9" s="4"/>
      <c r="N9" s="4"/>
      <c r="O9" s="4"/>
      <c r="P9" s="2"/>
      <c r="Q9" s="32" t="s">
        <v>56</v>
      </c>
      <c r="R9" s="14">
        <f>L14</f>
        <v>2E-3</v>
      </c>
      <c r="S9" s="28"/>
    </row>
    <row r="10" spans="1:19" ht="15.75" x14ac:dyDescent="0.3">
      <c r="A10" s="4" t="s">
        <v>7</v>
      </c>
      <c r="B10" s="4"/>
      <c r="C10" s="4"/>
      <c r="D10" s="4"/>
      <c r="E10" s="4"/>
      <c r="F10" s="4"/>
      <c r="G10" s="4"/>
      <c r="H10" s="4"/>
      <c r="I10" s="4"/>
      <c r="K10" s="5" t="s">
        <v>59</v>
      </c>
      <c r="L10" s="6">
        <v>0.33</v>
      </c>
      <c r="M10" s="4"/>
      <c r="N10" s="4"/>
      <c r="O10" s="4"/>
      <c r="P10" s="2"/>
      <c r="Q10" s="32" t="s">
        <v>63</v>
      </c>
      <c r="R10" s="50">
        <f>(B19/(PI()*L7^2/4))^2*L16^2/(L7/4)^(4/3)</f>
        <v>1.390387156287915E-3</v>
      </c>
      <c r="S10" s="28"/>
    </row>
    <row r="11" spans="1:19" ht="15.75" x14ac:dyDescent="0.3">
      <c r="A11" s="5" t="s">
        <v>28</v>
      </c>
      <c r="B11" s="6">
        <v>2.3E-2</v>
      </c>
      <c r="C11" s="4"/>
      <c r="D11" s="4"/>
      <c r="E11" s="4"/>
      <c r="F11" s="4"/>
      <c r="G11" s="4"/>
      <c r="H11" s="4"/>
      <c r="I11" s="4"/>
      <c r="K11" s="4" t="s">
        <v>71</v>
      </c>
      <c r="L11" s="4"/>
      <c r="M11" s="4"/>
      <c r="N11" s="4"/>
      <c r="O11" s="4"/>
      <c r="P11" s="2"/>
      <c r="Q11" s="32" t="s">
        <v>64</v>
      </c>
      <c r="R11" s="35">
        <f>A34</f>
        <v>1.2549999999999999</v>
      </c>
      <c r="S11" s="28" t="s">
        <v>6</v>
      </c>
    </row>
    <row r="12" spans="1:19" ht="15.75" x14ac:dyDescent="0.3">
      <c r="A12" s="4" t="s">
        <v>8</v>
      </c>
      <c r="B12" s="4"/>
      <c r="C12" s="4"/>
      <c r="D12" s="4"/>
      <c r="E12" s="4"/>
      <c r="F12" s="4"/>
      <c r="G12" s="4"/>
      <c r="H12" s="4"/>
      <c r="I12" s="4"/>
      <c r="K12" s="5" t="s">
        <v>54</v>
      </c>
      <c r="L12" s="45">
        <f>(1/(1+L10))^(1/2)</f>
        <v>0.86710996952412001</v>
      </c>
      <c r="M12" s="4"/>
      <c r="N12" s="4"/>
      <c r="O12" s="4"/>
      <c r="P12" s="2"/>
      <c r="Q12" s="33" t="s">
        <v>65</v>
      </c>
      <c r="R12" s="46">
        <f>A42</f>
        <v>1.01</v>
      </c>
      <c r="S12" s="29" t="s">
        <v>6</v>
      </c>
    </row>
    <row r="13" spans="1:19" x14ac:dyDescent="0.2">
      <c r="A13" s="4"/>
      <c r="B13" s="6">
        <v>1.6</v>
      </c>
      <c r="C13" s="30" t="s">
        <v>6</v>
      </c>
      <c r="D13" s="4"/>
      <c r="E13" s="4"/>
      <c r="F13" s="4"/>
      <c r="G13" s="4"/>
      <c r="H13" s="4"/>
      <c r="I13" s="4"/>
      <c r="K13" s="4" t="s">
        <v>72</v>
      </c>
      <c r="L13" s="4"/>
      <c r="M13" s="4"/>
      <c r="N13" s="4"/>
      <c r="O13" s="4"/>
      <c r="P13" s="2"/>
    </row>
    <row r="14" spans="1:19" ht="15.75" x14ac:dyDescent="0.3">
      <c r="A14" s="4" t="s">
        <v>9</v>
      </c>
      <c r="B14" s="4"/>
      <c r="C14" s="4"/>
      <c r="D14" s="4"/>
      <c r="E14" s="4"/>
      <c r="F14" s="4"/>
      <c r="G14" s="4"/>
      <c r="H14" s="4"/>
      <c r="I14" s="4"/>
      <c r="K14" s="5" t="s">
        <v>56</v>
      </c>
      <c r="L14" s="6">
        <v>2E-3</v>
      </c>
      <c r="M14" s="4"/>
      <c r="N14" s="4"/>
      <c r="O14" s="4"/>
      <c r="P14" s="2"/>
    </row>
    <row r="15" spans="1:19" ht="15.75" x14ac:dyDescent="0.3">
      <c r="A15" s="5" t="s">
        <v>29</v>
      </c>
      <c r="B15" s="6">
        <v>1E-3</v>
      </c>
      <c r="C15" s="4"/>
      <c r="D15" s="4"/>
      <c r="E15" s="4"/>
      <c r="F15" s="4"/>
      <c r="G15" s="4"/>
      <c r="H15" s="4"/>
      <c r="I15" s="4"/>
      <c r="K15" s="4" t="s">
        <v>73</v>
      </c>
      <c r="L15" s="4"/>
      <c r="M15" s="4"/>
      <c r="N15" s="4"/>
      <c r="O15" s="4"/>
      <c r="P15" s="2"/>
    </row>
    <row r="16" spans="1:19" ht="15.75" x14ac:dyDescent="0.3">
      <c r="A16" s="61" t="s">
        <v>102</v>
      </c>
      <c r="B16" s="4"/>
      <c r="C16" s="4"/>
      <c r="D16" s="4"/>
      <c r="E16" s="4"/>
      <c r="F16" s="4"/>
      <c r="G16" s="4"/>
      <c r="H16" s="4"/>
      <c r="I16" s="4"/>
      <c r="K16" s="5" t="s">
        <v>57</v>
      </c>
      <c r="L16" s="6">
        <v>1.4E-2</v>
      </c>
      <c r="M16" s="4"/>
      <c r="N16" s="4"/>
      <c r="O16" s="4"/>
      <c r="P16" s="2"/>
    </row>
    <row r="17" spans="1:22" x14ac:dyDescent="0.2">
      <c r="A17" s="5" t="s">
        <v>30</v>
      </c>
      <c r="B17" s="6">
        <v>1.5</v>
      </c>
      <c r="C17" s="4"/>
      <c r="D17" s="4"/>
      <c r="E17" s="4"/>
      <c r="F17" s="4"/>
      <c r="G17" s="4"/>
      <c r="H17" s="4"/>
      <c r="I17" s="4"/>
      <c r="K17" s="4" t="s">
        <v>74</v>
      </c>
      <c r="L17" s="4"/>
      <c r="M17" s="4"/>
      <c r="N17" s="4"/>
      <c r="O17" s="4"/>
      <c r="P17" s="2"/>
    </row>
    <row r="18" spans="1:22" ht="15.75" x14ac:dyDescent="0.3">
      <c r="A18" s="4" t="s">
        <v>10</v>
      </c>
      <c r="B18" s="4"/>
      <c r="C18" s="4"/>
      <c r="D18" s="4"/>
      <c r="E18" s="4"/>
      <c r="F18" s="4"/>
      <c r="G18" s="4"/>
      <c r="H18" s="4"/>
      <c r="I18" s="4"/>
      <c r="K18" s="5" t="s">
        <v>58</v>
      </c>
      <c r="L18" s="41">
        <v>10</v>
      </c>
      <c r="M18" s="4" t="s">
        <v>6</v>
      </c>
      <c r="N18" s="4"/>
      <c r="O18" s="4"/>
    </row>
    <row r="19" spans="1:22" ht="15.75" x14ac:dyDescent="0.3">
      <c r="A19" s="5" t="s">
        <v>31</v>
      </c>
      <c r="B19" s="6">
        <v>3.98</v>
      </c>
      <c r="C19" s="4" t="s">
        <v>37</v>
      </c>
      <c r="D19" s="4"/>
      <c r="E19" s="4"/>
      <c r="F19" s="4"/>
      <c r="G19" s="4"/>
      <c r="H19" s="4"/>
      <c r="I19" s="4"/>
      <c r="K19" s="4" t="s">
        <v>92</v>
      </c>
      <c r="L19" s="4"/>
      <c r="M19" s="4"/>
      <c r="N19" s="4"/>
      <c r="O19" s="4"/>
    </row>
    <row r="20" spans="1:22" x14ac:dyDescent="0.2">
      <c r="A20" s="4" t="s">
        <v>13</v>
      </c>
      <c r="B20" s="4"/>
      <c r="C20" s="4"/>
      <c r="D20" s="4"/>
      <c r="E20" s="4"/>
      <c r="F20" s="4"/>
      <c r="G20" s="4"/>
      <c r="H20" s="4"/>
      <c r="I20" s="4"/>
      <c r="K20" s="5" t="s">
        <v>87</v>
      </c>
      <c r="L20" s="41">
        <v>0</v>
      </c>
      <c r="M20" s="4" t="s">
        <v>6</v>
      </c>
      <c r="N20" s="4"/>
      <c r="O20" s="4"/>
    </row>
    <row r="21" spans="1:22" ht="14.25" x14ac:dyDescent="0.2">
      <c r="A21" s="5" t="s">
        <v>23</v>
      </c>
      <c r="B21" s="6">
        <v>1.1000000000000001</v>
      </c>
      <c r="C21" s="4"/>
      <c r="D21" s="4"/>
      <c r="E21" s="4"/>
      <c r="F21" s="4"/>
      <c r="G21" s="4"/>
      <c r="H21" s="4"/>
      <c r="I21" s="4"/>
      <c r="P21" s="49" t="s">
        <v>66</v>
      </c>
    </row>
    <row r="22" spans="1:22" x14ac:dyDescent="0.2">
      <c r="D22" s="2"/>
      <c r="E22" s="2"/>
      <c r="F22" s="2"/>
      <c r="G22" s="2"/>
      <c r="H22" s="2"/>
      <c r="I22" s="2"/>
      <c r="K22" s="7"/>
      <c r="L22" s="8"/>
      <c r="M22" s="8"/>
      <c r="N22" s="8"/>
      <c r="O22" s="8"/>
      <c r="P22" s="8"/>
      <c r="Q22" s="8"/>
      <c r="R22" s="8"/>
      <c r="S22" s="8"/>
      <c r="T22" s="8"/>
      <c r="U22" s="8"/>
      <c r="V22" s="9"/>
    </row>
    <row r="23" spans="1:22" x14ac:dyDescent="0.2">
      <c r="A23" s="22" t="s">
        <v>11</v>
      </c>
      <c r="K23" s="10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2"/>
    </row>
    <row r="24" spans="1:22" x14ac:dyDescent="0.2">
      <c r="A24" s="1" t="s">
        <v>12</v>
      </c>
      <c r="K24" s="10"/>
      <c r="L24" s="11"/>
      <c r="M24" s="11"/>
      <c r="N24" s="13" t="str">
        <f>IF(((R5-R6)/R7)&lt;=1.2,"Tak","")</f>
        <v>Tak</v>
      </c>
      <c r="O24" s="11"/>
      <c r="P24" s="11"/>
      <c r="Q24" s="11"/>
      <c r="R24" s="11" t="str">
        <f>IF(AND(N24="Tak",R8&lt;R12),"Tak","")</f>
        <v/>
      </c>
      <c r="S24" s="11"/>
      <c r="T24" s="11" t="str">
        <f>IF(AND(R24="Tak",R12&gt;R11),"Tak","")</f>
        <v/>
      </c>
      <c r="U24" s="11"/>
      <c r="V24" s="12"/>
    </row>
    <row r="25" spans="1:22" ht="15.75" x14ac:dyDescent="0.3">
      <c r="A25" s="24" t="s">
        <v>32</v>
      </c>
      <c r="B25" s="24" t="s">
        <v>40</v>
      </c>
      <c r="C25" s="24" t="s">
        <v>33</v>
      </c>
      <c r="D25" s="24" t="s">
        <v>34</v>
      </c>
      <c r="E25" s="24" t="s">
        <v>35</v>
      </c>
      <c r="F25" s="24" t="s">
        <v>36</v>
      </c>
      <c r="I25" s="2"/>
      <c r="K25" s="10"/>
      <c r="L25" s="11"/>
      <c r="M25" s="11"/>
      <c r="N25" s="11"/>
      <c r="O25" s="11"/>
      <c r="P25" s="11"/>
      <c r="Q25" s="11"/>
      <c r="R25" s="11"/>
      <c r="S25" s="11"/>
      <c r="T25" s="11" t="s">
        <v>16</v>
      </c>
      <c r="U25" s="14" t="str">
        <f>IF(T24="Tak","Typ 1","")</f>
        <v/>
      </c>
      <c r="V25" s="12"/>
    </row>
    <row r="26" spans="1:22" x14ac:dyDescent="0.2">
      <c r="A26" s="23">
        <v>1.0649999999999999</v>
      </c>
      <c r="B26" s="23">
        <f>(B9+B17*A26)*A26</f>
        <v>3.8313375000000001</v>
      </c>
      <c r="C26" s="23">
        <f>B9+2*B17*A26</f>
        <v>5.1950000000000003</v>
      </c>
      <c r="D26" s="23">
        <f>B9+2*A26*(1+B17^2)^0.5</f>
        <v>5.8399121083691483</v>
      </c>
      <c r="E26" s="23">
        <f>B26/D26</f>
        <v>0.65606081545462469</v>
      </c>
      <c r="F26" s="23">
        <f>1/B11*E26^(2/3)*B15^(1/2)</f>
        <v>1.0380897357802197</v>
      </c>
      <c r="K26" s="10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2"/>
    </row>
    <row r="27" spans="1:22" x14ac:dyDescent="0.2">
      <c r="A27" s="1" t="s">
        <v>14</v>
      </c>
      <c r="K27" s="10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2"/>
    </row>
    <row r="28" spans="1:22" ht="15.75" x14ac:dyDescent="0.3">
      <c r="A28" s="36" t="s">
        <v>31</v>
      </c>
      <c r="B28" s="34">
        <f>B19</f>
        <v>3.98</v>
      </c>
      <c r="C28" s="26" t="s">
        <v>37</v>
      </c>
      <c r="K28" s="10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2"/>
    </row>
    <row r="29" spans="1:22" ht="15.75" x14ac:dyDescent="0.3">
      <c r="A29" s="37" t="s">
        <v>50</v>
      </c>
      <c r="B29" s="35">
        <f>F26*B26</f>
        <v>3.9772721330598473</v>
      </c>
      <c r="C29" s="28" t="s">
        <v>37</v>
      </c>
      <c r="K29" s="10"/>
      <c r="L29" s="11"/>
      <c r="M29" s="15" t="str">
        <f>IF(((R5-R6)/R7)&gt;1.2,"Nie","")</f>
        <v/>
      </c>
      <c r="N29" s="11"/>
      <c r="O29" s="11"/>
      <c r="P29" s="11"/>
      <c r="Q29" s="11" t="str">
        <f>IF(AND(N24="Tak",R8&gt;R12),"Nie","")</f>
        <v>Nie</v>
      </c>
      <c r="R29" s="11"/>
      <c r="S29" s="14" t="str">
        <f>IF(AND(R24="Tak",R12&lt;R11),"Nie","")</f>
        <v/>
      </c>
      <c r="T29" s="11"/>
      <c r="U29" s="11"/>
      <c r="V29" s="12"/>
    </row>
    <row r="30" spans="1:22" x14ac:dyDescent="0.2">
      <c r="A30" s="33" t="s">
        <v>51</v>
      </c>
      <c r="B30" s="39">
        <f>ABS((B28-B29)/B28*100)</f>
        <v>6.8539370355595514E-2</v>
      </c>
      <c r="C30" s="38" t="s">
        <v>25</v>
      </c>
      <c r="K30" s="10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2"/>
    </row>
    <row r="31" spans="1:22" x14ac:dyDescent="0.2">
      <c r="K31" s="10"/>
      <c r="L31" s="11"/>
      <c r="M31" s="11"/>
      <c r="N31" s="11" t="str">
        <f>IF(AND(M29="Nie",R8&gt;R7),"Tak","")</f>
        <v/>
      </c>
      <c r="O31" s="11"/>
      <c r="P31" s="11"/>
      <c r="Q31" s="11"/>
      <c r="R31" s="11"/>
      <c r="S31" s="11"/>
      <c r="T31" s="11"/>
      <c r="U31" s="11"/>
      <c r="V31" s="12"/>
    </row>
    <row r="32" spans="1:22" x14ac:dyDescent="0.2">
      <c r="A32" s="22" t="s">
        <v>15</v>
      </c>
      <c r="K32" s="10"/>
      <c r="L32" s="11"/>
      <c r="M32" s="11"/>
      <c r="N32" s="11"/>
      <c r="O32" s="14" t="str">
        <f>IF(N31="Tak","Typ 4","")</f>
        <v/>
      </c>
      <c r="P32" s="11"/>
      <c r="Q32" s="11"/>
      <c r="R32" s="11"/>
      <c r="S32" s="14" t="str">
        <f>IF(S29="Nie","Typ 2","")</f>
        <v/>
      </c>
      <c r="T32" s="11"/>
      <c r="U32" s="11"/>
      <c r="V32" s="12"/>
    </row>
    <row r="33" spans="1:22" ht="15.75" x14ac:dyDescent="0.3">
      <c r="A33" s="24" t="s">
        <v>38</v>
      </c>
      <c r="B33" s="40" t="s">
        <v>39</v>
      </c>
      <c r="C33" s="24" t="s">
        <v>41</v>
      </c>
      <c r="D33" s="24" t="s">
        <v>42</v>
      </c>
      <c r="E33" s="24" t="s">
        <v>43</v>
      </c>
      <c r="K33" s="10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2"/>
    </row>
    <row r="34" spans="1:22" x14ac:dyDescent="0.2">
      <c r="A34" s="23">
        <v>1.2549999999999999</v>
      </c>
      <c r="B34" s="23">
        <f>(2*ASIN((A34-L7/2)/(L7/2))+PI())/2*(L7/2)^2+L7/2*COS(ASIN((A34-L7/2)/(L7/2)))*(A34-L7/2)</f>
        <v>1.8943650879225664</v>
      </c>
      <c r="C34" s="23">
        <f>(2*ASIN((A34-L7/2)/(L7/2))+PI())*L7/2</f>
        <v>3.5572671445633461</v>
      </c>
      <c r="D34" s="23">
        <f>B34/C34</f>
        <v>0.53253382749669742</v>
      </c>
      <c r="E34" s="23">
        <f>1/L16*D34^(2/3)*L14^(1/2)</f>
        <v>2.0987067641223636</v>
      </c>
      <c r="K34" s="10"/>
      <c r="L34" s="11"/>
      <c r="M34" s="11"/>
      <c r="N34" s="11"/>
      <c r="O34" s="11"/>
      <c r="P34" s="11"/>
      <c r="Q34" s="11"/>
      <c r="R34" s="11" t="str">
        <f>IF(AND(Q29="Nie",R11&gt;R12),"Tak","")</f>
        <v>Tak</v>
      </c>
      <c r="S34" s="11"/>
      <c r="T34" s="11"/>
      <c r="U34" s="11"/>
      <c r="V34" s="12"/>
    </row>
    <row r="35" spans="1:22" x14ac:dyDescent="0.2">
      <c r="A35" s="1" t="s">
        <v>14</v>
      </c>
      <c r="K35" s="10"/>
      <c r="L35" s="11"/>
      <c r="M35" s="15" t="str">
        <f>IF(AND(M29="Nie",R8&lt;=R7),"Nie","")</f>
        <v/>
      </c>
      <c r="N35" s="11"/>
      <c r="O35" s="11"/>
      <c r="P35" s="11"/>
      <c r="Q35" s="11"/>
      <c r="R35" s="11"/>
      <c r="S35" s="14" t="str">
        <f>IF(R34="Tak","Typ 3","")</f>
        <v>Typ 3</v>
      </c>
      <c r="T35" s="11"/>
      <c r="U35" s="11"/>
      <c r="V35" s="12"/>
    </row>
    <row r="36" spans="1:22" ht="15.75" x14ac:dyDescent="0.3">
      <c r="A36" s="36" t="s">
        <v>31</v>
      </c>
      <c r="B36" s="34">
        <f>B19</f>
        <v>3.98</v>
      </c>
      <c r="C36" s="26" t="s">
        <v>37</v>
      </c>
      <c r="K36" s="10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2"/>
    </row>
    <row r="37" spans="1:22" ht="15.75" x14ac:dyDescent="0.3">
      <c r="A37" s="37" t="s">
        <v>50</v>
      </c>
      <c r="B37" s="35">
        <f>E34*B34</f>
        <v>3.975716823740346</v>
      </c>
      <c r="C37" s="28" t="s">
        <v>37</v>
      </c>
      <c r="K37" s="10"/>
      <c r="L37" s="11"/>
      <c r="M37" s="11"/>
      <c r="N37" s="11" t="str">
        <f>IF(AND(M35="Nie",R10&gt;R9),"Tak","")</f>
        <v/>
      </c>
      <c r="O37" s="11"/>
      <c r="P37" s="11"/>
      <c r="Q37" s="11" t="str">
        <f>IF(AND(Q29="Nie",R11&lt;R12),"Nie","")</f>
        <v/>
      </c>
      <c r="R37" s="11"/>
      <c r="S37" s="11"/>
      <c r="T37" s="11"/>
      <c r="U37" s="11"/>
      <c r="V37" s="12"/>
    </row>
    <row r="38" spans="1:22" x14ac:dyDescent="0.2">
      <c r="A38" s="33" t="s">
        <v>51</v>
      </c>
      <c r="B38" s="39">
        <f>ABS((B36-B37)/B36*100)</f>
        <v>0.10761749396115629</v>
      </c>
      <c r="C38" s="38" t="s">
        <v>25</v>
      </c>
      <c r="K38" s="10"/>
      <c r="L38" s="11"/>
      <c r="M38" s="11"/>
      <c r="N38" s="11"/>
      <c r="O38" s="14" t="str">
        <f>IF(N37="Tak","Typ 5","")</f>
        <v/>
      </c>
      <c r="P38" s="11"/>
      <c r="Q38" s="11"/>
      <c r="R38" s="11"/>
      <c r="S38" s="11"/>
      <c r="T38" s="11"/>
      <c r="U38" s="11"/>
      <c r="V38" s="12"/>
    </row>
    <row r="39" spans="1:22" x14ac:dyDescent="0.2">
      <c r="K39" s="10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2"/>
    </row>
    <row r="40" spans="1:22" x14ac:dyDescent="0.2">
      <c r="A40" s="22" t="s">
        <v>19</v>
      </c>
      <c r="K40" s="10"/>
      <c r="L40" s="11"/>
      <c r="M40" s="11"/>
      <c r="N40" s="11"/>
      <c r="O40" s="11"/>
      <c r="P40" s="14" t="str">
        <f>IF(Q37="Nie","Błąd","")</f>
        <v/>
      </c>
      <c r="Q40" s="11"/>
      <c r="R40" s="11"/>
      <c r="S40" s="11"/>
      <c r="T40" s="11"/>
      <c r="U40" s="11"/>
      <c r="V40" s="12"/>
    </row>
    <row r="41" spans="1:22" ht="15.75" x14ac:dyDescent="0.3">
      <c r="A41" s="24" t="s">
        <v>45</v>
      </c>
      <c r="B41" s="24" t="s">
        <v>46</v>
      </c>
      <c r="C41" s="40" t="s">
        <v>47</v>
      </c>
      <c r="D41" s="14"/>
      <c r="K41" s="10"/>
      <c r="L41" s="11"/>
      <c r="M41" s="11" t="str">
        <f>IF(AND(M35="Nie",R10&lt;=R9),"Nie","")</f>
        <v/>
      </c>
      <c r="N41" s="11"/>
      <c r="O41" s="11"/>
      <c r="P41" s="11"/>
      <c r="Q41" s="11"/>
      <c r="R41" s="11"/>
      <c r="S41" s="11"/>
      <c r="T41" s="11"/>
      <c r="U41" s="11"/>
      <c r="V41" s="12"/>
    </row>
    <row r="42" spans="1:22" x14ac:dyDescent="0.2">
      <c r="A42" s="23">
        <v>1.01</v>
      </c>
      <c r="B42" s="23">
        <f>(2*ASIN((A42-L7/2)/(L7/2))+PI())/2*(L7/2)^2+L7/2*COS(ASIN((A42-L7/2)/(L7/2)))*(A42-L7/2)</f>
        <v>1.4698509512023847</v>
      </c>
      <c r="C42" s="23">
        <f>L7*COS(ASIN((A42-L7/2)/(L7/2)))</f>
        <v>1.7865049678072547</v>
      </c>
      <c r="D42" s="25"/>
      <c r="K42" s="10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2"/>
    </row>
    <row r="43" spans="1:22" x14ac:dyDescent="0.2">
      <c r="A43" s="1" t="s">
        <v>26</v>
      </c>
      <c r="K43" s="10"/>
      <c r="L43" s="14" t="str">
        <f>IF(M41="Nie","Typ 6","")</f>
        <v/>
      </c>
      <c r="M43" s="11"/>
      <c r="N43" s="11"/>
      <c r="O43" s="11"/>
      <c r="P43" s="11"/>
      <c r="Q43" s="11"/>
      <c r="R43" s="11"/>
      <c r="S43" s="11"/>
      <c r="T43" s="11"/>
      <c r="U43" s="11"/>
      <c r="V43" s="12"/>
    </row>
    <row r="44" spans="1:22" ht="14.25" x14ac:dyDescent="0.2">
      <c r="A44" s="31" t="s">
        <v>53</v>
      </c>
      <c r="B44" s="47">
        <f>B21*B19^2/9.81</f>
        <v>1.7761916411824668</v>
      </c>
      <c r="C44" s="26"/>
      <c r="K44" s="16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8"/>
    </row>
    <row r="45" spans="1:22" ht="15.75" x14ac:dyDescent="0.3">
      <c r="A45" s="27" t="s">
        <v>52</v>
      </c>
      <c r="B45" s="50">
        <f>B42^3/C42</f>
        <v>1.7775247852932627</v>
      </c>
      <c r="C45" s="28"/>
    </row>
    <row r="46" spans="1:22" x14ac:dyDescent="0.2">
      <c r="A46" s="33" t="s">
        <v>51</v>
      </c>
      <c r="B46" s="39">
        <f>ABS((B44-B45)/B44*100)</f>
        <v>7.5056321620142058E-2</v>
      </c>
      <c r="C46" s="29" t="s">
        <v>25</v>
      </c>
    </row>
    <row r="48" spans="1:22" x14ac:dyDescent="0.2">
      <c r="A48" s="22" t="s">
        <v>27</v>
      </c>
    </row>
    <row r="49" spans="1:15" ht="15.75" x14ac:dyDescent="0.3">
      <c r="A49" s="42" t="s">
        <v>48</v>
      </c>
      <c r="B49" s="43">
        <v>1.482</v>
      </c>
      <c r="C49" s="44" t="s">
        <v>6</v>
      </c>
      <c r="E49"/>
    </row>
    <row r="50" spans="1:15" ht="15.75" x14ac:dyDescent="0.3">
      <c r="A50" s="42" t="s">
        <v>49</v>
      </c>
      <c r="B50" s="43">
        <f>B19/((B9+B17*B49)*A26)</f>
        <v>0.88493705940751466</v>
      </c>
      <c r="C50" s="1" t="s">
        <v>76</v>
      </c>
    </row>
    <row r="51" spans="1:15" ht="15.75" x14ac:dyDescent="0.3">
      <c r="A51" s="42" t="s">
        <v>78</v>
      </c>
      <c r="B51" s="3">
        <f>L16^2*L18*E34^2/D34^(4/3)</f>
        <v>2.0000000000000004E-2</v>
      </c>
      <c r="C51" s="1" t="s">
        <v>6</v>
      </c>
    </row>
    <row r="52" spans="1:15" ht="15.75" x14ac:dyDescent="0.3">
      <c r="A52" s="42" t="s">
        <v>81</v>
      </c>
      <c r="B52" s="43">
        <f>(2*ASIN((A26-L7/2)/(L7/2))+PI())/2*(L7/2)^2+L7/2*COS(ASIN((A26-L7/2)/(L7/2)))*(A26-L7/2)</f>
        <v>1.5676727842632783</v>
      </c>
      <c r="C52" s="1" t="s">
        <v>82</v>
      </c>
    </row>
    <row r="53" spans="1:15" x14ac:dyDescent="0.2">
      <c r="A53" s="1" t="s">
        <v>14</v>
      </c>
      <c r="O53" s="22" t="s">
        <v>80</v>
      </c>
    </row>
    <row r="54" spans="1:15" ht="15.75" x14ac:dyDescent="0.3">
      <c r="A54" s="36" t="s">
        <v>31</v>
      </c>
      <c r="B54" s="34">
        <f>B19</f>
        <v>3.98</v>
      </c>
      <c r="C54" s="26" t="s">
        <v>37</v>
      </c>
    </row>
    <row r="55" spans="1:15" ht="15.75" x14ac:dyDescent="0.3">
      <c r="A55" s="37" t="s">
        <v>50</v>
      </c>
      <c r="B55" s="35">
        <f>L12*B52*(19.62*(B49+B50^2/19.62-A26-B51))^(1/2)</f>
        <v>3.979945303690875</v>
      </c>
      <c r="C55" s="28" t="s">
        <v>37</v>
      </c>
      <c r="J55" s="22"/>
    </row>
    <row r="56" spans="1:15" x14ac:dyDescent="0.2">
      <c r="A56" s="33" t="s">
        <v>51</v>
      </c>
      <c r="B56" s="39">
        <f>ABS((B54-B55)/B54*100)</f>
        <v>1.374279123744324E-3</v>
      </c>
      <c r="C56" s="38" t="s">
        <v>25</v>
      </c>
    </row>
  </sheetData>
  <conditionalFormatting sqref="M29">
    <cfRule type="cellIs" dxfId="75" priority="19" operator="equal">
      <formula>"Nie"</formula>
    </cfRule>
  </conditionalFormatting>
  <conditionalFormatting sqref="N31">
    <cfRule type="cellIs" dxfId="74" priority="18" operator="equal">
      <formula>"Tak"</formula>
    </cfRule>
  </conditionalFormatting>
  <conditionalFormatting sqref="O32">
    <cfRule type="cellIs" dxfId="73" priority="17" operator="equal">
      <formula>"Typ 4"</formula>
    </cfRule>
  </conditionalFormatting>
  <conditionalFormatting sqref="M35">
    <cfRule type="cellIs" dxfId="72" priority="16" operator="equal">
      <formula>"Nie"</formula>
    </cfRule>
  </conditionalFormatting>
  <conditionalFormatting sqref="N37">
    <cfRule type="cellIs" dxfId="71" priority="15" operator="equal">
      <formula>"Tak"</formula>
    </cfRule>
  </conditionalFormatting>
  <conditionalFormatting sqref="O38">
    <cfRule type="cellIs" dxfId="70" priority="14" operator="equal">
      <formula>"Typ 5"</formula>
    </cfRule>
  </conditionalFormatting>
  <conditionalFormatting sqref="L43">
    <cfRule type="cellIs" dxfId="69" priority="13" operator="equal">
      <formula>"Typ 6"</formula>
    </cfRule>
  </conditionalFormatting>
  <conditionalFormatting sqref="M41">
    <cfRule type="cellIs" dxfId="68" priority="12" operator="equal">
      <formula>"Nie"</formula>
    </cfRule>
  </conditionalFormatting>
  <conditionalFormatting sqref="N24">
    <cfRule type="cellIs" dxfId="67" priority="11" operator="equal">
      <formula>"Tak"</formula>
    </cfRule>
  </conditionalFormatting>
  <conditionalFormatting sqref="R24">
    <cfRule type="cellIs" dxfId="66" priority="10" operator="equal">
      <formula>"Tak"</formula>
    </cfRule>
  </conditionalFormatting>
  <conditionalFormatting sqref="T24">
    <cfRule type="cellIs" dxfId="65" priority="9" operator="equal">
      <formula>"Tak"</formula>
    </cfRule>
  </conditionalFormatting>
  <conditionalFormatting sqref="U25">
    <cfRule type="cellIs" dxfId="64" priority="8" operator="equal">
      <formula>"Typ 1"</formula>
    </cfRule>
  </conditionalFormatting>
  <conditionalFormatting sqref="S29">
    <cfRule type="cellIs" dxfId="63" priority="7" operator="equal">
      <formula>"Nie"</formula>
    </cfRule>
  </conditionalFormatting>
  <conditionalFormatting sqref="Q29">
    <cfRule type="cellIs" dxfId="62" priority="6" operator="equal">
      <formula>"Nie"</formula>
    </cfRule>
  </conditionalFormatting>
  <conditionalFormatting sqref="R34">
    <cfRule type="cellIs" dxfId="61" priority="5" operator="equal">
      <formula>"Tak"</formula>
    </cfRule>
  </conditionalFormatting>
  <conditionalFormatting sqref="Q37">
    <cfRule type="cellIs" dxfId="60" priority="4" operator="equal">
      <formula>"Nie"</formula>
    </cfRule>
  </conditionalFormatting>
  <conditionalFormatting sqref="P40">
    <cfRule type="cellIs" dxfId="59" priority="3" operator="equal">
      <formula>"Błąd"</formula>
    </cfRule>
  </conditionalFormatting>
  <conditionalFormatting sqref="S32">
    <cfRule type="cellIs" dxfId="58" priority="2" operator="equal">
      <formula>"Typ 2"</formula>
    </cfRule>
  </conditionalFormatting>
  <conditionalFormatting sqref="S35">
    <cfRule type="cellIs" dxfId="57" priority="1" operator="equal">
      <formula>"Typ 3"</formula>
    </cfRule>
  </conditionalFormatting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5"/>
  <sheetViews>
    <sheetView showGridLines="0" workbookViewId="0"/>
  </sheetViews>
  <sheetFormatPr defaultRowHeight="12.75" x14ac:dyDescent="0.2"/>
  <cols>
    <col min="1" max="16384" width="9.140625" style="1"/>
  </cols>
  <sheetData>
    <row r="1" spans="1:19" s="19" customFormat="1" ht="23.25" x14ac:dyDescent="0.35">
      <c r="A1" s="21" t="s">
        <v>0</v>
      </c>
    </row>
    <row r="3" spans="1:19" ht="14.25" x14ac:dyDescent="0.2">
      <c r="A3" s="20" t="s">
        <v>1</v>
      </c>
      <c r="B3" s="4"/>
      <c r="C3" s="4"/>
      <c r="D3" s="4"/>
      <c r="E3" s="4"/>
      <c r="F3" s="4"/>
      <c r="G3" s="4"/>
      <c r="H3" s="4"/>
      <c r="I3" s="4"/>
      <c r="K3" s="20" t="s">
        <v>24</v>
      </c>
      <c r="L3" s="4"/>
      <c r="M3" s="4"/>
      <c r="N3" s="4"/>
      <c r="O3" s="4"/>
      <c r="Q3" s="49" t="s">
        <v>75</v>
      </c>
    </row>
    <row r="4" spans="1:19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K4" s="4"/>
      <c r="L4" s="4"/>
      <c r="M4" s="4"/>
      <c r="N4" s="4"/>
      <c r="O4" s="4"/>
      <c r="P4" s="2"/>
    </row>
    <row r="5" spans="1:19" ht="15.75" x14ac:dyDescent="0.3">
      <c r="A5" s="4"/>
      <c r="B5" s="6">
        <v>52.1</v>
      </c>
      <c r="C5" s="4" t="s">
        <v>3</v>
      </c>
      <c r="D5" s="4"/>
      <c r="E5" s="4"/>
      <c r="F5" s="4"/>
      <c r="G5" s="4"/>
      <c r="H5" s="4"/>
      <c r="I5" s="4"/>
      <c r="K5" s="4" t="s">
        <v>83</v>
      </c>
      <c r="L5" s="4"/>
      <c r="M5" s="4"/>
      <c r="N5" s="4"/>
      <c r="O5" s="4"/>
      <c r="P5" s="2"/>
      <c r="Q5" s="31" t="s">
        <v>48</v>
      </c>
      <c r="R5" s="48">
        <f>B44</f>
        <v>1.8819999999999999</v>
      </c>
      <c r="S5" s="26" t="s">
        <v>6</v>
      </c>
    </row>
    <row r="6" spans="1:19" x14ac:dyDescent="0.2">
      <c r="A6" s="4" t="s">
        <v>4</v>
      </c>
      <c r="B6" s="4"/>
      <c r="C6" s="4"/>
      <c r="D6" s="4"/>
      <c r="E6" s="4"/>
      <c r="F6" s="4"/>
      <c r="G6" s="4"/>
      <c r="H6" s="4"/>
      <c r="I6" s="4"/>
      <c r="K6" s="4" t="s">
        <v>84</v>
      </c>
      <c r="L6" s="4"/>
      <c r="M6" s="4"/>
      <c r="N6" s="4"/>
      <c r="O6" s="4"/>
      <c r="P6" s="2"/>
      <c r="Q6" s="32" t="s">
        <v>60</v>
      </c>
      <c r="R6" s="14">
        <f>L16*L20</f>
        <v>0.05</v>
      </c>
      <c r="S6" s="28" t="s">
        <v>6</v>
      </c>
    </row>
    <row r="7" spans="1:19" ht="15.75" x14ac:dyDescent="0.3">
      <c r="A7" s="4"/>
      <c r="B7" s="41">
        <v>50</v>
      </c>
      <c r="C7" s="4" t="s">
        <v>3</v>
      </c>
      <c r="D7" s="4"/>
      <c r="E7" s="4"/>
      <c r="F7" s="4"/>
      <c r="G7" s="4"/>
      <c r="H7" s="4"/>
      <c r="I7" s="4"/>
      <c r="K7" s="5" t="s">
        <v>61</v>
      </c>
      <c r="L7" s="6">
        <v>1.4</v>
      </c>
      <c r="M7" s="4" t="s">
        <v>6</v>
      </c>
      <c r="N7" s="4"/>
      <c r="O7" s="4"/>
      <c r="P7" s="2"/>
      <c r="Q7" s="32" t="s">
        <v>61</v>
      </c>
      <c r="R7" s="35">
        <f>L7</f>
        <v>1.4</v>
      </c>
      <c r="S7" s="28" t="s">
        <v>6</v>
      </c>
    </row>
    <row r="8" spans="1:19" ht="15.75" x14ac:dyDescent="0.3">
      <c r="A8" s="4" t="s">
        <v>5</v>
      </c>
      <c r="B8" s="4"/>
      <c r="C8" s="4"/>
      <c r="D8" s="4"/>
      <c r="E8" s="4"/>
      <c r="F8" s="4"/>
      <c r="G8" s="4"/>
      <c r="H8" s="4"/>
      <c r="I8" s="4"/>
      <c r="K8" s="4" t="s">
        <v>85</v>
      </c>
      <c r="L8" s="4"/>
      <c r="M8" s="4"/>
      <c r="N8" s="4"/>
      <c r="O8" s="4"/>
      <c r="P8" s="2"/>
      <c r="Q8" s="32" t="s">
        <v>62</v>
      </c>
      <c r="R8" s="35">
        <f>A26-L22</f>
        <v>1.57</v>
      </c>
      <c r="S8" s="28" t="s">
        <v>6</v>
      </c>
    </row>
    <row r="9" spans="1:19" ht="15.75" x14ac:dyDescent="0.3">
      <c r="A9" s="4"/>
      <c r="B9" s="41">
        <v>2</v>
      </c>
      <c r="C9" s="4" t="s">
        <v>6</v>
      </c>
      <c r="D9" s="4"/>
      <c r="E9" s="4"/>
      <c r="F9" s="4"/>
      <c r="G9" s="4"/>
      <c r="H9" s="4"/>
      <c r="I9" s="4"/>
      <c r="K9" s="5" t="s">
        <v>88</v>
      </c>
      <c r="L9" s="6">
        <v>1.4</v>
      </c>
      <c r="M9" s="53" t="s">
        <v>6</v>
      </c>
      <c r="N9" s="4"/>
      <c r="O9" s="4"/>
      <c r="P9" s="2"/>
      <c r="Q9" s="32" t="s">
        <v>56</v>
      </c>
      <c r="R9" s="14">
        <f>L16</f>
        <v>5.0000000000000001E-3</v>
      </c>
      <c r="S9" s="28"/>
    </row>
    <row r="10" spans="1:19" ht="15.75" x14ac:dyDescent="0.3">
      <c r="A10" s="4" t="s">
        <v>7</v>
      </c>
      <c r="B10" s="4"/>
      <c r="C10" s="4"/>
      <c r="D10" s="4"/>
      <c r="E10" s="4"/>
      <c r="F10" s="4"/>
      <c r="G10" s="4"/>
      <c r="H10" s="4"/>
      <c r="I10" s="4"/>
      <c r="K10" s="4" t="s">
        <v>79</v>
      </c>
      <c r="L10" s="4"/>
      <c r="M10" s="4"/>
      <c r="N10" s="4"/>
      <c r="O10" s="4"/>
      <c r="P10" s="2"/>
      <c r="Q10" s="32" t="s">
        <v>63</v>
      </c>
      <c r="R10" s="50">
        <f>(B19/(L7*L9))^2*L16^2/((L7*L9)/(2*L7+2*L9))^(4/3)</f>
        <v>4.1792974725887413E-4</v>
      </c>
      <c r="S10" s="28"/>
    </row>
    <row r="11" spans="1:19" ht="15.75" x14ac:dyDescent="0.3">
      <c r="A11" s="5" t="s">
        <v>28</v>
      </c>
      <c r="B11" s="6">
        <v>3.9E-2</v>
      </c>
      <c r="C11" s="4"/>
      <c r="D11" s="4"/>
      <c r="E11" s="4"/>
      <c r="F11" s="4"/>
      <c r="G11" s="4"/>
      <c r="H11" s="4"/>
      <c r="I11" s="4"/>
      <c r="K11" s="4" t="s">
        <v>70</v>
      </c>
      <c r="L11" s="4"/>
      <c r="M11" s="4"/>
      <c r="N11" s="4"/>
      <c r="O11" s="4"/>
      <c r="P11" s="2"/>
      <c r="Q11" s="32" t="s">
        <v>64</v>
      </c>
      <c r="R11" s="35">
        <f>A34</f>
        <v>1.014</v>
      </c>
      <c r="S11" s="28" t="s">
        <v>6</v>
      </c>
    </row>
    <row r="12" spans="1:19" ht="15.75" x14ac:dyDescent="0.3">
      <c r="A12" s="4" t="s">
        <v>8</v>
      </c>
      <c r="B12" s="4"/>
      <c r="C12" s="4"/>
      <c r="D12" s="4"/>
      <c r="E12" s="4"/>
      <c r="F12" s="4"/>
      <c r="G12" s="4"/>
      <c r="H12" s="4"/>
      <c r="I12" s="4"/>
      <c r="K12" s="5" t="s">
        <v>59</v>
      </c>
      <c r="L12" s="6">
        <v>0.33</v>
      </c>
      <c r="M12" s="4"/>
      <c r="N12" s="4"/>
      <c r="O12" s="4"/>
      <c r="P12" s="2"/>
      <c r="Q12" s="33" t="s">
        <v>65</v>
      </c>
      <c r="R12" s="46">
        <f>B41</f>
        <v>0.96770856188073096</v>
      </c>
      <c r="S12" s="29" t="s">
        <v>6</v>
      </c>
    </row>
    <row r="13" spans="1:19" x14ac:dyDescent="0.2">
      <c r="A13" s="4"/>
      <c r="B13" s="6">
        <v>1.6</v>
      </c>
      <c r="C13" s="30" t="s">
        <v>6</v>
      </c>
      <c r="D13" s="4"/>
      <c r="E13" s="4"/>
      <c r="F13" s="4"/>
      <c r="G13" s="4"/>
      <c r="H13" s="4"/>
      <c r="I13" s="4"/>
      <c r="K13" s="4" t="s">
        <v>71</v>
      </c>
      <c r="L13" s="4"/>
      <c r="M13" s="4"/>
      <c r="N13" s="4"/>
      <c r="O13" s="4"/>
      <c r="P13" s="2"/>
    </row>
    <row r="14" spans="1:19" x14ac:dyDescent="0.2">
      <c r="A14" s="4" t="s">
        <v>9</v>
      </c>
      <c r="B14" s="4"/>
      <c r="C14" s="4"/>
      <c r="D14" s="4"/>
      <c r="E14" s="4"/>
      <c r="F14" s="4"/>
      <c r="G14" s="4"/>
      <c r="H14" s="4"/>
      <c r="I14" s="4"/>
      <c r="K14" s="5" t="s">
        <v>54</v>
      </c>
      <c r="L14" s="45">
        <f>(1/(1+L12))^(1/2)</f>
        <v>0.86710996952412001</v>
      </c>
      <c r="M14" s="4"/>
      <c r="N14" s="4"/>
      <c r="O14" s="4"/>
      <c r="P14" s="2"/>
    </row>
    <row r="15" spans="1:19" ht="15.75" x14ac:dyDescent="0.3">
      <c r="A15" s="5" t="s">
        <v>29</v>
      </c>
      <c r="B15" s="6">
        <v>5.9999999999999995E-4</v>
      </c>
      <c r="C15" s="4"/>
      <c r="D15" s="4"/>
      <c r="E15" s="4"/>
      <c r="F15" s="4"/>
      <c r="G15" s="4"/>
      <c r="H15" s="4"/>
      <c r="I15" s="4"/>
      <c r="K15" s="4" t="s">
        <v>72</v>
      </c>
      <c r="L15" s="4"/>
      <c r="M15" s="4"/>
      <c r="N15" s="4"/>
      <c r="O15" s="4"/>
      <c r="P15" s="2"/>
    </row>
    <row r="16" spans="1:19" ht="15.75" x14ac:dyDescent="0.3">
      <c r="A16" s="61" t="s">
        <v>102</v>
      </c>
      <c r="B16" s="4"/>
      <c r="C16" s="4"/>
      <c r="D16" s="4"/>
      <c r="E16" s="4"/>
      <c r="F16" s="4"/>
      <c r="G16" s="4"/>
      <c r="H16" s="4"/>
      <c r="I16" s="4"/>
      <c r="K16" s="5" t="s">
        <v>56</v>
      </c>
      <c r="L16" s="6">
        <v>5.0000000000000001E-3</v>
      </c>
      <c r="M16" s="4"/>
      <c r="N16" s="4"/>
      <c r="O16" s="4"/>
      <c r="P16" s="2"/>
    </row>
    <row r="17" spans="1:22" x14ac:dyDescent="0.2">
      <c r="A17" s="5" t="s">
        <v>30</v>
      </c>
      <c r="B17" s="6">
        <v>1.5</v>
      </c>
      <c r="C17" s="4"/>
      <c r="D17" s="4"/>
      <c r="E17" s="4"/>
      <c r="F17" s="4"/>
      <c r="G17" s="4"/>
      <c r="H17" s="4"/>
      <c r="I17" s="4"/>
      <c r="K17" s="4" t="s">
        <v>73</v>
      </c>
      <c r="L17" s="4"/>
      <c r="M17" s="4"/>
      <c r="N17" s="4"/>
      <c r="O17" s="4"/>
      <c r="P17" s="2"/>
    </row>
    <row r="18" spans="1:22" ht="15.75" x14ac:dyDescent="0.3">
      <c r="A18" s="4" t="s">
        <v>10</v>
      </c>
      <c r="B18" s="4"/>
      <c r="C18" s="4"/>
      <c r="D18" s="4"/>
      <c r="E18" s="4"/>
      <c r="F18" s="4"/>
      <c r="G18" s="4"/>
      <c r="H18" s="4"/>
      <c r="I18" s="4"/>
      <c r="K18" s="5" t="s">
        <v>57</v>
      </c>
      <c r="L18" s="6">
        <v>1.4E-2</v>
      </c>
      <c r="M18" s="4"/>
      <c r="N18" s="4"/>
      <c r="O18" s="4"/>
    </row>
    <row r="19" spans="1:22" ht="15.75" x14ac:dyDescent="0.3">
      <c r="A19" s="5" t="s">
        <v>31</v>
      </c>
      <c r="B19" s="6">
        <v>3.98</v>
      </c>
      <c r="C19" s="4" t="s">
        <v>37</v>
      </c>
      <c r="D19" s="4"/>
      <c r="E19" s="4"/>
      <c r="F19" s="4"/>
      <c r="G19" s="4"/>
      <c r="H19" s="4"/>
      <c r="I19" s="4"/>
      <c r="K19" s="4" t="s">
        <v>74</v>
      </c>
      <c r="L19" s="4"/>
      <c r="M19" s="4"/>
      <c r="N19" s="4"/>
      <c r="O19" s="4"/>
    </row>
    <row r="20" spans="1:22" ht="15.75" x14ac:dyDescent="0.3">
      <c r="A20" s="4" t="s">
        <v>13</v>
      </c>
      <c r="B20" s="4"/>
      <c r="C20" s="4"/>
      <c r="D20" s="4"/>
      <c r="E20" s="4"/>
      <c r="F20" s="4"/>
      <c r="G20" s="4"/>
      <c r="H20" s="4"/>
      <c r="I20" s="4"/>
      <c r="K20" s="5" t="s">
        <v>58</v>
      </c>
      <c r="L20" s="41">
        <v>10</v>
      </c>
      <c r="M20" s="4" t="s">
        <v>6</v>
      </c>
      <c r="N20" s="4"/>
      <c r="O20" s="4"/>
    </row>
    <row r="21" spans="1:22" x14ac:dyDescent="0.2">
      <c r="A21" s="5" t="s">
        <v>23</v>
      </c>
      <c r="B21" s="6">
        <v>1.1000000000000001</v>
      </c>
      <c r="C21" s="4"/>
      <c r="D21" s="4"/>
      <c r="E21" s="4"/>
      <c r="F21" s="4"/>
      <c r="G21" s="4"/>
      <c r="H21" s="4"/>
      <c r="I21" s="4"/>
      <c r="K21" s="4" t="s">
        <v>92</v>
      </c>
      <c r="L21" s="4"/>
      <c r="M21" s="4"/>
      <c r="N21" s="4"/>
      <c r="O21" s="4"/>
    </row>
    <row r="22" spans="1:22" x14ac:dyDescent="0.2">
      <c r="D22" s="2"/>
      <c r="E22" s="2"/>
      <c r="F22" s="2"/>
      <c r="G22" s="2"/>
      <c r="H22" s="2"/>
      <c r="I22" s="2"/>
      <c r="K22" s="5" t="s">
        <v>87</v>
      </c>
      <c r="L22" s="41">
        <v>0</v>
      </c>
      <c r="M22" s="4" t="s">
        <v>6</v>
      </c>
      <c r="N22" s="4"/>
      <c r="O22" s="4"/>
    </row>
    <row r="23" spans="1:22" ht="14.25" x14ac:dyDescent="0.2">
      <c r="A23" s="22" t="s">
        <v>11</v>
      </c>
      <c r="P23" s="49" t="s">
        <v>66</v>
      </c>
    </row>
    <row r="24" spans="1:22" x14ac:dyDescent="0.2">
      <c r="A24" s="1" t="s">
        <v>12</v>
      </c>
      <c r="K24" s="7"/>
      <c r="L24" s="8"/>
      <c r="M24" s="8"/>
      <c r="N24" s="8"/>
      <c r="O24" s="8"/>
      <c r="P24" s="8"/>
      <c r="Q24" s="8"/>
      <c r="R24" s="8"/>
      <c r="S24" s="8"/>
      <c r="T24" s="8"/>
      <c r="U24" s="8"/>
      <c r="V24" s="9"/>
    </row>
    <row r="25" spans="1:22" ht="15.75" x14ac:dyDescent="0.3">
      <c r="A25" s="24" t="s">
        <v>32</v>
      </c>
      <c r="B25" s="24" t="s">
        <v>40</v>
      </c>
      <c r="C25" s="24" t="s">
        <v>33</v>
      </c>
      <c r="D25" s="24" t="s">
        <v>34</v>
      </c>
      <c r="E25" s="24" t="s">
        <v>35</v>
      </c>
      <c r="F25" s="24" t="s">
        <v>36</v>
      </c>
      <c r="I25" s="2"/>
      <c r="K25" s="10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2"/>
    </row>
    <row r="26" spans="1:22" x14ac:dyDescent="0.2">
      <c r="A26" s="23">
        <v>1.57</v>
      </c>
      <c r="B26" s="23">
        <f>(B9+B17*A26)*A26</f>
        <v>6.8373500000000007</v>
      </c>
      <c r="C26" s="23">
        <f>B9+2*B17*A26</f>
        <v>6.71</v>
      </c>
      <c r="D26" s="23">
        <f>B9+2*A26*(1+B17^2)^0.5</f>
        <v>7.660715502478463</v>
      </c>
      <c r="E26" s="23">
        <f>B26/D26</f>
        <v>0.89252107036058448</v>
      </c>
      <c r="F26" s="23">
        <f>1/B11*E26^(2/3)*B15^(1/2)</f>
        <v>0.5822238653964269</v>
      </c>
      <c r="K26" s="10"/>
      <c r="L26" s="11"/>
      <c r="M26" s="11"/>
      <c r="N26" s="13" t="str">
        <f>IF(((R5-R6)/R7)&lt;=1.2,"Tak","")</f>
        <v/>
      </c>
      <c r="O26" s="11"/>
      <c r="P26" s="11"/>
      <c r="Q26" s="11"/>
      <c r="R26" s="11" t="str">
        <f>IF(AND(N26="Tak",R8&lt;R12),"Tak","")</f>
        <v/>
      </c>
      <c r="S26" s="11"/>
      <c r="T26" s="11" t="str">
        <f>IF(AND(R26="Tak",R12&gt;R11),"Tak","")</f>
        <v/>
      </c>
      <c r="U26" s="11"/>
      <c r="V26" s="12"/>
    </row>
    <row r="27" spans="1:22" x14ac:dyDescent="0.2">
      <c r="A27" s="1" t="s">
        <v>14</v>
      </c>
      <c r="K27" s="10"/>
      <c r="L27" s="11"/>
      <c r="M27" s="11"/>
      <c r="N27" s="11"/>
      <c r="O27" s="11"/>
      <c r="P27" s="11"/>
      <c r="Q27" s="11"/>
      <c r="R27" s="11"/>
      <c r="S27" s="11"/>
      <c r="T27" s="11" t="s">
        <v>16</v>
      </c>
      <c r="U27" s="14" t="str">
        <f>IF(T26="Tak","Typ 1","")</f>
        <v/>
      </c>
      <c r="V27" s="12"/>
    </row>
    <row r="28" spans="1:22" ht="15.75" x14ac:dyDescent="0.3">
      <c r="A28" s="36" t="s">
        <v>31</v>
      </c>
      <c r="B28" s="34">
        <f>B19</f>
        <v>3.98</v>
      </c>
      <c r="C28" s="26" t="s">
        <v>37</v>
      </c>
      <c r="K28" s="10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2"/>
    </row>
    <row r="29" spans="1:22" ht="15.75" x14ac:dyDescent="0.3">
      <c r="A29" s="37" t="s">
        <v>50</v>
      </c>
      <c r="B29" s="35">
        <f>F26*B26</f>
        <v>3.9808683460682599</v>
      </c>
      <c r="C29" s="28" t="s">
        <v>37</v>
      </c>
      <c r="K29" s="10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2"/>
    </row>
    <row r="30" spans="1:22" x14ac:dyDescent="0.2">
      <c r="A30" s="33" t="s">
        <v>51</v>
      </c>
      <c r="B30" s="39">
        <f>ABS((B28-B29)/B28*100)</f>
        <v>2.1817740408540641E-2</v>
      </c>
      <c r="C30" s="38" t="s">
        <v>25</v>
      </c>
      <c r="K30" s="10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2"/>
    </row>
    <row r="31" spans="1:22" x14ac:dyDescent="0.2">
      <c r="K31" s="10"/>
      <c r="L31" s="11"/>
      <c r="M31" s="15" t="str">
        <f>IF(((R5-R6)/R7)&gt;1.2,"Nie","")</f>
        <v>Nie</v>
      </c>
      <c r="N31" s="11"/>
      <c r="O31" s="11"/>
      <c r="P31" s="11"/>
      <c r="Q31" s="11" t="str">
        <f>IF(AND(N26="Tak",R8&gt;R12),"Nie","")</f>
        <v/>
      </c>
      <c r="R31" s="11"/>
      <c r="S31" s="14" t="str">
        <f>IF(AND(R26="Tak",R12&lt;R11),"Nie","")</f>
        <v/>
      </c>
      <c r="T31" s="11"/>
      <c r="U31" s="11"/>
      <c r="V31" s="12"/>
    </row>
    <row r="32" spans="1:22" x14ac:dyDescent="0.2">
      <c r="A32" s="22" t="s">
        <v>15</v>
      </c>
      <c r="K32" s="10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2"/>
    </row>
    <row r="33" spans="1:22" ht="15.75" x14ac:dyDescent="0.3">
      <c r="A33" s="24" t="s">
        <v>38</v>
      </c>
      <c r="B33" s="40" t="s">
        <v>39</v>
      </c>
      <c r="C33" s="24" t="s">
        <v>41</v>
      </c>
      <c r="D33" s="24" t="s">
        <v>42</v>
      </c>
      <c r="E33" s="24" t="s">
        <v>43</v>
      </c>
      <c r="K33" s="10"/>
      <c r="L33" s="11"/>
      <c r="M33" s="11"/>
      <c r="N33" s="11" t="str">
        <f>IF(AND(M31="Nie",R8&gt;R7),"Tak","")</f>
        <v>Tak</v>
      </c>
      <c r="O33" s="11"/>
      <c r="P33" s="11"/>
      <c r="Q33" s="11"/>
      <c r="R33" s="11"/>
      <c r="S33" s="11"/>
      <c r="T33" s="11"/>
      <c r="U33" s="11"/>
      <c r="V33" s="12"/>
    </row>
    <row r="34" spans="1:22" x14ac:dyDescent="0.2">
      <c r="A34" s="23">
        <v>1.014</v>
      </c>
      <c r="B34" s="23">
        <f>A34*L9</f>
        <v>1.4196</v>
      </c>
      <c r="C34" s="23">
        <f>2*A34+L9</f>
        <v>3.4279999999999999</v>
      </c>
      <c r="D34" s="23">
        <f>B34/C34</f>
        <v>0.41411901983663946</v>
      </c>
      <c r="E34" s="23">
        <f>1/L18*D34^(2/3)*L16^(1/2)</f>
        <v>2.8061254640661755</v>
      </c>
      <c r="K34" s="10"/>
      <c r="L34" s="11"/>
      <c r="M34" s="11"/>
      <c r="N34" s="11"/>
      <c r="O34" s="14" t="str">
        <f>IF(N33="Tak","Typ 4","")</f>
        <v>Typ 4</v>
      </c>
      <c r="P34" s="11"/>
      <c r="Q34" s="11"/>
      <c r="R34" s="11"/>
      <c r="S34" s="14" t="str">
        <f>IF(S31="Nie","Typ 2","")</f>
        <v/>
      </c>
      <c r="T34" s="11"/>
      <c r="U34" s="11"/>
      <c r="V34" s="12"/>
    </row>
    <row r="35" spans="1:22" x14ac:dyDescent="0.2">
      <c r="A35" s="1" t="s">
        <v>14</v>
      </c>
      <c r="K35" s="10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2"/>
    </row>
    <row r="36" spans="1:22" ht="15.75" x14ac:dyDescent="0.3">
      <c r="A36" s="36" t="s">
        <v>31</v>
      </c>
      <c r="B36" s="34">
        <f>B19</f>
        <v>3.98</v>
      </c>
      <c r="C36" s="26" t="s">
        <v>37</v>
      </c>
      <c r="K36" s="10"/>
      <c r="L36" s="11"/>
      <c r="M36" s="11"/>
      <c r="N36" s="11"/>
      <c r="O36" s="11"/>
      <c r="P36" s="11"/>
      <c r="Q36" s="11"/>
      <c r="R36" s="11" t="str">
        <f>IF(AND(Q31="Nie",R11&gt;R12),"Tak","")</f>
        <v/>
      </c>
      <c r="S36" s="11"/>
      <c r="T36" s="11"/>
      <c r="U36" s="11"/>
      <c r="V36" s="12"/>
    </row>
    <row r="37" spans="1:22" ht="15.75" x14ac:dyDescent="0.3">
      <c r="A37" s="37" t="s">
        <v>50</v>
      </c>
      <c r="B37" s="35">
        <f>E34*B34</f>
        <v>3.9835757087883428</v>
      </c>
      <c r="C37" s="28" t="s">
        <v>37</v>
      </c>
      <c r="K37" s="10"/>
      <c r="L37" s="11"/>
      <c r="M37" s="15" t="str">
        <f>IF(AND(M31="Nie",R8&lt;=R7),"Nie","")</f>
        <v/>
      </c>
      <c r="N37" s="11"/>
      <c r="O37" s="11"/>
      <c r="P37" s="11"/>
      <c r="Q37" s="11"/>
      <c r="R37" s="11"/>
      <c r="S37" s="14" t="str">
        <f>IF(R36="Tak","Typ 3","")</f>
        <v/>
      </c>
      <c r="T37" s="11"/>
      <c r="U37" s="11"/>
      <c r="V37" s="12"/>
    </row>
    <row r="38" spans="1:22" x14ac:dyDescent="0.2">
      <c r="A38" s="33" t="s">
        <v>51</v>
      </c>
      <c r="B38" s="39">
        <f>ABS((B36-B37)/B36*100)</f>
        <v>8.9841929355346503E-2</v>
      </c>
      <c r="C38" s="38" t="s">
        <v>25</v>
      </c>
      <c r="K38" s="10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2"/>
    </row>
    <row r="39" spans="1:22" x14ac:dyDescent="0.2">
      <c r="K39" s="10"/>
      <c r="L39" s="11"/>
      <c r="M39" s="11"/>
      <c r="N39" s="11" t="str">
        <f>IF(AND(M37="Nie",R10&gt;R9),"Tak","")</f>
        <v/>
      </c>
      <c r="O39" s="11"/>
      <c r="P39" s="11"/>
      <c r="Q39" s="11" t="str">
        <f>IF(AND(Q31="Nie",R11&lt;R12),"Nie","")</f>
        <v/>
      </c>
      <c r="R39" s="11"/>
      <c r="S39" s="11"/>
      <c r="T39" s="11"/>
      <c r="U39" s="11"/>
      <c r="V39" s="12"/>
    </row>
    <row r="40" spans="1:22" x14ac:dyDescent="0.2">
      <c r="A40" s="22" t="s">
        <v>19</v>
      </c>
      <c r="K40" s="10"/>
      <c r="L40" s="11"/>
      <c r="M40" s="11"/>
      <c r="N40" s="11"/>
      <c r="O40" s="14" t="str">
        <f>IF(N39="Tak","Typ 5","")</f>
        <v/>
      </c>
      <c r="P40" s="11"/>
      <c r="Q40" s="11"/>
      <c r="R40" s="11"/>
      <c r="S40" s="11"/>
      <c r="T40" s="11"/>
      <c r="U40" s="11"/>
      <c r="V40" s="12"/>
    </row>
    <row r="41" spans="1:22" ht="15.75" x14ac:dyDescent="0.3">
      <c r="A41" s="51" t="s">
        <v>65</v>
      </c>
      <c r="B41" s="35">
        <f>(B21*B19^2/9.81/L9^2)^(1/3)</f>
        <v>0.96770856188073096</v>
      </c>
      <c r="C41" s="52" t="s">
        <v>6</v>
      </c>
      <c r="D41" s="14"/>
      <c r="K41" s="10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2"/>
    </row>
    <row r="42" spans="1:22" x14ac:dyDescent="0.2">
      <c r="B42" s="35"/>
      <c r="C42" s="35"/>
      <c r="D42" s="25"/>
      <c r="K42" s="10"/>
      <c r="L42" s="11"/>
      <c r="M42" s="11"/>
      <c r="N42" s="11"/>
      <c r="O42" s="11"/>
      <c r="P42" s="14" t="str">
        <f>IF(Q39="Nie","Błąd","")</f>
        <v/>
      </c>
      <c r="Q42" s="11"/>
      <c r="R42" s="11"/>
      <c r="S42" s="11"/>
      <c r="T42" s="11"/>
      <c r="U42" s="11"/>
      <c r="V42" s="12"/>
    </row>
    <row r="43" spans="1:22" x14ac:dyDescent="0.2">
      <c r="A43" s="22" t="s">
        <v>27</v>
      </c>
      <c r="K43" s="10"/>
      <c r="L43" s="11"/>
      <c r="M43" s="11" t="str">
        <f>IF(AND(M37="Nie",R10&lt;=R9),"Nie","")</f>
        <v/>
      </c>
      <c r="N43" s="11"/>
      <c r="O43" s="11"/>
      <c r="P43" s="11"/>
      <c r="Q43" s="11"/>
      <c r="R43" s="11"/>
      <c r="S43" s="11"/>
      <c r="T43" s="11"/>
      <c r="U43" s="11"/>
      <c r="V43" s="12"/>
    </row>
    <row r="44" spans="1:22" ht="15.75" x14ac:dyDescent="0.3">
      <c r="A44" s="42" t="s">
        <v>48</v>
      </c>
      <c r="B44" s="43">
        <v>1.8819999999999999</v>
      </c>
      <c r="C44" s="44" t="s">
        <v>6</v>
      </c>
      <c r="E44"/>
      <c r="K44" s="10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2"/>
    </row>
    <row r="45" spans="1:22" ht="15.75" x14ac:dyDescent="0.3">
      <c r="A45" s="42" t="s">
        <v>89</v>
      </c>
      <c r="B45" s="43">
        <f>L7*L9</f>
        <v>1.9599999999999997</v>
      </c>
      <c r="C45" s="1" t="s">
        <v>82</v>
      </c>
      <c r="K45" s="10"/>
      <c r="L45" s="14" t="str">
        <f>IF(M43="Nie","Typ 6","")</f>
        <v/>
      </c>
      <c r="M45" s="11"/>
      <c r="N45" s="11"/>
      <c r="O45" s="11"/>
      <c r="P45" s="11"/>
      <c r="Q45" s="11"/>
      <c r="R45" s="11"/>
      <c r="S45" s="11"/>
      <c r="T45" s="11"/>
      <c r="U45" s="11"/>
      <c r="V45" s="12"/>
    </row>
    <row r="46" spans="1:22" ht="15.75" x14ac:dyDescent="0.3">
      <c r="A46" s="42" t="s">
        <v>90</v>
      </c>
      <c r="B46" s="3">
        <f>(L7*L9)/(2*L7+2*L9)</f>
        <v>0.35</v>
      </c>
      <c r="C46" s="1" t="s">
        <v>6</v>
      </c>
      <c r="K46" s="16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8"/>
    </row>
    <row r="47" spans="1:22" x14ac:dyDescent="0.2">
      <c r="A47" s="1" t="s">
        <v>14</v>
      </c>
    </row>
    <row r="48" spans="1:22" ht="15.75" x14ac:dyDescent="0.3">
      <c r="A48" s="36" t="s">
        <v>31</v>
      </c>
      <c r="B48" s="34">
        <f>B19</f>
        <v>3.98</v>
      </c>
      <c r="C48" s="26" t="s">
        <v>37</v>
      </c>
    </row>
    <row r="49" spans="1:15" ht="15.75" x14ac:dyDescent="0.3">
      <c r="A49" s="37" t="s">
        <v>50</v>
      </c>
      <c r="B49" s="35">
        <f>L14*B45*((19.62*(B44-A26))/(1+19.62*L14^2*L18^2*L20/B46^(4/3)))^(1/2)</f>
        <v>3.9782046619902909</v>
      </c>
      <c r="C49" s="28" t="s">
        <v>37</v>
      </c>
    </row>
    <row r="50" spans="1:15" x14ac:dyDescent="0.2">
      <c r="A50" s="33" t="s">
        <v>51</v>
      </c>
      <c r="B50" s="39">
        <f>ABS((B48-B49)/B48*100)</f>
        <v>4.5108995218821661E-2</v>
      </c>
      <c r="C50" s="38" t="s">
        <v>25</v>
      </c>
    </row>
    <row r="55" spans="1:15" x14ac:dyDescent="0.2">
      <c r="J55" s="22"/>
      <c r="O55" s="22" t="s">
        <v>86</v>
      </c>
    </row>
  </sheetData>
  <conditionalFormatting sqref="M31">
    <cfRule type="cellIs" dxfId="56" priority="19" operator="equal">
      <formula>"Nie"</formula>
    </cfRule>
  </conditionalFormatting>
  <conditionalFormatting sqref="N33">
    <cfRule type="cellIs" dxfId="55" priority="18" operator="equal">
      <formula>"Tak"</formula>
    </cfRule>
  </conditionalFormatting>
  <conditionalFormatting sqref="O34">
    <cfRule type="cellIs" dxfId="54" priority="17" operator="equal">
      <formula>"Typ 4"</formula>
    </cfRule>
  </conditionalFormatting>
  <conditionalFormatting sqref="M37">
    <cfRule type="cellIs" dxfId="53" priority="16" operator="equal">
      <formula>"Nie"</formula>
    </cfRule>
  </conditionalFormatting>
  <conditionalFormatting sqref="N39">
    <cfRule type="cellIs" dxfId="52" priority="15" operator="equal">
      <formula>"Tak"</formula>
    </cfRule>
  </conditionalFormatting>
  <conditionalFormatting sqref="O40">
    <cfRule type="cellIs" dxfId="51" priority="14" operator="equal">
      <formula>"Typ 5"</formula>
    </cfRule>
  </conditionalFormatting>
  <conditionalFormatting sqref="L45">
    <cfRule type="cellIs" dxfId="50" priority="13" operator="equal">
      <formula>"Typ 6"</formula>
    </cfRule>
  </conditionalFormatting>
  <conditionalFormatting sqref="M43">
    <cfRule type="cellIs" dxfId="49" priority="12" operator="equal">
      <formula>"Nie"</formula>
    </cfRule>
  </conditionalFormatting>
  <conditionalFormatting sqref="N26">
    <cfRule type="cellIs" dxfId="48" priority="11" operator="equal">
      <formula>"Tak"</formula>
    </cfRule>
  </conditionalFormatting>
  <conditionalFormatting sqref="R26">
    <cfRule type="cellIs" dxfId="47" priority="10" operator="equal">
      <formula>"Tak"</formula>
    </cfRule>
  </conditionalFormatting>
  <conditionalFormatting sqref="T26">
    <cfRule type="cellIs" dxfId="46" priority="9" operator="equal">
      <formula>"Tak"</formula>
    </cfRule>
  </conditionalFormatting>
  <conditionalFormatting sqref="U27">
    <cfRule type="cellIs" dxfId="45" priority="8" operator="equal">
      <formula>"Typ 1"</formula>
    </cfRule>
  </conditionalFormatting>
  <conditionalFormatting sqref="S31">
    <cfRule type="cellIs" dxfId="44" priority="7" operator="equal">
      <formula>"Nie"</formula>
    </cfRule>
  </conditionalFormatting>
  <conditionalFormatting sqref="Q31">
    <cfRule type="cellIs" dxfId="43" priority="6" operator="equal">
      <formula>"Nie"</formula>
    </cfRule>
  </conditionalFormatting>
  <conditionalFormatting sqref="R36">
    <cfRule type="cellIs" dxfId="42" priority="5" operator="equal">
      <formula>"Tak"</formula>
    </cfRule>
  </conditionalFormatting>
  <conditionalFormatting sqref="Q39">
    <cfRule type="cellIs" dxfId="41" priority="4" operator="equal">
      <formula>"Nie"</formula>
    </cfRule>
  </conditionalFormatting>
  <conditionalFormatting sqref="P42">
    <cfRule type="cellIs" dxfId="40" priority="3" operator="equal">
      <formula>"Błąd"</formula>
    </cfRule>
  </conditionalFormatting>
  <conditionalFormatting sqref="S34">
    <cfRule type="cellIs" dxfId="39" priority="2" operator="equal">
      <formula>"Typ 2"</formula>
    </cfRule>
  </conditionalFormatting>
  <conditionalFormatting sqref="S37">
    <cfRule type="cellIs" dxfId="38" priority="1" operator="equal">
      <formula>"Typ 3"</formula>
    </cfRule>
  </conditionalFormatting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5"/>
  <sheetViews>
    <sheetView showGridLines="0" workbookViewId="0"/>
  </sheetViews>
  <sheetFormatPr defaultRowHeight="12.75" x14ac:dyDescent="0.2"/>
  <cols>
    <col min="1" max="16384" width="9.140625" style="1"/>
  </cols>
  <sheetData>
    <row r="1" spans="1:19" s="19" customFormat="1" ht="23.25" x14ac:dyDescent="0.35">
      <c r="A1" s="21" t="s">
        <v>17</v>
      </c>
    </row>
    <row r="3" spans="1:19" ht="14.25" x14ac:dyDescent="0.2">
      <c r="A3" s="20" t="s">
        <v>1</v>
      </c>
      <c r="B3" s="4"/>
      <c r="C3" s="4"/>
      <c r="D3" s="4"/>
      <c r="E3" s="4"/>
      <c r="F3" s="4"/>
      <c r="G3" s="4"/>
      <c r="H3" s="4"/>
      <c r="I3" s="4"/>
      <c r="K3" s="20" t="s">
        <v>24</v>
      </c>
      <c r="L3" s="4"/>
      <c r="M3" s="4"/>
      <c r="N3" s="4"/>
      <c r="O3" s="4"/>
      <c r="Q3" s="49" t="s">
        <v>75</v>
      </c>
    </row>
    <row r="4" spans="1:19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K4" s="4"/>
      <c r="L4" s="4"/>
      <c r="M4" s="4"/>
      <c r="N4" s="4"/>
      <c r="O4" s="4"/>
      <c r="P4" s="2"/>
    </row>
    <row r="5" spans="1:19" ht="15.75" x14ac:dyDescent="0.3">
      <c r="A5" s="4"/>
      <c r="B5" s="6">
        <v>52.1</v>
      </c>
      <c r="C5" s="4" t="s">
        <v>3</v>
      </c>
      <c r="D5" s="4"/>
      <c r="E5" s="4"/>
      <c r="F5" s="4"/>
      <c r="G5" s="4"/>
      <c r="H5" s="4"/>
      <c r="I5" s="4"/>
      <c r="K5" s="4" t="s">
        <v>83</v>
      </c>
      <c r="L5" s="4"/>
      <c r="M5" s="4"/>
      <c r="N5" s="4"/>
      <c r="O5" s="4"/>
      <c r="P5" s="2"/>
      <c r="Q5" s="31" t="s">
        <v>48</v>
      </c>
      <c r="R5" s="48">
        <f>B44</f>
        <v>1.615</v>
      </c>
      <c r="S5" s="26" t="s">
        <v>6</v>
      </c>
    </row>
    <row r="6" spans="1:19" x14ac:dyDescent="0.2">
      <c r="A6" s="4" t="s">
        <v>4</v>
      </c>
      <c r="B6" s="4"/>
      <c r="C6" s="4"/>
      <c r="D6" s="4"/>
      <c r="E6" s="4"/>
      <c r="F6" s="4"/>
      <c r="G6" s="4"/>
      <c r="H6" s="4"/>
      <c r="I6" s="4"/>
      <c r="K6" s="4" t="s">
        <v>84</v>
      </c>
      <c r="L6" s="4"/>
      <c r="M6" s="4"/>
      <c r="N6" s="4"/>
      <c r="O6" s="4"/>
      <c r="P6" s="2"/>
      <c r="Q6" s="32" t="s">
        <v>60</v>
      </c>
      <c r="R6" s="14">
        <f>L16*L20</f>
        <v>0.05</v>
      </c>
      <c r="S6" s="28" t="s">
        <v>6</v>
      </c>
    </row>
    <row r="7" spans="1:19" ht="15.75" x14ac:dyDescent="0.3">
      <c r="A7" s="4"/>
      <c r="B7" s="41">
        <v>50</v>
      </c>
      <c r="C7" s="4" t="s">
        <v>3</v>
      </c>
      <c r="D7" s="4"/>
      <c r="E7" s="4"/>
      <c r="F7" s="4"/>
      <c r="G7" s="4"/>
      <c r="H7" s="4"/>
      <c r="I7" s="4"/>
      <c r="K7" s="5" t="s">
        <v>61</v>
      </c>
      <c r="L7" s="6">
        <v>1.1000000000000001</v>
      </c>
      <c r="M7" s="4" t="s">
        <v>6</v>
      </c>
      <c r="N7" s="4"/>
      <c r="O7" s="4"/>
      <c r="P7" s="2"/>
      <c r="Q7" s="32" t="s">
        <v>61</v>
      </c>
      <c r="R7" s="35">
        <f>L7</f>
        <v>1.1000000000000001</v>
      </c>
      <c r="S7" s="28" t="s">
        <v>6</v>
      </c>
    </row>
    <row r="8" spans="1:19" ht="15.75" x14ac:dyDescent="0.3">
      <c r="A8" s="4" t="s">
        <v>5</v>
      </c>
      <c r="B8" s="4"/>
      <c r="C8" s="4"/>
      <c r="D8" s="4"/>
      <c r="E8" s="4"/>
      <c r="F8" s="4"/>
      <c r="G8" s="4"/>
      <c r="H8" s="4"/>
      <c r="I8" s="4"/>
      <c r="K8" s="4" t="s">
        <v>85</v>
      </c>
      <c r="L8" s="4"/>
      <c r="M8" s="4"/>
      <c r="N8" s="4"/>
      <c r="O8" s="4"/>
      <c r="P8" s="2"/>
      <c r="Q8" s="32" t="s">
        <v>62</v>
      </c>
      <c r="R8" s="35">
        <f>A26-L22</f>
        <v>1.0649999999999999</v>
      </c>
      <c r="S8" s="28" t="s">
        <v>6</v>
      </c>
    </row>
    <row r="9" spans="1:19" ht="15.75" x14ac:dyDescent="0.3">
      <c r="A9" s="4"/>
      <c r="B9" s="41">
        <v>2</v>
      </c>
      <c r="C9" s="4" t="s">
        <v>6</v>
      </c>
      <c r="D9" s="4"/>
      <c r="E9" s="4"/>
      <c r="F9" s="4"/>
      <c r="G9" s="4"/>
      <c r="H9" s="4"/>
      <c r="I9" s="4"/>
      <c r="K9" s="5" t="s">
        <v>88</v>
      </c>
      <c r="L9" s="6">
        <v>1.4</v>
      </c>
      <c r="M9" s="53" t="s">
        <v>6</v>
      </c>
      <c r="N9" s="4"/>
      <c r="O9" s="4"/>
      <c r="P9" s="2"/>
      <c r="Q9" s="32" t="s">
        <v>56</v>
      </c>
      <c r="R9" s="14">
        <f>L16</f>
        <v>5.0000000000000001E-3</v>
      </c>
      <c r="S9" s="28"/>
    </row>
    <row r="10" spans="1:19" ht="15.75" x14ac:dyDescent="0.3">
      <c r="A10" s="4" t="s">
        <v>7</v>
      </c>
      <c r="B10" s="4"/>
      <c r="C10" s="4"/>
      <c r="D10" s="4"/>
      <c r="E10" s="4"/>
      <c r="F10" s="4"/>
      <c r="G10" s="4"/>
      <c r="H10" s="4"/>
      <c r="I10" s="4"/>
      <c r="K10" s="4" t="s">
        <v>79</v>
      </c>
      <c r="L10" s="4"/>
      <c r="M10" s="4"/>
      <c r="N10" s="4"/>
      <c r="O10" s="4"/>
      <c r="P10" s="2"/>
      <c r="Q10" s="32" t="s">
        <v>63</v>
      </c>
      <c r="R10" s="50">
        <f>(B19/L7/L9)^2*L18^2/B46^(4/3)</f>
        <v>6.2938030975508239E-3</v>
      </c>
      <c r="S10" s="28"/>
    </row>
    <row r="11" spans="1:19" ht="15.75" x14ac:dyDescent="0.3">
      <c r="A11" s="5" t="s">
        <v>28</v>
      </c>
      <c r="B11" s="6">
        <v>2.3E-2</v>
      </c>
      <c r="C11" s="4"/>
      <c r="D11" s="4"/>
      <c r="E11" s="4"/>
      <c r="F11" s="4"/>
      <c r="G11" s="4"/>
      <c r="H11" s="4"/>
      <c r="I11" s="4"/>
      <c r="K11" s="4" t="s">
        <v>70</v>
      </c>
      <c r="L11" s="4"/>
      <c r="M11" s="4"/>
      <c r="N11" s="4"/>
      <c r="O11" s="4"/>
      <c r="P11" s="2"/>
      <c r="Q11" s="32" t="s">
        <v>64</v>
      </c>
      <c r="R11" s="35">
        <f>A34</f>
        <v>1.014</v>
      </c>
      <c r="S11" s="28" t="s">
        <v>6</v>
      </c>
    </row>
    <row r="12" spans="1:19" ht="15.75" x14ac:dyDescent="0.3">
      <c r="A12" s="4" t="s">
        <v>8</v>
      </c>
      <c r="B12" s="4"/>
      <c r="C12" s="4"/>
      <c r="D12" s="4"/>
      <c r="E12" s="4"/>
      <c r="F12" s="4"/>
      <c r="G12" s="4"/>
      <c r="H12" s="4"/>
      <c r="I12" s="4"/>
      <c r="K12" s="5" t="s">
        <v>59</v>
      </c>
      <c r="L12" s="6">
        <v>0.33</v>
      </c>
      <c r="M12" s="4"/>
      <c r="N12" s="4"/>
      <c r="O12" s="4"/>
      <c r="P12" s="2"/>
      <c r="Q12" s="33" t="s">
        <v>65</v>
      </c>
      <c r="R12" s="46">
        <f>B41</f>
        <v>0.96770856188073096</v>
      </c>
      <c r="S12" s="29" t="s">
        <v>6</v>
      </c>
    </row>
    <row r="13" spans="1:19" x14ac:dyDescent="0.2">
      <c r="A13" s="4"/>
      <c r="B13" s="6">
        <v>1.6</v>
      </c>
      <c r="C13" s="30" t="s">
        <v>6</v>
      </c>
      <c r="D13" s="4"/>
      <c r="E13" s="4"/>
      <c r="F13" s="4"/>
      <c r="G13" s="4"/>
      <c r="H13" s="4"/>
      <c r="I13" s="4"/>
      <c r="K13" s="4" t="s">
        <v>71</v>
      </c>
      <c r="L13" s="4"/>
      <c r="M13" s="4"/>
      <c r="N13" s="4"/>
      <c r="O13" s="4"/>
      <c r="P13" s="2"/>
    </row>
    <row r="14" spans="1:19" x14ac:dyDescent="0.2">
      <c r="A14" s="4" t="s">
        <v>9</v>
      </c>
      <c r="B14" s="4"/>
      <c r="C14" s="4"/>
      <c r="D14" s="4"/>
      <c r="E14" s="4"/>
      <c r="F14" s="4"/>
      <c r="G14" s="4"/>
      <c r="H14" s="4"/>
      <c r="I14" s="4"/>
      <c r="K14" s="5" t="s">
        <v>54</v>
      </c>
      <c r="L14" s="45">
        <f>(1/(1+L12))^(1/2)</f>
        <v>0.86710996952412001</v>
      </c>
      <c r="M14" s="4"/>
      <c r="N14" s="4"/>
      <c r="O14" s="4"/>
      <c r="P14" s="2"/>
    </row>
    <row r="15" spans="1:19" ht="15.75" x14ac:dyDescent="0.3">
      <c r="A15" s="5" t="s">
        <v>29</v>
      </c>
      <c r="B15" s="6">
        <v>1E-3</v>
      </c>
      <c r="C15" s="4"/>
      <c r="D15" s="4"/>
      <c r="E15" s="4"/>
      <c r="F15" s="4"/>
      <c r="G15" s="4"/>
      <c r="H15" s="4"/>
      <c r="I15" s="4"/>
      <c r="K15" s="4" t="s">
        <v>72</v>
      </c>
      <c r="L15" s="4"/>
      <c r="M15" s="4"/>
      <c r="N15" s="4"/>
      <c r="O15" s="4"/>
      <c r="P15" s="2"/>
    </row>
    <row r="16" spans="1:19" ht="15.75" x14ac:dyDescent="0.3">
      <c r="A16" s="61" t="s">
        <v>102</v>
      </c>
      <c r="B16" s="4"/>
      <c r="C16" s="4"/>
      <c r="D16" s="4"/>
      <c r="E16" s="4"/>
      <c r="F16" s="4"/>
      <c r="G16" s="4"/>
      <c r="H16" s="4"/>
      <c r="I16" s="4"/>
      <c r="K16" s="5" t="s">
        <v>56</v>
      </c>
      <c r="L16" s="6">
        <v>5.0000000000000001E-3</v>
      </c>
      <c r="M16" s="4"/>
      <c r="N16" s="4"/>
      <c r="O16" s="4"/>
      <c r="P16" s="2"/>
    </row>
    <row r="17" spans="1:22" x14ac:dyDescent="0.2">
      <c r="A17" s="5" t="s">
        <v>30</v>
      </c>
      <c r="B17" s="6">
        <v>1.5</v>
      </c>
      <c r="C17" s="4"/>
      <c r="D17" s="4"/>
      <c r="E17" s="4"/>
      <c r="F17" s="4"/>
      <c r="G17" s="4"/>
      <c r="H17" s="4"/>
      <c r="I17" s="4"/>
      <c r="K17" s="4" t="s">
        <v>73</v>
      </c>
      <c r="L17" s="4"/>
      <c r="M17" s="4"/>
      <c r="N17" s="4"/>
      <c r="O17" s="4"/>
      <c r="P17" s="2"/>
    </row>
    <row r="18" spans="1:22" ht="15.75" x14ac:dyDescent="0.3">
      <c r="A18" s="4" t="s">
        <v>10</v>
      </c>
      <c r="B18" s="4"/>
      <c r="C18" s="4"/>
      <c r="D18" s="4"/>
      <c r="E18" s="4"/>
      <c r="F18" s="4"/>
      <c r="G18" s="4"/>
      <c r="H18" s="4"/>
      <c r="I18" s="4"/>
      <c r="K18" s="5" t="s">
        <v>57</v>
      </c>
      <c r="L18" s="6">
        <v>1.4E-2</v>
      </c>
      <c r="M18" s="4"/>
      <c r="N18" s="4"/>
      <c r="O18" s="4"/>
    </row>
    <row r="19" spans="1:22" ht="15.75" x14ac:dyDescent="0.3">
      <c r="A19" s="5" t="s">
        <v>31</v>
      </c>
      <c r="B19" s="6">
        <v>3.98</v>
      </c>
      <c r="C19" s="4" t="s">
        <v>37</v>
      </c>
      <c r="D19" s="4"/>
      <c r="E19" s="4"/>
      <c r="F19" s="4"/>
      <c r="G19" s="4"/>
      <c r="H19" s="4"/>
      <c r="I19" s="4"/>
      <c r="K19" s="4" t="s">
        <v>74</v>
      </c>
      <c r="L19" s="4"/>
      <c r="M19" s="4"/>
      <c r="N19" s="4"/>
      <c r="O19" s="4"/>
    </row>
    <row r="20" spans="1:22" ht="15.75" x14ac:dyDescent="0.3">
      <c r="A20" s="4" t="s">
        <v>13</v>
      </c>
      <c r="B20" s="4"/>
      <c r="C20" s="4"/>
      <c r="D20" s="4"/>
      <c r="E20" s="4"/>
      <c r="F20" s="4"/>
      <c r="G20" s="4"/>
      <c r="H20" s="4"/>
      <c r="I20" s="4"/>
      <c r="K20" s="5" t="s">
        <v>58</v>
      </c>
      <c r="L20" s="41">
        <v>10</v>
      </c>
      <c r="M20" s="4" t="s">
        <v>6</v>
      </c>
      <c r="N20" s="4"/>
      <c r="O20" s="4"/>
    </row>
    <row r="21" spans="1:22" x14ac:dyDescent="0.2">
      <c r="A21" s="5" t="s">
        <v>23</v>
      </c>
      <c r="B21" s="6">
        <v>1.1000000000000001</v>
      </c>
      <c r="C21" s="4"/>
      <c r="D21" s="4"/>
      <c r="E21" s="4"/>
      <c r="F21" s="4"/>
      <c r="G21" s="4"/>
      <c r="H21" s="4"/>
      <c r="I21" s="4"/>
      <c r="K21" s="4" t="s">
        <v>92</v>
      </c>
      <c r="L21" s="4"/>
      <c r="M21" s="4"/>
      <c r="N21" s="4"/>
      <c r="O21" s="4"/>
    </row>
    <row r="22" spans="1:22" x14ac:dyDescent="0.2">
      <c r="D22" s="2"/>
      <c r="E22" s="2"/>
      <c r="F22" s="2"/>
      <c r="G22" s="2"/>
      <c r="H22" s="2"/>
      <c r="I22" s="2"/>
      <c r="K22" s="5" t="s">
        <v>87</v>
      </c>
      <c r="L22" s="41">
        <v>0</v>
      </c>
      <c r="M22" s="4" t="s">
        <v>6</v>
      </c>
      <c r="N22" s="4"/>
      <c r="O22" s="4"/>
    </row>
    <row r="23" spans="1:22" ht="14.25" x14ac:dyDescent="0.2">
      <c r="A23" s="22" t="s">
        <v>11</v>
      </c>
      <c r="P23" s="49" t="s">
        <v>66</v>
      </c>
    </row>
    <row r="24" spans="1:22" x14ac:dyDescent="0.2">
      <c r="A24" s="1" t="s">
        <v>12</v>
      </c>
      <c r="K24" s="7"/>
      <c r="L24" s="8"/>
      <c r="M24" s="8"/>
      <c r="N24" s="8"/>
      <c r="O24" s="8"/>
      <c r="P24" s="8"/>
      <c r="Q24" s="8"/>
      <c r="R24" s="8"/>
      <c r="S24" s="8"/>
      <c r="T24" s="8"/>
      <c r="U24" s="8"/>
      <c r="V24" s="9"/>
    </row>
    <row r="25" spans="1:22" ht="15.75" x14ac:dyDescent="0.3">
      <c r="A25" s="24" t="s">
        <v>32</v>
      </c>
      <c r="B25" s="24" t="s">
        <v>40</v>
      </c>
      <c r="C25" s="24" t="s">
        <v>33</v>
      </c>
      <c r="D25" s="24" t="s">
        <v>34</v>
      </c>
      <c r="E25" s="24" t="s">
        <v>35</v>
      </c>
      <c r="F25" s="24" t="s">
        <v>36</v>
      </c>
      <c r="I25" s="2"/>
      <c r="K25" s="10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2"/>
    </row>
    <row r="26" spans="1:22" x14ac:dyDescent="0.2">
      <c r="A26" s="23">
        <v>1.0649999999999999</v>
      </c>
      <c r="B26" s="23">
        <f>(B9+B17*A26)*A26</f>
        <v>3.8313375000000001</v>
      </c>
      <c r="C26" s="23">
        <f>B9+2*B17*A26</f>
        <v>5.1950000000000003</v>
      </c>
      <c r="D26" s="23">
        <f>B9+2*A26*(1+B17^2)^0.5</f>
        <v>5.8399121083691483</v>
      </c>
      <c r="E26" s="23">
        <f>B26/D26</f>
        <v>0.65606081545462469</v>
      </c>
      <c r="F26" s="23">
        <f>1/B11*E26^(2/3)*B15^(1/2)</f>
        <v>1.0380897357802197</v>
      </c>
      <c r="K26" s="10"/>
      <c r="L26" s="11"/>
      <c r="M26" s="11"/>
      <c r="N26" s="13" t="str">
        <f>IF(((R5-R6)/R7)&lt;=1.2,"Tak","")</f>
        <v/>
      </c>
      <c r="O26" s="11"/>
      <c r="P26" s="11"/>
      <c r="Q26" s="11"/>
      <c r="R26" s="11" t="str">
        <f>IF(AND(N26="Tak",R8&lt;R12),"Tak","")</f>
        <v/>
      </c>
      <c r="S26" s="11"/>
      <c r="T26" s="11" t="str">
        <f>IF(AND(R26="Tak",R12&gt;R11),"Tak","")</f>
        <v/>
      </c>
      <c r="U26" s="11"/>
      <c r="V26" s="12"/>
    </row>
    <row r="27" spans="1:22" x14ac:dyDescent="0.2">
      <c r="A27" s="1" t="s">
        <v>14</v>
      </c>
      <c r="K27" s="10"/>
      <c r="L27" s="11"/>
      <c r="M27" s="11"/>
      <c r="N27" s="11"/>
      <c r="O27" s="11"/>
      <c r="P27" s="11"/>
      <c r="Q27" s="11"/>
      <c r="R27" s="11"/>
      <c r="S27" s="11"/>
      <c r="T27" s="11" t="s">
        <v>16</v>
      </c>
      <c r="U27" s="14" t="str">
        <f>IF(T26="Tak","Typ 1","")</f>
        <v/>
      </c>
      <c r="V27" s="12"/>
    </row>
    <row r="28" spans="1:22" ht="15.75" x14ac:dyDescent="0.3">
      <c r="A28" s="36" t="s">
        <v>31</v>
      </c>
      <c r="B28" s="34">
        <f>B19</f>
        <v>3.98</v>
      </c>
      <c r="C28" s="26" t="s">
        <v>37</v>
      </c>
      <c r="K28" s="10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2"/>
    </row>
    <row r="29" spans="1:22" ht="15.75" x14ac:dyDescent="0.3">
      <c r="A29" s="37" t="s">
        <v>50</v>
      </c>
      <c r="B29" s="35">
        <f>F26*B26</f>
        <v>3.9772721330598473</v>
      </c>
      <c r="C29" s="28" t="s">
        <v>37</v>
      </c>
      <c r="K29" s="10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2"/>
    </row>
    <row r="30" spans="1:22" x14ac:dyDescent="0.2">
      <c r="A30" s="33" t="s">
        <v>51</v>
      </c>
      <c r="B30" s="39">
        <f>ABS((B28-B29)/B28*100)</f>
        <v>6.8539370355595514E-2</v>
      </c>
      <c r="C30" s="38" t="s">
        <v>25</v>
      </c>
      <c r="K30" s="10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2"/>
    </row>
    <row r="31" spans="1:22" x14ac:dyDescent="0.2">
      <c r="K31" s="10"/>
      <c r="L31" s="11"/>
      <c r="M31" s="15" t="str">
        <f>IF(((R5-R6)/R7)&gt;1.2,"Nie","")</f>
        <v>Nie</v>
      </c>
      <c r="N31" s="11"/>
      <c r="O31" s="11"/>
      <c r="P31" s="11"/>
      <c r="Q31" s="11" t="str">
        <f>IF(AND(N26="Tak",R8&gt;R12),"Nie","")</f>
        <v/>
      </c>
      <c r="R31" s="11"/>
      <c r="S31" s="14" t="str">
        <f>IF(AND(R26="Tak",R12&lt;R11),"Nie","")</f>
        <v/>
      </c>
      <c r="T31" s="11"/>
      <c r="U31" s="11"/>
      <c r="V31" s="12"/>
    </row>
    <row r="32" spans="1:22" x14ac:dyDescent="0.2">
      <c r="A32" s="22" t="s">
        <v>15</v>
      </c>
      <c r="K32" s="10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2"/>
    </row>
    <row r="33" spans="1:22" ht="15.75" x14ac:dyDescent="0.3">
      <c r="A33" s="24" t="s">
        <v>38</v>
      </c>
      <c r="B33" s="40" t="s">
        <v>39</v>
      </c>
      <c r="C33" s="24" t="s">
        <v>41</v>
      </c>
      <c r="D33" s="24" t="s">
        <v>42</v>
      </c>
      <c r="E33" s="24" t="s">
        <v>43</v>
      </c>
      <c r="K33" s="10"/>
      <c r="L33" s="11"/>
      <c r="M33" s="11"/>
      <c r="N33" s="11" t="str">
        <f>IF(AND(M31="Nie",R8&gt;R7),"Tak","")</f>
        <v/>
      </c>
      <c r="O33" s="11"/>
      <c r="P33" s="11"/>
      <c r="Q33" s="11"/>
      <c r="R33" s="11"/>
      <c r="S33" s="11"/>
      <c r="T33" s="11"/>
      <c r="U33" s="11"/>
      <c r="V33" s="12"/>
    </row>
    <row r="34" spans="1:22" x14ac:dyDescent="0.2">
      <c r="A34" s="23">
        <v>1.014</v>
      </c>
      <c r="B34" s="23">
        <f>A34*L9</f>
        <v>1.4196</v>
      </c>
      <c r="C34" s="23">
        <f>2*A34+L9</f>
        <v>3.4279999999999999</v>
      </c>
      <c r="D34" s="23">
        <f>B34/C34</f>
        <v>0.41411901983663946</v>
      </c>
      <c r="E34" s="23">
        <f>1/L18*D34^(2/3)*L16^(1/2)</f>
        <v>2.8061254640661755</v>
      </c>
      <c r="K34" s="10"/>
      <c r="L34" s="11"/>
      <c r="M34" s="11"/>
      <c r="N34" s="11"/>
      <c r="O34" s="14" t="str">
        <f>IF(N33="Tak","Typ 4","")</f>
        <v/>
      </c>
      <c r="P34" s="11"/>
      <c r="Q34" s="11"/>
      <c r="R34" s="11"/>
      <c r="S34" s="14" t="str">
        <f>IF(S31="Nie","Typ 2","")</f>
        <v/>
      </c>
      <c r="T34" s="11"/>
      <c r="U34" s="11"/>
      <c r="V34" s="12"/>
    </row>
    <row r="35" spans="1:22" x14ac:dyDescent="0.2">
      <c r="A35" s="1" t="s">
        <v>14</v>
      </c>
      <c r="K35" s="10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2"/>
    </row>
    <row r="36" spans="1:22" ht="15.75" x14ac:dyDescent="0.3">
      <c r="A36" s="36" t="s">
        <v>31</v>
      </c>
      <c r="B36" s="34">
        <f>B19</f>
        <v>3.98</v>
      </c>
      <c r="C36" s="26" t="s">
        <v>37</v>
      </c>
      <c r="K36" s="10"/>
      <c r="L36" s="11"/>
      <c r="M36" s="11"/>
      <c r="N36" s="11"/>
      <c r="O36" s="11"/>
      <c r="P36" s="11"/>
      <c r="Q36" s="11"/>
      <c r="R36" s="11" t="str">
        <f>IF(AND(Q31="Nie",R11&gt;R12),"Tak","")</f>
        <v/>
      </c>
      <c r="S36" s="11"/>
      <c r="T36" s="11"/>
      <c r="U36" s="11"/>
      <c r="V36" s="12"/>
    </row>
    <row r="37" spans="1:22" ht="15.75" x14ac:dyDescent="0.3">
      <c r="A37" s="37" t="s">
        <v>50</v>
      </c>
      <c r="B37" s="35">
        <f>E34*B34</f>
        <v>3.9835757087883428</v>
      </c>
      <c r="C37" s="28" t="s">
        <v>37</v>
      </c>
      <c r="K37" s="10"/>
      <c r="L37" s="11"/>
      <c r="M37" s="15" t="str">
        <f>IF(AND(M31="Nie",R8&lt;=R7),"Nie","")</f>
        <v>Nie</v>
      </c>
      <c r="N37" s="11"/>
      <c r="O37" s="11"/>
      <c r="P37" s="11"/>
      <c r="Q37" s="11"/>
      <c r="R37" s="11"/>
      <c r="S37" s="14" t="str">
        <f>IF(R36="Tak","Typ 3","")</f>
        <v/>
      </c>
      <c r="T37" s="11"/>
      <c r="U37" s="11"/>
      <c r="V37" s="12"/>
    </row>
    <row r="38" spans="1:22" x14ac:dyDescent="0.2">
      <c r="A38" s="33" t="s">
        <v>51</v>
      </c>
      <c r="B38" s="39">
        <f>ABS((B36-B37)/B36*100)</f>
        <v>8.9841929355346503E-2</v>
      </c>
      <c r="C38" s="38" t="s">
        <v>25</v>
      </c>
      <c r="K38" s="10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2"/>
    </row>
    <row r="39" spans="1:22" x14ac:dyDescent="0.2">
      <c r="K39" s="10"/>
      <c r="L39" s="11"/>
      <c r="M39" s="11"/>
      <c r="N39" s="11" t="str">
        <f>IF(AND(M37="Nie",R10&gt;R9),"Tak","")</f>
        <v>Tak</v>
      </c>
      <c r="O39" s="11"/>
      <c r="P39" s="11"/>
      <c r="Q39" s="11" t="str">
        <f>IF(AND(Q31="Nie",R11&lt;R12),"Nie","")</f>
        <v/>
      </c>
      <c r="R39" s="11"/>
      <c r="S39" s="11"/>
      <c r="T39" s="11"/>
      <c r="U39" s="11"/>
      <c r="V39" s="12"/>
    </row>
    <row r="40" spans="1:22" x14ac:dyDescent="0.2">
      <c r="A40" s="22" t="s">
        <v>19</v>
      </c>
      <c r="K40" s="10"/>
      <c r="L40" s="11"/>
      <c r="M40" s="11"/>
      <c r="N40" s="11"/>
      <c r="O40" s="14" t="str">
        <f>IF(N39="Tak","Typ 5","")</f>
        <v>Typ 5</v>
      </c>
      <c r="P40" s="11"/>
      <c r="Q40" s="11"/>
      <c r="R40" s="11"/>
      <c r="S40" s="11"/>
      <c r="T40" s="11"/>
      <c r="U40" s="11"/>
      <c r="V40" s="12"/>
    </row>
    <row r="41" spans="1:22" ht="15.75" x14ac:dyDescent="0.3">
      <c r="A41" s="51" t="s">
        <v>65</v>
      </c>
      <c r="B41" s="35">
        <f>(B21*B19^2/9.81/L9^2)^(1/3)</f>
        <v>0.96770856188073096</v>
      </c>
      <c r="C41" s="52" t="s">
        <v>6</v>
      </c>
      <c r="D41" s="14"/>
      <c r="K41" s="10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2"/>
    </row>
    <row r="42" spans="1:22" x14ac:dyDescent="0.2">
      <c r="B42" s="35"/>
      <c r="C42" s="35"/>
      <c r="D42" s="25"/>
      <c r="K42" s="10"/>
      <c r="L42" s="11"/>
      <c r="M42" s="11"/>
      <c r="N42" s="11"/>
      <c r="O42" s="11"/>
      <c r="P42" s="14" t="str">
        <f>IF(Q39="Nie","Błąd","")</f>
        <v/>
      </c>
      <c r="Q42" s="11"/>
      <c r="R42" s="11"/>
      <c r="S42" s="11"/>
      <c r="T42" s="11"/>
      <c r="U42" s="11"/>
      <c r="V42" s="12"/>
    </row>
    <row r="43" spans="1:22" x14ac:dyDescent="0.2">
      <c r="A43" s="22" t="s">
        <v>27</v>
      </c>
      <c r="K43" s="10"/>
      <c r="L43" s="11"/>
      <c r="M43" s="11" t="str">
        <f>IF(AND(M37="Nie",R10&lt;=R9),"Nie","")</f>
        <v/>
      </c>
      <c r="N43" s="11"/>
      <c r="O43" s="11"/>
      <c r="P43" s="11"/>
      <c r="Q43" s="11"/>
      <c r="R43" s="11"/>
      <c r="S43" s="11"/>
      <c r="T43" s="11"/>
      <c r="U43" s="11"/>
      <c r="V43" s="12"/>
    </row>
    <row r="44" spans="1:22" ht="15.75" x14ac:dyDescent="0.3">
      <c r="A44" s="42" t="s">
        <v>48</v>
      </c>
      <c r="B44" s="43">
        <v>1.615</v>
      </c>
      <c r="C44" s="44" t="s">
        <v>6</v>
      </c>
      <c r="E44"/>
      <c r="K44" s="10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2"/>
    </row>
    <row r="45" spans="1:22" ht="15.75" x14ac:dyDescent="0.3">
      <c r="A45" s="42" t="s">
        <v>89</v>
      </c>
      <c r="B45" s="43">
        <f>L7*L9</f>
        <v>1.54</v>
      </c>
      <c r="C45" s="1" t="s">
        <v>82</v>
      </c>
      <c r="K45" s="10"/>
      <c r="L45" s="14" t="str">
        <f>IF(M43="Nie","Typ 6","")</f>
        <v/>
      </c>
      <c r="M45" s="11"/>
      <c r="N45" s="11"/>
      <c r="O45" s="11"/>
      <c r="P45" s="11"/>
      <c r="Q45" s="11"/>
      <c r="R45" s="11"/>
      <c r="S45" s="11"/>
      <c r="T45" s="11"/>
      <c r="U45" s="11"/>
      <c r="V45" s="12"/>
    </row>
    <row r="46" spans="1:22" ht="15.75" x14ac:dyDescent="0.3">
      <c r="A46" s="42" t="s">
        <v>90</v>
      </c>
      <c r="B46" s="3">
        <f>(L7*L9)/(2*L7+2*L9)</f>
        <v>0.308</v>
      </c>
      <c r="C46" s="1" t="s">
        <v>6</v>
      </c>
      <c r="K46" s="16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8"/>
    </row>
    <row r="47" spans="1:22" x14ac:dyDescent="0.2">
      <c r="A47" s="1" t="s">
        <v>14</v>
      </c>
    </row>
    <row r="48" spans="1:22" ht="15.75" x14ac:dyDescent="0.3">
      <c r="A48" s="36" t="s">
        <v>31</v>
      </c>
      <c r="B48" s="34">
        <f>B19</f>
        <v>3.98</v>
      </c>
      <c r="C48" s="26" t="s">
        <v>37</v>
      </c>
    </row>
    <row r="49" spans="1:15" ht="15.75" x14ac:dyDescent="0.3">
      <c r="A49" s="37" t="s">
        <v>50</v>
      </c>
      <c r="B49" s="35">
        <f>L14*B45*((19.62*(B44-L7))/(1+19.62*L14^2*L18^2*L20/B46^(4/3)))^(1/2)</f>
        <v>3.977268148814078</v>
      </c>
      <c r="C49" s="28" t="s">
        <v>37</v>
      </c>
    </row>
    <row r="50" spans="1:15" x14ac:dyDescent="0.2">
      <c r="A50" s="33" t="s">
        <v>51</v>
      </c>
      <c r="B50" s="39">
        <f>ABS((B48-B49)/B48*100)</f>
        <v>6.8639477033216267E-2</v>
      </c>
      <c r="C50" s="38" t="s">
        <v>25</v>
      </c>
    </row>
    <row r="55" spans="1:15" x14ac:dyDescent="0.2">
      <c r="J55" s="22"/>
      <c r="O55" s="22" t="s">
        <v>91</v>
      </c>
    </row>
  </sheetData>
  <conditionalFormatting sqref="M31">
    <cfRule type="cellIs" dxfId="37" priority="19" operator="equal">
      <formula>"Nie"</formula>
    </cfRule>
  </conditionalFormatting>
  <conditionalFormatting sqref="N33">
    <cfRule type="cellIs" dxfId="36" priority="18" operator="equal">
      <formula>"Tak"</formula>
    </cfRule>
  </conditionalFormatting>
  <conditionalFormatting sqref="O34">
    <cfRule type="cellIs" dxfId="35" priority="17" operator="equal">
      <formula>"Typ 4"</formula>
    </cfRule>
  </conditionalFormatting>
  <conditionalFormatting sqref="M37">
    <cfRule type="cellIs" dxfId="34" priority="16" operator="equal">
      <formula>"Nie"</formula>
    </cfRule>
  </conditionalFormatting>
  <conditionalFormatting sqref="N39">
    <cfRule type="cellIs" dxfId="33" priority="15" operator="equal">
      <formula>"Tak"</formula>
    </cfRule>
  </conditionalFormatting>
  <conditionalFormatting sqref="O40">
    <cfRule type="cellIs" dxfId="32" priority="14" operator="equal">
      <formula>"Typ 5"</formula>
    </cfRule>
  </conditionalFormatting>
  <conditionalFormatting sqref="L45">
    <cfRule type="cellIs" dxfId="31" priority="13" operator="equal">
      <formula>"Typ 6"</formula>
    </cfRule>
  </conditionalFormatting>
  <conditionalFormatting sqref="M43">
    <cfRule type="cellIs" dxfId="30" priority="12" operator="equal">
      <formula>"Nie"</formula>
    </cfRule>
  </conditionalFormatting>
  <conditionalFormatting sqref="N26">
    <cfRule type="cellIs" dxfId="29" priority="11" operator="equal">
      <formula>"Tak"</formula>
    </cfRule>
  </conditionalFormatting>
  <conditionalFormatting sqref="R26">
    <cfRule type="cellIs" dxfId="28" priority="10" operator="equal">
      <formula>"Tak"</formula>
    </cfRule>
  </conditionalFormatting>
  <conditionalFormatting sqref="T26">
    <cfRule type="cellIs" dxfId="27" priority="9" operator="equal">
      <formula>"Tak"</formula>
    </cfRule>
  </conditionalFormatting>
  <conditionalFormatting sqref="U27">
    <cfRule type="cellIs" dxfId="26" priority="8" operator="equal">
      <formula>"Typ 1"</formula>
    </cfRule>
  </conditionalFormatting>
  <conditionalFormatting sqref="S31">
    <cfRule type="cellIs" dxfId="25" priority="7" operator="equal">
      <formula>"Nie"</formula>
    </cfRule>
  </conditionalFormatting>
  <conditionalFormatting sqref="Q31">
    <cfRule type="cellIs" dxfId="24" priority="6" operator="equal">
      <formula>"Nie"</formula>
    </cfRule>
  </conditionalFormatting>
  <conditionalFormatting sqref="R36">
    <cfRule type="cellIs" dxfId="23" priority="5" operator="equal">
      <formula>"Tak"</formula>
    </cfRule>
  </conditionalFormatting>
  <conditionalFormatting sqref="Q39">
    <cfRule type="cellIs" dxfId="22" priority="4" operator="equal">
      <formula>"Nie"</formula>
    </cfRule>
  </conditionalFormatting>
  <conditionalFormatting sqref="P42">
    <cfRule type="cellIs" dxfId="21" priority="3" operator="equal">
      <formula>"Błąd"</formula>
    </cfRule>
  </conditionalFormatting>
  <conditionalFormatting sqref="S34">
    <cfRule type="cellIs" dxfId="20" priority="2" operator="equal">
      <formula>"Typ 2"</formula>
    </cfRule>
  </conditionalFormatting>
  <conditionalFormatting sqref="S37">
    <cfRule type="cellIs" dxfId="19" priority="1" operator="equal">
      <formula>"Typ 3"</formula>
    </cfRule>
  </conditionalFormatting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5"/>
  <sheetViews>
    <sheetView showGridLines="0" workbookViewId="0"/>
  </sheetViews>
  <sheetFormatPr defaultRowHeight="12.75" x14ac:dyDescent="0.2"/>
  <cols>
    <col min="1" max="16384" width="9.140625" style="1"/>
  </cols>
  <sheetData>
    <row r="1" spans="1:19" s="19" customFormat="1" ht="23.25" x14ac:dyDescent="0.35">
      <c r="A1" s="21" t="s">
        <v>18</v>
      </c>
    </row>
    <row r="3" spans="1:19" ht="14.25" x14ac:dyDescent="0.2">
      <c r="A3" s="20" t="s">
        <v>1</v>
      </c>
      <c r="B3" s="4"/>
      <c r="C3" s="4"/>
      <c r="D3" s="4"/>
      <c r="E3" s="4"/>
      <c r="F3" s="4"/>
      <c r="G3" s="4"/>
      <c r="H3" s="4"/>
      <c r="I3" s="4"/>
      <c r="K3" s="20" t="s">
        <v>24</v>
      </c>
      <c r="L3" s="4"/>
      <c r="M3" s="4"/>
      <c r="N3" s="4"/>
      <c r="O3" s="4"/>
      <c r="Q3" s="49" t="s">
        <v>75</v>
      </c>
    </row>
    <row r="4" spans="1:19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K4" s="4"/>
      <c r="L4" s="4"/>
      <c r="M4" s="4"/>
      <c r="N4" s="4"/>
      <c r="O4" s="4"/>
      <c r="P4" s="2"/>
    </row>
    <row r="5" spans="1:19" ht="15.75" x14ac:dyDescent="0.3">
      <c r="A5" s="4"/>
      <c r="B5" s="6">
        <v>52.1</v>
      </c>
      <c r="C5" s="4" t="s">
        <v>3</v>
      </c>
      <c r="D5" s="4"/>
      <c r="E5" s="4"/>
      <c r="F5" s="4"/>
      <c r="G5" s="4"/>
      <c r="H5" s="4"/>
      <c r="I5" s="4"/>
      <c r="K5" s="4" t="s">
        <v>68</v>
      </c>
      <c r="L5" s="4"/>
      <c r="M5" s="4"/>
      <c r="N5" s="4"/>
      <c r="O5" s="4"/>
      <c r="P5" s="2"/>
      <c r="Q5" s="31" t="s">
        <v>48</v>
      </c>
      <c r="R5" s="48">
        <f>B49</f>
        <v>1.63</v>
      </c>
      <c r="S5" s="26" t="s">
        <v>6</v>
      </c>
    </row>
    <row r="6" spans="1:19" x14ac:dyDescent="0.2">
      <c r="A6" s="4" t="s">
        <v>4</v>
      </c>
      <c r="B6" s="4"/>
      <c r="C6" s="4"/>
      <c r="D6" s="4"/>
      <c r="E6" s="4"/>
      <c r="F6" s="4"/>
      <c r="G6" s="4"/>
      <c r="H6" s="4"/>
      <c r="I6" s="4"/>
      <c r="K6" s="4" t="s">
        <v>67</v>
      </c>
      <c r="L6" s="4"/>
      <c r="M6" s="4"/>
      <c r="N6" s="4"/>
      <c r="O6" s="4"/>
      <c r="P6" s="2"/>
      <c r="Q6" s="32" t="s">
        <v>60</v>
      </c>
      <c r="R6" s="14">
        <f>L14*L18</f>
        <v>0.2</v>
      </c>
      <c r="S6" s="28" t="s">
        <v>6</v>
      </c>
    </row>
    <row r="7" spans="1:19" ht="15.75" x14ac:dyDescent="0.3">
      <c r="A7" s="4"/>
      <c r="B7" s="41">
        <v>50</v>
      </c>
      <c r="C7" s="4" t="s">
        <v>3</v>
      </c>
      <c r="D7" s="4"/>
      <c r="E7" s="4"/>
      <c r="F7" s="4"/>
      <c r="G7" s="4"/>
      <c r="H7" s="4"/>
      <c r="I7" s="4"/>
      <c r="K7" s="5" t="s">
        <v>55</v>
      </c>
      <c r="L7" s="6">
        <v>1.1000000000000001</v>
      </c>
      <c r="M7" s="4" t="s">
        <v>6</v>
      </c>
      <c r="N7" s="4"/>
      <c r="O7" s="4"/>
      <c r="P7" s="2"/>
      <c r="Q7" s="32" t="s">
        <v>61</v>
      </c>
      <c r="R7" s="35">
        <f>L7</f>
        <v>1.1000000000000001</v>
      </c>
      <c r="S7" s="28" t="s">
        <v>6</v>
      </c>
    </row>
    <row r="8" spans="1:19" ht="15.75" x14ac:dyDescent="0.3">
      <c r="A8" s="4" t="s">
        <v>5</v>
      </c>
      <c r="B8" s="4"/>
      <c r="C8" s="4"/>
      <c r="D8" s="4"/>
      <c r="E8" s="4"/>
      <c r="F8" s="4"/>
      <c r="G8" s="4"/>
      <c r="H8" s="4"/>
      <c r="I8" s="4"/>
      <c r="K8" s="4" t="s">
        <v>94</v>
      </c>
      <c r="L8" s="4"/>
      <c r="M8" s="4"/>
      <c r="N8" s="4"/>
      <c r="O8" s="4"/>
      <c r="P8" s="2"/>
      <c r="Q8" s="32" t="s">
        <v>62</v>
      </c>
      <c r="R8" s="35">
        <f>A26-L20</f>
        <v>1.0649999999999999</v>
      </c>
      <c r="S8" s="28" t="s">
        <v>6</v>
      </c>
    </row>
    <row r="9" spans="1:19" ht="15.75" x14ac:dyDescent="0.3">
      <c r="A9" s="4"/>
      <c r="B9" s="41">
        <v>2</v>
      </c>
      <c r="C9" s="4" t="s">
        <v>6</v>
      </c>
      <c r="D9" s="4"/>
      <c r="E9" s="4"/>
      <c r="F9" s="4"/>
      <c r="G9" s="4"/>
      <c r="H9" s="4"/>
      <c r="I9" s="4"/>
      <c r="K9" s="4" t="s">
        <v>70</v>
      </c>
      <c r="L9" s="4"/>
      <c r="M9" s="4"/>
      <c r="N9" s="4"/>
      <c r="O9" s="4"/>
      <c r="P9" s="2"/>
      <c r="Q9" s="32" t="s">
        <v>56</v>
      </c>
      <c r="R9" s="50">
        <f>L14</f>
        <v>0.02</v>
      </c>
      <c r="S9" s="28"/>
    </row>
    <row r="10" spans="1:19" ht="15.75" x14ac:dyDescent="0.3">
      <c r="A10" s="4" t="s">
        <v>7</v>
      </c>
      <c r="B10" s="4"/>
      <c r="C10" s="4"/>
      <c r="D10" s="4"/>
      <c r="E10" s="4"/>
      <c r="F10" s="4"/>
      <c r="G10" s="4"/>
      <c r="H10" s="4"/>
      <c r="I10" s="4"/>
      <c r="K10" s="5" t="s">
        <v>59</v>
      </c>
      <c r="L10" s="6">
        <v>0.6</v>
      </c>
      <c r="M10" s="4"/>
      <c r="N10" s="4"/>
      <c r="O10" s="4"/>
      <c r="P10" s="2"/>
      <c r="Q10" s="32" t="s">
        <v>63</v>
      </c>
      <c r="R10" s="50">
        <f>(B19/(PI()*L7^2/4))^2*L16^2/(L7/4)^(4/3)</f>
        <v>1.9223307823210873E-2</v>
      </c>
      <c r="S10" s="28"/>
    </row>
    <row r="11" spans="1:19" ht="15.75" x14ac:dyDescent="0.3">
      <c r="A11" s="5" t="s">
        <v>28</v>
      </c>
      <c r="B11" s="6">
        <v>2.3E-2</v>
      </c>
      <c r="C11" s="4"/>
      <c r="D11" s="4"/>
      <c r="E11" s="4"/>
      <c r="F11" s="4"/>
      <c r="G11" s="4"/>
      <c r="H11" s="4"/>
      <c r="I11" s="4"/>
      <c r="K11" s="4" t="s">
        <v>71</v>
      </c>
      <c r="L11" s="4"/>
      <c r="M11" s="4"/>
      <c r="N11" s="4"/>
      <c r="O11" s="4"/>
      <c r="P11" s="2"/>
      <c r="Q11" s="32" t="s">
        <v>64</v>
      </c>
      <c r="R11" s="35">
        <f>A34</f>
        <v>0.88200000000000001</v>
      </c>
      <c r="S11" s="28" t="s">
        <v>6</v>
      </c>
    </row>
    <row r="12" spans="1:19" ht="15.75" x14ac:dyDescent="0.3">
      <c r="A12" s="4" t="s">
        <v>8</v>
      </c>
      <c r="B12" s="4"/>
      <c r="C12" s="4"/>
      <c r="D12" s="4"/>
      <c r="E12" s="4"/>
      <c r="F12" s="4"/>
      <c r="G12" s="4"/>
      <c r="H12" s="4"/>
      <c r="I12" s="4"/>
      <c r="K12" s="5" t="s">
        <v>54</v>
      </c>
      <c r="L12" s="45">
        <f>(1/(1+L10))^(1/2)</f>
        <v>0.79056941504209488</v>
      </c>
      <c r="M12" s="4"/>
      <c r="N12" s="4"/>
      <c r="O12" s="4"/>
      <c r="P12" s="2"/>
      <c r="Q12" s="33" t="s">
        <v>65</v>
      </c>
      <c r="R12" s="46">
        <f>A42</f>
        <v>1.05</v>
      </c>
      <c r="S12" s="29" t="s">
        <v>6</v>
      </c>
    </row>
    <row r="13" spans="1:19" x14ac:dyDescent="0.2">
      <c r="A13" s="4"/>
      <c r="B13" s="6">
        <v>1.9</v>
      </c>
      <c r="C13" s="30" t="s">
        <v>6</v>
      </c>
      <c r="D13" s="4"/>
      <c r="E13" s="4"/>
      <c r="F13" s="4"/>
      <c r="G13" s="4"/>
      <c r="H13" s="4"/>
      <c r="I13" s="4"/>
      <c r="K13" s="4" t="s">
        <v>72</v>
      </c>
      <c r="L13" s="4"/>
      <c r="M13" s="4"/>
      <c r="N13" s="4"/>
      <c r="O13" s="4"/>
      <c r="P13" s="2"/>
    </row>
    <row r="14" spans="1:19" ht="15.75" x14ac:dyDescent="0.3">
      <c r="A14" s="4" t="s">
        <v>9</v>
      </c>
      <c r="B14" s="4"/>
      <c r="C14" s="4"/>
      <c r="D14" s="4"/>
      <c r="E14" s="4"/>
      <c r="F14" s="4"/>
      <c r="G14" s="4"/>
      <c r="H14" s="4"/>
      <c r="I14" s="4"/>
      <c r="K14" s="5" t="s">
        <v>56</v>
      </c>
      <c r="L14" s="6">
        <v>0.02</v>
      </c>
      <c r="M14" s="4"/>
      <c r="N14" s="4"/>
      <c r="O14" s="4"/>
      <c r="P14" s="2"/>
    </row>
    <row r="15" spans="1:19" ht="15.75" x14ac:dyDescent="0.3">
      <c r="A15" s="5" t="s">
        <v>29</v>
      </c>
      <c r="B15" s="6">
        <v>1E-3</v>
      </c>
      <c r="C15" s="4"/>
      <c r="D15" s="4"/>
      <c r="E15" s="4"/>
      <c r="F15" s="4"/>
      <c r="G15" s="4"/>
      <c r="H15" s="4"/>
      <c r="I15" s="4"/>
      <c r="K15" s="4" t="s">
        <v>73</v>
      </c>
      <c r="L15" s="4"/>
      <c r="M15" s="4"/>
      <c r="N15" s="4"/>
      <c r="O15" s="4"/>
      <c r="P15" s="2"/>
    </row>
    <row r="16" spans="1:19" ht="15.75" x14ac:dyDescent="0.3">
      <c r="A16" s="61" t="s">
        <v>102</v>
      </c>
      <c r="B16" s="4"/>
      <c r="C16" s="4"/>
      <c r="D16" s="4"/>
      <c r="E16" s="4"/>
      <c r="F16" s="4"/>
      <c r="G16" s="4"/>
      <c r="H16" s="4"/>
      <c r="I16" s="4"/>
      <c r="K16" s="5" t="s">
        <v>57</v>
      </c>
      <c r="L16" s="6">
        <v>1.4E-2</v>
      </c>
      <c r="M16" s="4"/>
      <c r="N16" s="4"/>
      <c r="O16" s="4"/>
      <c r="P16" s="2"/>
    </row>
    <row r="17" spans="1:22" x14ac:dyDescent="0.2">
      <c r="A17" s="5" t="s">
        <v>30</v>
      </c>
      <c r="B17" s="6">
        <v>1.5</v>
      </c>
      <c r="C17" s="4"/>
      <c r="D17" s="4"/>
      <c r="E17" s="4"/>
      <c r="F17" s="4"/>
      <c r="G17" s="4"/>
      <c r="H17" s="4"/>
      <c r="I17" s="4"/>
      <c r="K17" s="4" t="s">
        <v>74</v>
      </c>
      <c r="L17" s="4"/>
      <c r="M17" s="4"/>
      <c r="N17" s="4"/>
      <c r="O17" s="4"/>
      <c r="P17" s="2"/>
    </row>
    <row r="18" spans="1:22" ht="15.75" x14ac:dyDescent="0.3">
      <c r="A18" s="4" t="s">
        <v>10</v>
      </c>
      <c r="B18" s="4"/>
      <c r="C18" s="4"/>
      <c r="D18" s="4"/>
      <c r="E18" s="4"/>
      <c r="F18" s="4"/>
      <c r="G18" s="4"/>
      <c r="H18" s="4"/>
      <c r="I18" s="4"/>
      <c r="K18" s="5" t="s">
        <v>58</v>
      </c>
      <c r="L18" s="41">
        <v>10</v>
      </c>
      <c r="M18" s="4" t="s">
        <v>6</v>
      </c>
      <c r="N18" s="4"/>
      <c r="O18" s="4"/>
    </row>
    <row r="19" spans="1:22" ht="15.75" x14ac:dyDescent="0.3">
      <c r="A19" s="5" t="s">
        <v>31</v>
      </c>
      <c r="B19" s="6">
        <v>3.98</v>
      </c>
      <c r="C19" s="4" t="s">
        <v>37</v>
      </c>
      <c r="D19" s="4"/>
      <c r="E19" s="4"/>
      <c r="F19" s="4"/>
      <c r="G19" s="4"/>
      <c r="H19" s="4"/>
      <c r="I19" s="4"/>
      <c r="K19" s="4" t="s">
        <v>92</v>
      </c>
      <c r="L19" s="4"/>
      <c r="M19" s="4"/>
      <c r="N19" s="4"/>
      <c r="O19" s="4"/>
    </row>
    <row r="20" spans="1:22" x14ac:dyDescent="0.2">
      <c r="A20" s="4" t="s">
        <v>13</v>
      </c>
      <c r="B20" s="4"/>
      <c r="C20" s="4"/>
      <c r="D20" s="4"/>
      <c r="E20" s="4"/>
      <c r="F20" s="4"/>
      <c r="G20" s="4"/>
      <c r="H20" s="4"/>
      <c r="I20" s="4"/>
      <c r="K20" s="5" t="s">
        <v>87</v>
      </c>
      <c r="L20" s="41">
        <v>0</v>
      </c>
      <c r="M20" s="4" t="s">
        <v>6</v>
      </c>
      <c r="N20" s="4"/>
      <c r="O20" s="4"/>
    </row>
    <row r="21" spans="1:22" ht="14.25" x14ac:dyDescent="0.2">
      <c r="A21" s="5" t="s">
        <v>23</v>
      </c>
      <c r="B21" s="6">
        <v>1.1000000000000001</v>
      </c>
      <c r="C21" s="4"/>
      <c r="D21" s="4"/>
      <c r="E21" s="4"/>
      <c r="F21" s="4"/>
      <c r="G21" s="4"/>
      <c r="H21" s="4"/>
      <c r="I21" s="4"/>
      <c r="P21" s="49" t="s">
        <v>66</v>
      </c>
    </row>
    <row r="22" spans="1:22" x14ac:dyDescent="0.2">
      <c r="D22" s="2"/>
      <c r="E22" s="2"/>
      <c r="F22" s="2"/>
      <c r="G22" s="2"/>
      <c r="H22" s="2"/>
      <c r="I22" s="2"/>
      <c r="K22" s="7"/>
      <c r="L22" s="8"/>
      <c r="M22" s="8"/>
      <c r="N22" s="8"/>
      <c r="O22" s="8"/>
      <c r="P22" s="8"/>
      <c r="Q22" s="8"/>
      <c r="R22" s="8"/>
      <c r="S22" s="8"/>
      <c r="T22" s="8"/>
      <c r="U22" s="8"/>
      <c r="V22" s="9"/>
    </row>
    <row r="23" spans="1:22" x14ac:dyDescent="0.2">
      <c r="A23" s="22" t="s">
        <v>11</v>
      </c>
      <c r="K23" s="10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2"/>
    </row>
    <row r="24" spans="1:22" x14ac:dyDescent="0.2">
      <c r="A24" s="1" t="s">
        <v>12</v>
      </c>
      <c r="K24" s="10"/>
      <c r="L24" s="11"/>
      <c r="M24" s="11"/>
      <c r="N24" s="13" t="str">
        <f>IF(((R5-R6)/R7)&lt;=1.2,"Tak","")</f>
        <v/>
      </c>
      <c r="O24" s="11"/>
      <c r="P24" s="11"/>
      <c r="Q24" s="11"/>
      <c r="R24" s="11" t="str">
        <f>IF(AND(N24="Tak",R8&lt;R12),"Tak","")</f>
        <v/>
      </c>
      <c r="S24" s="11"/>
      <c r="T24" s="11" t="str">
        <f>IF(AND(R24="Tak",R12&gt;R11),"Tak","")</f>
        <v/>
      </c>
      <c r="U24" s="11"/>
      <c r="V24" s="12"/>
    </row>
    <row r="25" spans="1:22" ht="15.75" x14ac:dyDescent="0.3">
      <c r="A25" s="24" t="s">
        <v>32</v>
      </c>
      <c r="B25" s="24" t="s">
        <v>40</v>
      </c>
      <c r="C25" s="24" t="s">
        <v>33</v>
      </c>
      <c r="D25" s="24" t="s">
        <v>34</v>
      </c>
      <c r="E25" s="24" t="s">
        <v>35</v>
      </c>
      <c r="F25" s="24" t="s">
        <v>36</v>
      </c>
      <c r="I25" s="2"/>
      <c r="K25" s="10"/>
      <c r="L25" s="11"/>
      <c r="M25" s="11"/>
      <c r="N25" s="11"/>
      <c r="O25" s="11"/>
      <c r="P25" s="11"/>
      <c r="Q25" s="11"/>
      <c r="R25" s="11"/>
      <c r="S25" s="11"/>
      <c r="T25" s="11" t="s">
        <v>16</v>
      </c>
      <c r="U25" s="14" t="str">
        <f>IF(T24="Tak","Typ 1","")</f>
        <v/>
      </c>
      <c r="V25" s="12"/>
    </row>
    <row r="26" spans="1:22" x14ac:dyDescent="0.2">
      <c r="A26" s="23">
        <v>1.0649999999999999</v>
      </c>
      <c r="B26" s="23">
        <f>(B9+B17*A26)*A26</f>
        <v>3.8313375000000001</v>
      </c>
      <c r="C26" s="23">
        <f>B9+2*B17*A26</f>
        <v>5.1950000000000003</v>
      </c>
      <c r="D26" s="23">
        <f>B9+2*A26*(1+B17^2)^0.5</f>
        <v>5.8399121083691483</v>
      </c>
      <c r="E26" s="23">
        <f>B26/D26</f>
        <v>0.65606081545462469</v>
      </c>
      <c r="F26" s="23">
        <f>1/B11*E26^(2/3)*B15^(1/2)</f>
        <v>1.0380897357802197</v>
      </c>
      <c r="K26" s="10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2"/>
    </row>
    <row r="27" spans="1:22" x14ac:dyDescent="0.2">
      <c r="A27" s="1" t="s">
        <v>14</v>
      </c>
      <c r="K27" s="10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2"/>
    </row>
    <row r="28" spans="1:22" ht="15.75" x14ac:dyDescent="0.3">
      <c r="A28" s="36" t="s">
        <v>31</v>
      </c>
      <c r="B28" s="34">
        <f>B19</f>
        <v>3.98</v>
      </c>
      <c r="C28" s="26" t="s">
        <v>37</v>
      </c>
      <c r="K28" s="10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2"/>
    </row>
    <row r="29" spans="1:22" ht="15.75" x14ac:dyDescent="0.3">
      <c r="A29" s="37" t="s">
        <v>50</v>
      </c>
      <c r="B29" s="35">
        <f>F26*B26</f>
        <v>3.9772721330598473</v>
      </c>
      <c r="C29" s="28" t="s">
        <v>37</v>
      </c>
      <c r="K29" s="10"/>
      <c r="L29" s="11"/>
      <c r="M29" s="15" t="str">
        <f>IF(((R5-R6)/R7)&gt;1.2,"Nie","")</f>
        <v>Nie</v>
      </c>
      <c r="N29" s="11"/>
      <c r="O29" s="11"/>
      <c r="P29" s="11"/>
      <c r="Q29" s="11" t="str">
        <f>IF(AND(N24="Tak",R8&gt;R12),"Nie","")</f>
        <v/>
      </c>
      <c r="R29" s="11"/>
      <c r="S29" s="14" t="str">
        <f>IF(AND(R24="Tak",R12&lt;R11),"Nie","")</f>
        <v/>
      </c>
      <c r="T29" s="11"/>
      <c r="U29" s="11"/>
      <c r="V29" s="12"/>
    </row>
    <row r="30" spans="1:22" x14ac:dyDescent="0.2">
      <c r="A30" s="33" t="s">
        <v>51</v>
      </c>
      <c r="B30" s="39">
        <f>ABS((B28-B29)/B28*100)</f>
        <v>6.8539370355595514E-2</v>
      </c>
      <c r="C30" s="38" t="s">
        <v>25</v>
      </c>
      <c r="K30" s="10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2"/>
    </row>
    <row r="31" spans="1:22" x14ac:dyDescent="0.2">
      <c r="K31" s="10"/>
      <c r="L31" s="11"/>
      <c r="M31" s="11"/>
      <c r="N31" s="11" t="str">
        <f>IF(AND(M29="Nie",R8&gt;R7),"Tak","")</f>
        <v/>
      </c>
      <c r="O31" s="11"/>
      <c r="P31" s="11"/>
      <c r="Q31" s="11"/>
      <c r="R31" s="11"/>
      <c r="S31" s="11"/>
      <c r="T31" s="11"/>
      <c r="U31" s="11"/>
      <c r="V31" s="12"/>
    </row>
    <row r="32" spans="1:22" x14ac:dyDescent="0.2">
      <c r="A32" s="22" t="s">
        <v>15</v>
      </c>
      <c r="K32" s="10"/>
      <c r="L32" s="11"/>
      <c r="M32" s="11"/>
      <c r="N32" s="11"/>
      <c r="O32" s="14" t="str">
        <f>IF(N31="Tak","Typ 4","")</f>
        <v/>
      </c>
      <c r="P32" s="11"/>
      <c r="Q32" s="11"/>
      <c r="R32" s="11"/>
      <c r="S32" s="14" t="str">
        <f>IF(S29="Nie","Typ 2","")</f>
        <v/>
      </c>
      <c r="T32" s="11"/>
      <c r="U32" s="11"/>
      <c r="V32" s="12"/>
    </row>
    <row r="33" spans="1:22" ht="15.75" x14ac:dyDescent="0.3">
      <c r="A33" s="24" t="s">
        <v>38</v>
      </c>
      <c r="B33" s="40" t="s">
        <v>39</v>
      </c>
      <c r="C33" s="24" t="s">
        <v>41</v>
      </c>
      <c r="D33" s="24" t="s">
        <v>42</v>
      </c>
      <c r="E33" s="24" t="s">
        <v>43</v>
      </c>
      <c r="K33" s="10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2"/>
    </row>
    <row r="34" spans="1:22" x14ac:dyDescent="0.2">
      <c r="A34" s="23">
        <v>0.88200000000000001</v>
      </c>
      <c r="B34" s="23">
        <f>(2*ASIN((A34-L7/2)/(L7/2))+PI())/2*(L7/2)^2+L7/2*COS(ASIN((A34-L7/2)/(L7/2)))*(A34-L7/2)</f>
        <v>0.81678196477140308</v>
      </c>
      <c r="C34" s="23">
        <f>(2*ASIN((A34-L7/2)/(L7/2))+PI())*L7/2</f>
        <v>2.4407357484041974</v>
      </c>
      <c r="D34" s="23">
        <f>B34/C34</f>
        <v>0.33464579904048675</v>
      </c>
      <c r="E34" s="23">
        <f>1/L16*D34^(2/3)*L14^(1/2)</f>
        <v>4.8690460329480345</v>
      </c>
      <c r="K34" s="10"/>
      <c r="L34" s="11"/>
      <c r="M34" s="11"/>
      <c r="N34" s="11"/>
      <c r="O34" s="11"/>
      <c r="P34" s="11"/>
      <c r="Q34" s="11"/>
      <c r="R34" s="11" t="str">
        <f>IF(AND(Q29="Nie",R11&gt;R12),"Tak","")</f>
        <v/>
      </c>
      <c r="S34" s="11"/>
      <c r="T34" s="11"/>
      <c r="U34" s="11"/>
      <c r="V34" s="12"/>
    </row>
    <row r="35" spans="1:22" x14ac:dyDescent="0.2">
      <c r="A35" s="1" t="s">
        <v>14</v>
      </c>
      <c r="K35" s="10"/>
      <c r="L35" s="11"/>
      <c r="M35" s="15" t="str">
        <f>IF(AND(M29="Nie",R8&lt;=R7),"Nie","")</f>
        <v>Nie</v>
      </c>
      <c r="N35" s="11"/>
      <c r="O35" s="11"/>
      <c r="P35" s="11"/>
      <c r="Q35" s="11"/>
      <c r="R35" s="11"/>
      <c r="S35" s="14" t="str">
        <f>IF(R34="Tak","Typ 3","")</f>
        <v/>
      </c>
      <c r="T35" s="11"/>
      <c r="U35" s="11"/>
      <c r="V35" s="12"/>
    </row>
    <row r="36" spans="1:22" ht="15.75" x14ac:dyDescent="0.3">
      <c r="A36" s="36" t="s">
        <v>31</v>
      </c>
      <c r="B36" s="34">
        <f>B19</f>
        <v>3.98</v>
      </c>
      <c r="C36" s="26" t="s">
        <v>37</v>
      </c>
      <c r="K36" s="10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2"/>
    </row>
    <row r="37" spans="1:22" ht="15.75" x14ac:dyDescent="0.3">
      <c r="A37" s="37" t="s">
        <v>50</v>
      </c>
      <c r="B37" s="35">
        <f>E34*B34</f>
        <v>3.9769489853537014</v>
      </c>
      <c r="C37" s="28" t="s">
        <v>37</v>
      </c>
      <c r="K37" s="10"/>
      <c r="L37" s="11"/>
      <c r="M37" s="11"/>
      <c r="N37" s="11" t="str">
        <f>IF(AND(M35="Nie",R10&gt;R9),"Tak","")</f>
        <v/>
      </c>
      <c r="O37" s="11"/>
      <c r="P37" s="11"/>
      <c r="Q37" s="11" t="str">
        <f>IF(AND(Q29="Nie",R11&lt;R12),"Nie","")</f>
        <v/>
      </c>
      <c r="R37" s="11"/>
      <c r="S37" s="11"/>
      <c r="T37" s="11"/>
      <c r="U37" s="11"/>
      <c r="V37" s="12"/>
    </row>
    <row r="38" spans="1:22" x14ac:dyDescent="0.2">
      <c r="A38" s="33" t="s">
        <v>51</v>
      </c>
      <c r="B38" s="39">
        <f>ABS((B36-B37)/B36*100)</f>
        <v>7.6658659454737016E-2</v>
      </c>
      <c r="C38" s="38" t="s">
        <v>25</v>
      </c>
      <c r="K38" s="10"/>
      <c r="L38" s="11"/>
      <c r="M38" s="11"/>
      <c r="N38" s="11"/>
      <c r="O38" s="14" t="str">
        <f>IF(N37="Tak","Typ 5","")</f>
        <v/>
      </c>
      <c r="P38" s="11"/>
      <c r="Q38" s="11"/>
      <c r="R38" s="11"/>
      <c r="S38" s="11"/>
      <c r="T38" s="11"/>
      <c r="U38" s="11"/>
      <c r="V38" s="12"/>
    </row>
    <row r="39" spans="1:22" x14ac:dyDescent="0.2">
      <c r="K39" s="10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2"/>
    </row>
    <row r="40" spans="1:22" x14ac:dyDescent="0.2">
      <c r="A40" s="22" t="s">
        <v>19</v>
      </c>
      <c r="K40" s="10"/>
      <c r="L40" s="11"/>
      <c r="M40" s="11"/>
      <c r="N40" s="11"/>
      <c r="O40" s="11"/>
      <c r="P40" s="14" t="str">
        <f>IF(Q37="Nie","Błąd","")</f>
        <v/>
      </c>
      <c r="Q40" s="11"/>
      <c r="R40" s="11"/>
      <c r="S40" s="11"/>
      <c r="T40" s="11"/>
      <c r="U40" s="11"/>
      <c r="V40" s="12"/>
    </row>
    <row r="41" spans="1:22" ht="15.75" x14ac:dyDescent="0.3">
      <c r="A41" s="24" t="s">
        <v>45</v>
      </c>
      <c r="B41" s="24" t="s">
        <v>46</v>
      </c>
      <c r="C41" s="40" t="s">
        <v>47</v>
      </c>
      <c r="D41" s="14"/>
      <c r="K41" s="10"/>
      <c r="L41" s="11"/>
      <c r="M41" s="11" t="str">
        <f>IF(AND(M35="Nie",R10&lt;=R9),"Nie","")</f>
        <v>Nie</v>
      </c>
      <c r="N41" s="11"/>
      <c r="O41" s="11"/>
      <c r="P41" s="11"/>
      <c r="Q41" s="11"/>
      <c r="R41" s="11"/>
      <c r="S41" s="11"/>
      <c r="T41" s="11"/>
      <c r="U41" s="11"/>
      <c r="V41" s="12"/>
    </row>
    <row r="42" spans="1:22" x14ac:dyDescent="0.2">
      <c r="A42" s="23">
        <v>1.05</v>
      </c>
      <c r="B42" s="23">
        <f>(2*ASIN((A42-L7/2)/(L7/2))+PI())/2*(L7/2)^2+L7/2*COS(ASIN((A42-L7/2)/(L7/2)))*(A42-L7/2)</f>
        <v>0.93491202107400262</v>
      </c>
      <c r="C42" s="23">
        <f>L7*COS(ASIN((A42-L7/2)/(L7/2)))</f>
        <v>0.45825756949558411</v>
      </c>
      <c r="D42" s="25"/>
      <c r="K42" s="10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2"/>
    </row>
    <row r="43" spans="1:22" x14ac:dyDescent="0.2">
      <c r="A43" s="1" t="s">
        <v>26</v>
      </c>
      <c r="K43" s="10"/>
      <c r="L43" s="14" t="str">
        <f>IF(M41="Nie","Typ 6","")</f>
        <v>Typ 6</v>
      </c>
      <c r="M43" s="11"/>
      <c r="N43" s="11"/>
      <c r="O43" s="11"/>
      <c r="P43" s="11"/>
      <c r="Q43" s="11"/>
      <c r="R43" s="11"/>
      <c r="S43" s="11"/>
      <c r="T43" s="11"/>
      <c r="U43" s="11"/>
      <c r="V43" s="12"/>
    </row>
    <row r="44" spans="1:22" ht="14.25" x14ac:dyDescent="0.2">
      <c r="A44" s="31" t="s">
        <v>53</v>
      </c>
      <c r="B44" s="47">
        <f>B21*B19^2/9.81</f>
        <v>1.7761916411824668</v>
      </c>
      <c r="C44" s="26"/>
      <c r="K44" s="16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8"/>
    </row>
    <row r="45" spans="1:22" ht="15.75" x14ac:dyDescent="0.3">
      <c r="A45" s="27" t="s">
        <v>52</v>
      </c>
      <c r="B45" s="50">
        <f>B42^3/C42</f>
        <v>1.7832103842399722</v>
      </c>
      <c r="C45" s="28"/>
    </row>
    <row r="46" spans="1:22" x14ac:dyDescent="0.2">
      <c r="A46" s="33" t="s">
        <v>51</v>
      </c>
      <c r="B46" s="39">
        <f>ABS((B44-B45)/B44*100)</f>
        <v>0.39515685665725214</v>
      </c>
      <c r="C46" s="29" t="s">
        <v>25</v>
      </c>
    </row>
    <row r="48" spans="1:22" x14ac:dyDescent="0.2">
      <c r="A48" s="22" t="s">
        <v>27</v>
      </c>
    </row>
    <row r="49" spans="1:15" ht="15.75" x14ac:dyDescent="0.3">
      <c r="A49" s="42" t="s">
        <v>48</v>
      </c>
      <c r="B49" s="43">
        <v>1.63</v>
      </c>
      <c r="C49" s="44" t="s">
        <v>6</v>
      </c>
      <c r="E49"/>
    </row>
    <row r="50" spans="1:15" ht="15.75" x14ac:dyDescent="0.3">
      <c r="A50" s="42" t="s">
        <v>89</v>
      </c>
      <c r="B50" s="43">
        <f>PI()*L7^2/4</f>
        <v>0.9503317777109126</v>
      </c>
      <c r="C50" s="1" t="s">
        <v>82</v>
      </c>
    </row>
    <row r="51" spans="1:15" x14ac:dyDescent="0.2">
      <c r="A51" s="1" t="s">
        <v>14</v>
      </c>
    </row>
    <row r="52" spans="1:15" ht="15.75" x14ac:dyDescent="0.3">
      <c r="A52" s="36" t="s">
        <v>31</v>
      </c>
      <c r="B52" s="34">
        <f>B19</f>
        <v>3.98</v>
      </c>
      <c r="C52" s="26" t="s">
        <v>37</v>
      </c>
    </row>
    <row r="53" spans="1:15" ht="15.75" x14ac:dyDescent="0.3">
      <c r="A53" s="37" t="s">
        <v>50</v>
      </c>
      <c r="B53" s="35">
        <f>L12*B50*(19.62*(B49-R6))^(1/2)</f>
        <v>3.9795391411857053</v>
      </c>
      <c r="C53" s="28" t="s">
        <v>37</v>
      </c>
      <c r="O53" s="22" t="s">
        <v>93</v>
      </c>
    </row>
    <row r="54" spans="1:15" x14ac:dyDescent="0.2">
      <c r="A54" s="33" t="s">
        <v>51</v>
      </c>
      <c r="B54" s="39">
        <f>ABS((B52-B53)/B52*100)</f>
        <v>1.1579367193334061E-2</v>
      </c>
      <c r="C54" s="38" t="s">
        <v>25</v>
      </c>
    </row>
    <row r="55" spans="1:15" x14ac:dyDescent="0.2">
      <c r="J55" s="22"/>
    </row>
  </sheetData>
  <conditionalFormatting sqref="M29">
    <cfRule type="cellIs" dxfId="18" priority="19" operator="equal">
      <formula>"Nie"</formula>
    </cfRule>
  </conditionalFormatting>
  <conditionalFormatting sqref="N31">
    <cfRule type="cellIs" dxfId="17" priority="18" operator="equal">
      <formula>"Tak"</formula>
    </cfRule>
  </conditionalFormatting>
  <conditionalFormatting sqref="O32">
    <cfRule type="cellIs" dxfId="16" priority="17" operator="equal">
      <formula>"Typ 4"</formula>
    </cfRule>
  </conditionalFormatting>
  <conditionalFormatting sqref="M35">
    <cfRule type="cellIs" dxfId="15" priority="16" operator="equal">
      <formula>"Nie"</formula>
    </cfRule>
  </conditionalFormatting>
  <conditionalFormatting sqref="N37">
    <cfRule type="cellIs" dxfId="14" priority="15" operator="equal">
      <formula>"Tak"</formula>
    </cfRule>
  </conditionalFormatting>
  <conditionalFormatting sqref="O38">
    <cfRule type="cellIs" dxfId="13" priority="14" operator="equal">
      <formula>"Typ 5"</formula>
    </cfRule>
  </conditionalFormatting>
  <conditionalFormatting sqref="L43">
    <cfRule type="cellIs" dxfId="12" priority="13" operator="equal">
      <formula>"Typ 6"</formula>
    </cfRule>
  </conditionalFormatting>
  <conditionalFormatting sqref="M41">
    <cfRule type="cellIs" dxfId="11" priority="12" operator="equal">
      <formula>"Nie"</formula>
    </cfRule>
  </conditionalFormatting>
  <conditionalFormatting sqref="N24">
    <cfRule type="cellIs" dxfId="10" priority="11" operator="equal">
      <formula>"Tak"</formula>
    </cfRule>
  </conditionalFormatting>
  <conditionalFormatting sqref="R24">
    <cfRule type="cellIs" dxfId="9" priority="10" operator="equal">
      <formula>"Tak"</formula>
    </cfRule>
  </conditionalFormatting>
  <conditionalFormatting sqref="T24">
    <cfRule type="cellIs" dxfId="8" priority="9" operator="equal">
      <formula>"Tak"</formula>
    </cfRule>
  </conditionalFormatting>
  <conditionalFormatting sqref="U25">
    <cfRule type="cellIs" dxfId="7" priority="8" operator="equal">
      <formula>"Typ 1"</formula>
    </cfRule>
  </conditionalFormatting>
  <conditionalFormatting sqref="S29">
    <cfRule type="cellIs" dxfId="6" priority="7" operator="equal">
      <formula>"Nie"</formula>
    </cfRule>
  </conditionalFormatting>
  <conditionalFormatting sqref="Q29">
    <cfRule type="cellIs" dxfId="5" priority="6" operator="equal">
      <formula>"Nie"</formula>
    </cfRule>
  </conditionalFormatting>
  <conditionalFormatting sqref="R34">
    <cfRule type="cellIs" dxfId="4" priority="5" operator="equal">
      <formula>"Tak"</formula>
    </cfRule>
  </conditionalFormatting>
  <conditionalFormatting sqref="Q37">
    <cfRule type="cellIs" dxfId="3" priority="4" operator="equal">
      <formula>"Nie"</formula>
    </cfRule>
  </conditionalFormatting>
  <conditionalFormatting sqref="P40">
    <cfRule type="cellIs" dxfId="2" priority="3" operator="equal">
      <formula>"Błąd"</formula>
    </cfRule>
  </conditionalFormatting>
  <conditionalFormatting sqref="S32">
    <cfRule type="cellIs" dxfId="1" priority="2" operator="equal">
      <formula>"Typ 2"</formula>
    </cfRule>
  </conditionalFormatting>
  <conditionalFormatting sqref="S35">
    <cfRule type="cellIs" dxfId="0" priority="1" operator="equal">
      <formula>"Typ 3"</formula>
    </cfRule>
  </conditionalFormatting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7"/>
  <dimension ref="A1:J47"/>
  <sheetViews>
    <sheetView showGridLines="0" workbookViewId="0"/>
  </sheetViews>
  <sheetFormatPr defaultRowHeight="12.75" x14ac:dyDescent="0.2"/>
  <cols>
    <col min="1" max="1" width="12" style="1" bestFit="1" customWidth="1"/>
    <col min="2" max="16384" width="9.140625" style="1"/>
  </cols>
  <sheetData>
    <row r="1" spans="1:10" s="19" customFormat="1" ht="23.25" x14ac:dyDescent="0.35">
      <c r="A1" s="21" t="s">
        <v>107</v>
      </c>
    </row>
    <row r="3" spans="1:10" x14ac:dyDescent="0.2">
      <c r="A3" s="22" t="s">
        <v>103</v>
      </c>
    </row>
    <row r="4" spans="1:10" x14ac:dyDescent="0.2">
      <c r="A4" s="4" t="s">
        <v>104</v>
      </c>
      <c r="B4" s="4"/>
      <c r="C4" s="4"/>
      <c r="D4" s="4"/>
    </row>
    <row r="5" spans="1:10" ht="15.75" x14ac:dyDescent="0.3">
      <c r="A5" s="5" t="s">
        <v>31</v>
      </c>
      <c r="B5" s="6">
        <v>1.2</v>
      </c>
      <c r="C5" s="4" t="s">
        <v>37</v>
      </c>
      <c r="D5" s="4"/>
    </row>
    <row r="6" spans="1:10" x14ac:dyDescent="0.2">
      <c r="A6" s="4" t="s">
        <v>105</v>
      </c>
      <c r="B6" s="4"/>
      <c r="C6" s="4"/>
      <c r="D6" s="4"/>
    </row>
    <row r="7" spans="1:10" x14ac:dyDescent="0.2">
      <c r="A7" s="5" t="s">
        <v>55</v>
      </c>
      <c r="B7" s="41">
        <v>3</v>
      </c>
      <c r="C7" s="4" t="s">
        <v>6</v>
      </c>
      <c r="D7" s="4"/>
    </row>
    <row r="8" spans="1:10" x14ac:dyDescent="0.2">
      <c r="A8" s="4" t="s">
        <v>73</v>
      </c>
      <c r="B8" s="4"/>
      <c r="C8" s="4"/>
      <c r="D8" s="4"/>
    </row>
    <row r="9" spans="1:10" ht="15.75" x14ac:dyDescent="0.3">
      <c r="A9" s="5" t="s">
        <v>57</v>
      </c>
      <c r="B9" s="6">
        <v>1.4999999999999999E-2</v>
      </c>
      <c r="C9" s="4"/>
      <c r="D9" s="4"/>
    </row>
    <row r="10" spans="1:10" x14ac:dyDescent="0.2">
      <c r="A10" s="4" t="s">
        <v>106</v>
      </c>
      <c r="B10" s="4"/>
      <c r="C10" s="4"/>
      <c r="D10" s="4"/>
      <c r="J10" s="22"/>
    </row>
    <row r="11" spans="1:10" ht="15.75" x14ac:dyDescent="0.3">
      <c r="A11" s="5" t="s">
        <v>56</v>
      </c>
      <c r="B11" s="6">
        <v>4.0000000000000002E-4</v>
      </c>
      <c r="C11" s="4"/>
      <c r="D11" s="4"/>
    </row>
    <row r="13" spans="1:10" ht="15.75" x14ac:dyDescent="0.3">
      <c r="A13" s="24" t="s">
        <v>38</v>
      </c>
      <c r="B13" s="40" t="s">
        <v>39</v>
      </c>
      <c r="C13" s="24" t="s">
        <v>41</v>
      </c>
      <c r="D13" s="24" t="s">
        <v>42</v>
      </c>
      <c r="E13" s="24" t="s">
        <v>43</v>
      </c>
    </row>
    <row r="14" spans="1:10" x14ac:dyDescent="0.2">
      <c r="A14" s="23">
        <v>0.8</v>
      </c>
      <c r="B14" s="23">
        <f>(2*ASIN((A14-B7/2)/(B7/2))+PI())/2*(B7/2)^2+B7/2*COS(ASIN((A14-B7/2)/(B7/2)))*(A14-B7/2)</f>
        <v>1.5132210188239252</v>
      </c>
      <c r="C14" s="23">
        <f>(2*ASIN((A14-B7/2)/(B7/2))+PI())*B7/2</f>
        <v>3.2558346134979166</v>
      </c>
      <c r="D14" s="23">
        <f>B14/C14</f>
        <v>0.46477207796442438</v>
      </c>
      <c r="E14" s="23">
        <f>1/B9*D14^(2/3)*B11^(1/2)</f>
        <v>0.80001615332243936</v>
      </c>
    </row>
    <row r="15" spans="1:10" x14ac:dyDescent="0.2">
      <c r="A15" s="1" t="s">
        <v>14</v>
      </c>
    </row>
    <row r="16" spans="1:10" ht="15.75" x14ac:dyDescent="0.3">
      <c r="A16" s="36" t="s">
        <v>31</v>
      </c>
      <c r="B16" s="34">
        <f>B5</f>
        <v>1.2</v>
      </c>
      <c r="C16" s="26" t="s">
        <v>37</v>
      </c>
    </row>
    <row r="17" spans="1:7" ht="15.75" x14ac:dyDescent="0.3">
      <c r="A17" s="37" t="s">
        <v>50</v>
      </c>
      <c r="B17" s="35">
        <f>E14*B14</f>
        <v>1.2106012586061792</v>
      </c>
      <c r="C17" s="28" t="s">
        <v>37</v>
      </c>
    </row>
    <row r="18" spans="1:7" x14ac:dyDescent="0.2">
      <c r="A18" s="33" t="s">
        <v>51</v>
      </c>
      <c r="B18" s="39">
        <f>ABS((B16-B17)/B16*100)</f>
        <v>0.88343821718160176</v>
      </c>
      <c r="C18" s="38" t="s">
        <v>25</v>
      </c>
    </row>
    <row r="21" spans="1:7" x14ac:dyDescent="0.2">
      <c r="A21" s="22" t="s">
        <v>108</v>
      </c>
    </row>
    <row r="22" spans="1:7" x14ac:dyDescent="0.2">
      <c r="A22" s="4" t="s">
        <v>104</v>
      </c>
      <c r="B22" s="4"/>
      <c r="C22" s="4"/>
      <c r="D22" s="4"/>
    </row>
    <row r="23" spans="1:7" ht="15.75" x14ac:dyDescent="0.3">
      <c r="A23" s="5" t="s">
        <v>31</v>
      </c>
      <c r="B23" s="6">
        <v>1.2</v>
      </c>
      <c r="C23" s="4" t="s">
        <v>37</v>
      </c>
      <c r="D23" s="4"/>
    </row>
    <row r="24" spans="1:7" x14ac:dyDescent="0.2">
      <c r="A24" s="4" t="s">
        <v>105</v>
      </c>
      <c r="B24" s="4"/>
      <c r="C24" s="4"/>
      <c r="D24" s="4"/>
    </row>
    <row r="25" spans="1:7" x14ac:dyDescent="0.2">
      <c r="A25" s="5" t="s">
        <v>55</v>
      </c>
      <c r="B25" s="41">
        <v>3</v>
      </c>
      <c r="C25" s="4" t="s">
        <v>6</v>
      </c>
      <c r="D25" s="4"/>
    </row>
    <row r="26" spans="1:7" x14ac:dyDescent="0.2">
      <c r="A26" s="4" t="s">
        <v>13</v>
      </c>
      <c r="B26" s="4"/>
      <c r="C26" s="4"/>
      <c r="D26" s="4"/>
    </row>
    <row r="27" spans="1:7" x14ac:dyDescent="0.2">
      <c r="A27" s="5" t="s">
        <v>23</v>
      </c>
      <c r="B27" s="6">
        <v>1.1000000000000001</v>
      </c>
      <c r="C27" s="4"/>
      <c r="D27" s="4"/>
    </row>
    <row r="28" spans="1:7" x14ac:dyDescent="0.2">
      <c r="A28" s="2"/>
      <c r="B28" s="2"/>
      <c r="C28" s="2"/>
      <c r="D28" s="2"/>
      <c r="E28" s="62"/>
      <c r="G28" s="62"/>
    </row>
    <row r="29" spans="1:7" ht="15.75" x14ac:dyDescent="0.3">
      <c r="A29" s="24" t="s">
        <v>45</v>
      </c>
      <c r="B29" s="24" t="s">
        <v>46</v>
      </c>
      <c r="C29" s="40" t="s">
        <v>47</v>
      </c>
      <c r="D29" s="14"/>
    </row>
    <row r="30" spans="1:7" x14ac:dyDescent="0.2">
      <c r="A30" s="23">
        <v>0.46899999999999997</v>
      </c>
      <c r="B30" s="23">
        <f>(2*ASIN((A30-B25/2)/(B25/2))+PI())/2*(B25/2)^2+B25/2*COS(ASIN((A30-B25/2)/(B25/2)))*(A30-B25/2)</f>
        <v>0.70592825171194762</v>
      </c>
      <c r="C30" s="23">
        <f>B25*COS(ASIN((A30-B25/2)/(B25/2)))</f>
        <v>2.1790263880917085</v>
      </c>
      <c r="D30" s="25"/>
    </row>
    <row r="31" spans="1:7" x14ac:dyDescent="0.2">
      <c r="A31" s="1" t="s">
        <v>26</v>
      </c>
    </row>
    <row r="32" spans="1:7" ht="14.25" x14ac:dyDescent="0.2">
      <c r="A32" s="31" t="s">
        <v>53</v>
      </c>
      <c r="B32" s="47">
        <f>B27*B23^2/9.81</f>
        <v>0.16146788990825689</v>
      </c>
      <c r="C32" s="26"/>
    </row>
    <row r="33" spans="1:10" ht="15.75" x14ac:dyDescent="0.3">
      <c r="A33" s="27" t="s">
        <v>52</v>
      </c>
      <c r="B33" s="50">
        <f>B30^3/C30</f>
        <v>0.16144299263015166</v>
      </c>
      <c r="C33" s="28"/>
    </row>
    <row r="34" spans="1:10" x14ac:dyDescent="0.2">
      <c r="A34" s="33" t="s">
        <v>51</v>
      </c>
      <c r="B34" s="39">
        <f>ABS((B32-B33)/B32*100)</f>
        <v>1.5419337008352197E-2</v>
      </c>
      <c r="C34" s="29" t="s">
        <v>25</v>
      </c>
    </row>
    <row r="47" spans="1:10" x14ac:dyDescent="0.2">
      <c r="B47" s="62"/>
      <c r="I47" s="63"/>
      <c r="J47" s="63"/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Typy przepustów</vt:lpstr>
      <vt:lpstr>Typ 1</vt:lpstr>
      <vt:lpstr>Typ 2</vt:lpstr>
      <vt:lpstr>Typ 3</vt:lpstr>
      <vt:lpstr>Typ 4</vt:lpstr>
      <vt:lpstr>Typ 5</vt:lpstr>
      <vt:lpstr>Typ 6</vt:lpstr>
      <vt:lpstr>Przewód kołowy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Kubrak</dc:creator>
  <cp:lastModifiedBy>Michał Kubrak</cp:lastModifiedBy>
  <dcterms:created xsi:type="dcterms:W3CDTF">2019-09-19T12:09:01Z</dcterms:created>
  <dcterms:modified xsi:type="dcterms:W3CDTF">2020-08-30T10:59:19Z</dcterms:modified>
</cp:coreProperties>
</file>