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6 Kalkulator emerytalny ostat zam\2026 Kalkulator MSWIA\"/>
    </mc:Choice>
  </mc:AlternateContent>
  <workbookProtection workbookAlgorithmName="SHA-512" workbookHashValue="tuoQfSuufK17egdncyeomUawgs6BcjC2cQmoHxFYcSPeIcXetrzlBpb6IH7UBoexxlV+Ntl+HzPB/vRQyDxG1Q==" workbookSaltValue="NLnJw4oChuG/b/Jc2vyAjA==" workbookSpinCount="100000" lockStructure="1"/>
  <bookViews>
    <workbookView xWindow="29340" yWindow="300" windowWidth="21600" windowHeight="11100"/>
  </bookViews>
  <sheets>
    <sheet name="INSTRUKCJA" sheetId="17" r:id="rId1"/>
    <sheet name="art. 15 albo 15a" sheetId="1" r:id="rId2"/>
    <sheet name="art. 15aa" sheetId="15" r:id="rId3"/>
    <sheet name="Podstawa wymiaru 10 lat" sheetId="19" r:id="rId4"/>
    <sheet name="art. 18e albo 18h" sheetId="16" r:id="rId5"/>
    <sheet name="PRZECIĘTNE" sheetId="18" state="hidden" r:id="rId6"/>
    <sheet name="PRZECIĘTNE Robocze" sheetId="20" state="hidden" r:id="rId7"/>
    <sheet name="Roboczy" sheetId="2" state="hidden" r:id="rId8"/>
  </sheets>
  <definedNames>
    <definedName name="_xlnm.Print_Area" localSheetId="1">'art. 15 albo 15a'!$G$1:$L$24</definedName>
    <definedName name="_xlnm.Print_Area" localSheetId="2">'art. 15aa'!$G$1:$L$23</definedName>
    <definedName name="_xlnm.Print_Area" localSheetId="4">'art. 18e albo 18h'!$G$1:$L$30</definedName>
    <definedName name="_xlnm.Print_Area" localSheetId="0">INSTRUKCJA!$A$1:$N$56</definedName>
    <definedName name="_xlnm.Print_Area" localSheetId="3">'Podstawa wymiaru 10 lat'!$A$1:$H$60</definedName>
    <definedName name="Roczny">!$I$3:$I$33</definedName>
    <definedName name="RocznyCS" localSheetId="3">!$E$5:$E$28</definedName>
    <definedName name="RocznyCS">!$E$3:$E$26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20" l="1"/>
  <c r="N8" i="20"/>
  <c r="G23" i="20"/>
  <c r="G22" i="20"/>
  <c r="G21" i="20"/>
  <c r="G20" i="20"/>
  <c r="G19" i="20"/>
  <c r="G17" i="20"/>
  <c r="G16" i="20"/>
  <c r="G15" i="20"/>
  <c r="G14" i="20"/>
  <c r="G13" i="20"/>
  <c r="G12" i="20"/>
  <c r="G11" i="20"/>
  <c r="G10" i="20"/>
  <c r="G9" i="20"/>
  <c r="G8" i="20"/>
  <c r="G7" i="20"/>
  <c r="G6" i="20"/>
  <c r="C48" i="19" l="1"/>
  <c r="D5" i="16" l="1"/>
  <c r="C5" i="16"/>
  <c r="D30" i="19" l="1"/>
  <c r="D29" i="19"/>
  <c r="D28" i="19"/>
  <c r="D27" i="19"/>
  <c r="D26" i="19"/>
  <c r="D25" i="19"/>
  <c r="D24" i="19"/>
  <c r="D23" i="19"/>
  <c r="D22" i="19"/>
  <c r="D21" i="19"/>
  <c r="D20" i="19"/>
  <c r="D19" i="19"/>
  <c r="D18" i="19"/>
  <c r="D17" i="19"/>
  <c r="E17" i="19" s="1"/>
  <c r="D16" i="19"/>
  <c r="E16" i="19" s="1"/>
  <c r="D15" i="19"/>
  <c r="E15" i="19" s="1"/>
  <c r="D14" i="19"/>
  <c r="E14" i="19" s="1"/>
  <c r="D13" i="19"/>
  <c r="E13" i="19" s="1"/>
  <c r="D12" i="19"/>
  <c r="D11" i="19"/>
  <c r="D10" i="19"/>
  <c r="D9" i="19"/>
  <c r="D8" i="19"/>
  <c r="D7" i="19"/>
  <c r="D6" i="19"/>
  <c r="D5" i="19"/>
  <c r="E11" i="16" l="1"/>
  <c r="D11" i="16"/>
  <c r="C11" i="16"/>
  <c r="E4" i="16" l="1"/>
  <c r="E29" i="16"/>
  <c r="D29" i="16"/>
  <c r="C29" i="16"/>
  <c r="E26" i="16"/>
  <c r="D26" i="16"/>
  <c r="C26" i="16"/>
  <c r="E25" i="16"/>
  <c r="D25" i="16"/>
  <c r="C25" i="16"/>
  <c r="E24" i="16"/>
  <c r="D24" i="16"/>
  <c r="C24" i="16"/>
  <c r="E23" i="16"/>
  <c r="D23" i="16"/>
  <c r="C23" i="16"/>
  <c r="E22" i="16"/>
  <c r="D22" i="16"/>
  <c r="C22" i="16"/>
  <c r="E21" i="16"/>
  <c r="D21" i="16"/>
  <c r="C21" i="16"/>
  <c r="D48" i="19" l="1"/>
  <c r="E29" i="19"/>
  <c r="E28" i="19"/>
  <c r="E27" i="19"/>
  <c r="E26" i="19"/>
  <c r="E25" i="19"/>
  <c r="E24" i="19"/>
  <c r="E23" i="19"/>
  <c r="E21" i="19"/>
  <c r="E20" i="19"/>
  <c r="E19" i="19"/>
  <c r="E18" i="19"/>
  <c r="E12" i="19"/>
  <c r="E11" i="19"/>
  <c r="E10" i="19"/>
  <c r="E9" i="19"/>
  <c r="E8" i="19"/>
  <c r="E7" i="19"/>
  <c r="E6" i="19"/>
  <c r="E5" i="19"/>
  <c r="E22" i="19" l="1"/>
  <c r="F22" i="19" s="1"/>
  <c r="E30" i="19"/>
  <c r="F30" i="19" s="1"/>
  <c r="F29" i="19"/>
  <c r="F28" i="19"/>
  <c r="F27" i="19"/>
  <c r="F26" i="19"/>
  <c r="F25" i="19"/>
  <c r="F24" i="19"/>
  <c r="F23" i="19"/>
  <c r="F21" i="19"/>
  <c r="F20" i="19"/>
  <c r="F19" i="19"/>
  <c r="F18" i="19"/>
  <c r="F17" i="19"/>
  <c r="F16" i="19"/>
  <c r="F15" i="19"/>
  <c r="F14" i="19"/>
  <c r="F13" i="19"/>
  <c r="F12" i="19"/>
  <c r="F11" i="19"/>
  <c r="F10" i="19"/>
  <c r="F9" i="19"/>
  <c r="F8" i="19"/>
  <c r="F7" i="19"/>
  <c r="F6" i="19"/>
  <c r="F5" i="19"/>
  <c r="G23" i="19" l="1"/>
  <c r="G24" i="19"/>
  <c r="G25" i="19"/>
  <c r="G28" i="19"/>
  <c r="G29" i="19"/>
  <c r="G26" i="19"/>
  <c r="G27" i="19"/>
  <c r="G30" i="19"/>
  <c r="G14" i="19"/>
  <c r="G15" i="19"/>
  <c r="G17" i="19"/>
  <c r="G16" i="19"/>
  <c r="G22" i="19"/>
  <c r="G20" i="19"/>
  <c r="G21" i="19"/>
  <c r="G18" i="19"/>
  <c r="G19" i="19"/>
  <c r="F31" i="19" l="1"/>
  <c r="F32" i="19" s="1"/>
  <c r="F37" i="19" s="1"/>
  <c r="F48" i="19" s="1"/>
  <c r="G31" i="19"/>
  <c r="E73" i="15"/>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51" i="15"/>
  <c r="D51" i="15"/>
  <c r="C51" i="15"/>
  <c r="E50" i="15"/>
  <c r="D50" i="15"/>
  <c r="C50" i="15"/>
  <c r="E49" i="15"/>
  <c r="D49" i="15"/>
  <c r="C49" i="15"/>
  <c r="E48" i="15"/>
  <c r="D48" i="15"/>
  <c r="C48" i="15"/>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F49" i="19" l="1"/>
  <c r="K13" i="16" s="1"/>
  <c r="K12" i="16"/>
  <c r="E36" i="15"/>
  <c r="D36" i="15"/>
  <c r="C36" i="15"/>
  <c r="E35" i="15"/>
  <c r="D35" i="15"/>
  <c r="C35" i="15"/>
  <c r="E34" i="15"/>
  <c r="D34" i="15"/>
  <c r="C34" i="15"/>
  <c r="E33" i="15"/>
  <c r="D33" i="15"/>
  <c r="C33" i="15"/>
  <c r="E32" i="15"/>
  <c r="D32" i="15"/>
  <c r="C32" i="15"/>
  <c r="E40" i="1"/>
  <c r="D40" i="1"/>
  <c r="C40" i="1"/>
  <c r="E39" i="1"/>
  <c r="D39" i="1"/>
  <c r="C39" i="1"/>
  <c r="E38" i="1"/>
  <c r="D38" i="1"/>
  <c r="C38" i="1"/>
  <c r="E37" i="1"/>
  <c r="D37" i="1"/>
  <c r="C37" i="1"/>
  <c r="E36" i="1"/>
  <c r="D36" i="1"/>
  <c r="C36" i="1"/>
  <c r="E35" i="1"/>
  <c r="D35" i="1"/>
  <c r="C35" i="1"/>
  <c r="E4" i="1" l="1"/>
  <c r="E4" i="15"/>
  <c r="G12" i="1" l="1"/>
  <c r="G11" i="15"/>
  <c r="K15" i="16" l="1"/>
  <c r="K14" i="15"/>
  <c r="K15" i="1"/>
  <c r="L6" i="1" l="1"/>
  <c r="L5" i="1"/>
  <c r="E76" i="15"/>
  <c r="D76" i="15"/>
  <c r="C76" i="15"/>
  <c r="E75" i="15"/>
  <c r="D75" i="15"/>
  <c r="C75" i="15"/>
  <c r="E74" i="15"/>
  <c r="D74" i="15"/>
  <c r="C74" i="15"/>
  <c r="E47" i="15"/>
  <c r="D47" i="15"/>
  <c r="C47" i="15"/>
  <c r="E46" i="15"/>
  <c r="D46" i="15"/>
  <c r="C46" i="15"/>
  <c r="E90" i="1"/>
  <c r="D90" i="1"/>
  <c r="C90" i="1"/>
  <c r="E89" i="1"/>
  <c r="D89" i="1"/>
  <c r="C89" i="1"/>
  <c r="E61" i="1"/>
  <c r="D61" i="1"/>
  <c r="C61" i="1"/>
  <c r="E60" i="1"/>
  <c r="D60" i="1"/>
  <c r="C60" i="1"/>
  <c r="E28" i="16" l="1"/>
  <c r="D28" i="16"/>
  <c r="C28" i="16"/>
  <c r="E27" i="16"/>
  <c r="D27" i="16"/>
  <c r="C27" i="16"/>
  <c r="E87" i="15"/>
  <c r="D87" i="15"/>
  <c r="E40" i="15" l="1"/>
  <c r="D40" i="15"/>
  <c r="C40" i="15"/>
  <c r="E39" i="15"/>
  <c r="D39" i="15"/>
  <c r="C39" i="15"/>
  <c r="E38" i="15"/>
  <c r="D38" i="15"/>
  <c r="C38" i="15"/>
  <c r="E37" i="15"/>
  <c r="D37" i="15"/>
  <c r="C37"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20" i="16"/>
  <c r="D20" i="16"/>
  <c r="C20" i="16"/>
  <c r="E19" i="16"/>
  <c r="D19" i="16"/>
  <c r="C19" i="16"/>
  <c r="E18" i="16"/>
  <c r="D18" i="16"/>
  <c r="C18" i="16"/>
  <c r="E17" i="16"/>
  <c r="D17" i="16"/>
  <c r="C17" i="16"/>
  <c r="E16" i="16"/>
  <c r="D16" i="16"/>
  <c r="C16" i="16"/>
  <c r="E15" i="16"/>
  <c r="D15" i="16"/>
  <c r="C15" i="16"/>
  <c r="E14" i="16"/>
  <c r="D14" i="16"/>
  <c r="C14" i="16"/>
  <c r="E13" i="16"/>
  <c r="D13" i="16"/>
  <c r="C13" i="16"/>
  <c r="E12" i="16"/>
  <c r="D12" i="16"/>
  <c r="C12" i="16"/>
  <c r="E10" i="16"/>
  <c r="D10" i="16"/>
  <c r="C10" i="16"/>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C30" i="16" l="1"/>
  <c r="H9" i="16" s="1"/>
  <c r="L14" i="16" s="1"/>
  <c r="C21" i="15"/>
  <c r="C77" i="15"/>
  <c r="C88" i="15" s="1"/>
  <c r="D21" i="15"/>
  <c r="D82" i="15" s="1"/>
  <c r="E21" i="15"/>
  <c r="E82" i="15" s="1"/>
  <c r="D41" i="15"/>
  <c r="C41" i="15"/>
  <c r="D77" i="15"/>
  <c r="D88" i="15" s="1"/>
  <c r="E41" i="15"/>
  <c r="E77" i="15"/>
  <c r="D30" i="16"/>
  <c r="I9" i="16" s="1"/>
  <c r="E30" i="16"/>
  <c r="J9" i="16" s="1"/>
  <c r="D21" i="1"/>
  <c r="E21" i="1"/>
  <c r="C21" i="1"/>
  <c r="C100" i="1" s="1"/>
  <c r="E91" i="1"/>
  <c r="C91" i="1"/>
  <c r="C101" i="1" s="1"/>
  <c r="D91" i="1"/>
  <c r="D101" i="1" s="1"/>
  <c r="E56" i="1"/>
  <c r="J6" i="1" s="1"/>
  <c r="C56" i="1"/>
  <c r="H6" i="1" s="1"/>
  <c r="D56" i="1"/>
  <c r="I6" i="1" s="1"/>
  <c r="E41" i="1"/>
  <c r="J5" i="1" s="1"/>
  <c r="C41" i="1"/>
  <c r="H5" i="1" s="1"/>
  <c r="D41" i="1"/>
  <c r="I5" i="1" s="1"/>
  <c r="E78" i="15" l="1"/>
  <c r="E83" i="15" s="1"/>
  <c r="E84" i="15" s="1"/>
  <c r="J4" i="15" s="1"/>
  <c r="E88" i="15"/>
  <c r="D78" i="15"/>
  <c r="C87" i="15"/>
  <c r="C82" i="15"/>
  <c r="E89" i="15"/>
  <c r="E92" i="1"/>
  <c r="E96" i="1" s="1"/>
  <c r="E101" i="1"/>
  <c r="D95" i="1"/>
  <c r="D100" i="1"/>
  <c r="E95" i="1"/>
  <c r="E100" i="1"/>
  <c r="C95" i="1"/>
  <c r="C78" i="15"/>
  <c r="J4" i="16"/>
  <c r="I4" i="16"/>
  <c r="H4" i="16"/>
  <c r="K4" i="16" s="1"/>
  <c r="K5" i="16" s="1"/>
  <c r="K16" i="16" s="1"/>
  <c r="K17" i="16" s="1"/>
  <c r="K6" i="1"/>
  <c r="D92" i="1"/>
  <c r="D96" i="1" s="1"/>
  <c r="C92" i="1"/>
  <c r="C96" i="1" s="1"/>
  <c r="D83" i="15" l="1"/>
  <c r="D84" i="15" s="1"/>
  <c r="I4" i="15" s="1"/>
  <c r="K5" i="1"/>
  <c r="D97" i="1"/>
  <c r="I4" i="1" s="1"/>
  <c r="D89" i="15"/>
  <c r="E102" i="1"/>
  <c r="C89" i="15"/>
  <c r="L4" i="15" s="1"/>
  <c r="C83" i="15"/>
  <c r="E97" i="1"/>
  <c r="J4" i="1" s="1"/>
  <c r="C97" i="1"/>
  <c r="H4" i="1" s="1"/>
  <c r="D102" i="1"/>
  <c r="C102" i="1"/>
  <c r="J5" i="15" l="1"/>
  <c r="I5" i="15"/>
  <c r="H5" i="15"/>
  <c r="K5" i="15" s="1"/>
  <c r="C84" i="15"/>
  <c r="H10" i="1"/>
  <c r="L14" i="1" s="1"/>
  <c r="J10" i="1"/>
  <c r="L4" i="1"/>
  <c r="I10" i="1"/>
  <c r="K4" i="1"/>
  <c r="K7" i="1" s="1"/>
  <c r="H4" i="15" l="1"/>
  <c r="J9" i="15" l="1"/>
  <c r="K4" i="15"/>
  <c r="K6" i="15" s="1"/>
  <c r="K15" i="15" s="1"/>
  <c r="K16" i="15" s="1"/>
  <c r="H9" i="15"/>
  <c r="L13" i="15" s="1"/>
  <c r="I9" i="15"/>
  <c r="K18" i="16" l="1"/>
  <c r="K19" i="16"/>
  <c r="K18" i="15"/>
  <c r="K17" i="15"/>
  <c r="K20" i="16" l="1"/>
  <c r="K19" i="15"/>
  <c r="K16" i="1" l="1"/>
  <c r="K17" i="1" s="1"/>
  <c r="K18" i="1" s="1"/>
  <c r="K19" i="1" l="1"/>
  <c r="K20" i="1" s="1"/>
</calcChain>
</file>

<file path=xl/comments1.xml><?xml version="1.0" encoding="utf-8"?>
<comments xmlns="http://schemas.openxmlformats.org/spreadsheetml/2006/main">
  <authors>
    <author>Teresa Kozoń-Konter</author>
  </authors>
  <commentList>
    <comment ref="C4" authorId="0" shapeId="0">
      <text>
        <r>
          <rPr>
            <sz val="9"/>
            <color indexed="81"/>
            <rFont val="Tahoma"/>
            <family val="2"/>
            <charset val="238"/>
          </rPr>
          <t xml:space="preserve">Proszę wypenić pole w formacie daty, tj.: RRRR-MM-DD, gdzie:
RRRR - rok
MM - miesiąc
DD - dzień
</t>
        </r>
      </text>
    </comment>
    <comment ref="G4" authorId="0" shapeId="0">
      <text>
        <r>
          <rPr>
            <sz val="9"/>
            <color indexed="81"/>
            <rFont val="Tahoma"/>
            <family val="2"/>
            <charset val="238"/>
          </rPr>
          <t>Suma okresów służby i równorzędnych (TAB. A.) oraz okresów służby w SG liczonych w wymiarze półtorakrotnym (TAB. D.)</t>
        </r>
      </text>
    </comment>
  </commentList>
</comments>
</file>

<file path=xl/comments2.xml><?xml version="1.0" encoding="utf-8"?>
<comments xmlns="http://schemas.openxmlformats.org/spreadsheetml/2006/main">
  <authors>
    <author>Teresa Kozoń-Konter</author>
  </authors>
  <commentList>
    <comment ref="C4" authorId="0" shapeId="0">
      <text>
        <r>
          <rPr>
            <sz val="9"/>
            <color indexed="81"/>
            <rFont val="Tahoma"/>
            <family val="2"/>
            <charset val="238"/>
          </rPr>
          <t xml:space="preserve">Proszę wypenić pole w formacie daty, tj.: RRRR-MM-DD, gdzie:
RRRR - rok
MM - miesiąc
DD - dzień
</t>
        </r>
      </text>
    </comment>
    <comment ref="G4" authorId="0" shapeId="0">
      <text>
        <r>
          <rPr>
            <sz val="9"/>
            <color indexed="81"/>
            <rFont val="Tahoma"/>
            <family val="2"/>
            <charset val="238"/>
          </rPr>
          <t>Suma okresów służby i równorzędnych (TAB. A.) oraz okresów służby w SG 
liczonych w wymiarze półtorakrotnym (TAB. D.)</t>
        </r>
      </text>
    </comment>
  </commentList>
</comments>
</file>

<file path=xl/comments3.xml><?xml version="1.0" encoding="utf-8"?>
<comments xmlns="http://schemas.openxmlformats.org/spreadsheetml/2006/main">
  <authors>
    <author>Teresa Kozoń-Konter</author>
  </authors>
  <commentList>
    <comment ref="C4" authorId="0" shapeId="0">
      <text>
        <r>
          <rPr>
            <sz val="9"/>
            <color indexed="81"/>
            <rFont val="Tahoma"/>
            <family val="2"/>
            <charset val="238"/>
          </rPr>
          <t>Proszę wypenić pole w formacie daty, tj.: RRRR-MM-DD, gdzie:
RRRR - rok
MM - miesiąc
DD - dzień</t>
        </r>
      </text>
    </comment>
    <comment ref="C5" authorId="0" shapeId="0">
      <text>
        <r>
          <rPr>
            <sz val="9"/>
            <color indexed="81"/>
            <rFont val="Tahoma"/>
            <family val="2"/>
            <charset val="238"/>
          </rPr>
          <t>Data zwolnienia 
pobierana z zakładki Podstawa wymiaru z 10 lat</t>
        </r>
      </text>
    </comment>
    <comment ref="D5" authorId="0" shapeId="0">
      <text>
        <r>
          <rPr>
            <sz val="9"/>
            <color indexed="81"/>
            <rFont val="Tahoma"/>
            <family val="2"/>
            <charset val="238"/>
          </rPr>
          <t>Służba pobierana z zakładki Podstawa wymiaru z 10 lat</t>
        </r>
      </text>
    </comment>
    <comment ref="K13" authorId="0" shapeId="0">
      <text>
        <r>
          <rPr>
            <sz val="9"/>
            <color indexed="81"/>
            <rFont val="Tahoma"/>
            <family val="2"/>
            <charset val="238"/>
          </rPr>
          <t>Wartość pobierana z zakładki Podstawa wyymiaru z 10 lat</t>
        </r>
      </text>
    </comment>
  </commentList>
</comments>
</file>

<file path=xl/sharedStrings.xml><?xml version="1.0" encoding="utf-8"?>
<sst xmlns="http://schemas.openxmlformats.org/spreadsheetml/2006/main" count="393" uniqueCount="150">
  <si>
    <t>Służba</t>
  </si>
  <si>
    <t xml:space="preserve">Policja </t>
  </si>
  <si>
    <t>ABW</t>
  </si>
  <si>
    <t>AW</t>
  </si>
  <si>
    <t>BOR</t>
  </si>
  <si>
    <t>CBA</t>
  </si>
  <si>
    <t>SG</t>
  </si>
  <si>
    <t>PSP</t>
  </si>
  <si>
    <t>Zawodowa służba wojskowa</t>
  </si>
  <si>
    <t>SKW</t>
  </si>
  <si>
    <t>SWW</t>
  </si>
  <si>
    <t>SCS</t>
  </si>
  <si>
    <t>SW</t>
  </si>
  <si>
    <t>SOP</t>
  </si>
  <si>
    <t>Data zwolnienia ze służby</t>
  </si>
  <si>
    <t>Data</t>
  </si>
  <si>
    <t xml:space="preserve">Lata </t>
  </si>
  <si>
    <t>Miesiące</t>
  </si>
  <si>
    <t>Dni</t>
  </si>
  <si>
    <t>SC</t>
  </si>
  <si>
    <t>Długość okresów składkowych przed służbą</t>
  </si>
  <si>
    <t>Długość okresów nieskładkowych przed służbą</t>
  </si>
  <si>
    <t>TAK</t>
  </si>
  <si>
    <t>NIE</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</si>
  <si>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</si>
  <si>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</si>
  <si>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</si>
  <si>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</si>
  <si>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</si>
  <si>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</si>
  <si>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</si>
  <si>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</si>
  <si>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</si>
  <si>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</si>
  <si>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</si>
  <si>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</si>
  <si>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</si>
  <si>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</si>
  <si>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</si>
  <si>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</si>
  <si>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</si>
  <si>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</si>
  <si>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</si>
  <si>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</si>
  <si>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</si>
  <si>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</si>
  <si>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</si>
  <si>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</si>
  <si>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</si>
  <si>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</si>
  <si>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</si>
  <si>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 (1 x 1)]</t>
  </si>
  <si>
    <t>(TAB. D.) SUMA półtorakrotne (LATA x 1,5)</t>
  </si>
  <si>
    <t>(TAB. D.) SUMA [w wymiarze pojedynczym 
 (1 x 1)]</t>
  </si>
  <si>
    <t>Policja</t>
  </si>
  <si>
    <t>WPW</t>
  </si>
  <si>
    <t>BOR/SOP</t>
  </si>
  <si>
    <t>SM</t>
  </si>
  <si>
    <t>Wysokość emerytury - kwota do wypłaty</t>
  </si>
  <si>
    <t>Kwota emerytury  w wysokości "tzw. brutto"</t>
  </si>
  <si>
    <t>Wysokość emerytury  - kwota do wypłaty</t>
  </si>
  <si>
    <t>Kwota składki na ubezpieczenie zdrowotne (9%)</t>
  </si>
  <si>
    <t>Kwota zaliczki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</si>
  <si>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</si>
  <si>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</si>
  <si>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</si>
  <si>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 D.) SŁUŻBA 
i RÓWNORZĘDNE - DO WYSOKOŚCI</t>
  </si>
  <si>
    <t>ŁĄCZNIE (TAB. A.+Tab.D. ) SŁUŻBA 
 i RÓWNORZĘDNE - DO PRAWA 
w wymiarze pojedynczym (1 x 1)</t>
  </si>
  <si>
    <t>ŁĄCZNIE (TAB. A. + Tab.D. ) SŁUŻBA 
 i RÓWNORZĘDNE - DO PRAWA 
w wymiarze pojedynczym (1 x 1)</t>
  </si>
  <si>
    <t>ŁĄCZNIE (TAB. A. + TAB. D.) SŁUŻBA 
i RÓWNORZĘDNE - DO WYSOKOŚCI</t>
  </si>
  <si>
    <t>art. 18e ustawy</t>
  </si>
  <si>
    <t>Łączna wysługa emerytalna</t>
  </si>
  <si>
    <t>art. 15aa (wymagane 25 lat służby liczonej z okresami równorzędnymi ze służbą)</t>
  </si>
  <si>
    <r>
      <t>Podstawa wymiaru</t>
    </r>
    <r>
      <rPr>
        <b/>
        <vertAlign val="superscript"/>
        <sz val="10"/>
        <color theme="1"/>
        <rFont val="Calibri"/>
        <family val="2"/>
        <charset val="238"/>
        <scheme val="minor"/>
      </rPr>
      <t xml:space="preserve">*) </t>
    </r>
    <r>
      <rPr>
        <b/>
        <sz val="10"/>
        <color theme="1"/>
        <rFont val="Calibri"/>
        <family val="2"/>
        <charset val="238"/>
        <scheme val="minor"/>
      </rPr>
      <t>- średnie uposażenie z kolejnych 10 lat służby</t>
    </r>
  </si>
  <si>
    <t>dzw 15 15aa</t>
  </si>
  <si>
    <t>art. 15 albo art. 15a</t>
  </si>
  <si>
    <t>Podstawa wymiaru emerytury (ze świadczeniem za długoletnią służbę, jeżeli lata wysługi emerytalnej &gt; 32)</t>
  </si>
  <si>
    <r>
      <t>Uposażenie z miesiąca zwolnienia  ze służby</t>
    </r>
    <r>
      <rPr>
        <b/>
        <vertAlign val="superscript"/>
        <sz val="10"/>
        <color theme="1"/>
        <rFont val="Calibri"/>
        <family val="2"/>
        <charset val="238"/>
        <scheme val="minor"/>
      </rPr>
      <t>*)</t>
    </r>
    <r>
      <rPr>
        <b/>
        <sz val="10"/>
        <color theme="1"/>
        <rFont val="Calibri"/>
        <family val="2"/>
        <charset val="238"/>
        <scheme val="minor"/>
      </rPr>
      <t xml:space="preserve"> (podstawa wymiaru emerytury bez świadczenia za długoletnią służbę</t>
    </r>
    <r>
      <rPr>
        <b/>
        <vertAlign val="superscript"/>
        <sz val="10"/>
        <color theme="1"/>
        <rFont val="Calibri"/>
        <family val="2"/>
        <charset val="238"/>
        <scheme val="minor"/>
      </rPr>
      <t>**)</t>
    </r>
    <r>
      <rPr>
        <b/>
        <sz val="10"/>
        <color theme="1"/>
        <rFont val="Calibri"/>
        <family val="2"/>
        <charset val="238"/>
        <scheme val="minor"/>
      </rPr>
      <t xml:space="preserve">) </t>
    </r>
  </si>
  <si>
    <r>
      <t>Miesięczna wysokość pobieranego świadczenia za długoletnią służbę</t>
    </r>
    <r>
      <rPr>
        <b/>
        <vertAlign val="superscript"/>
        <sz val="11"/>
        <color theme="1"/>
        <rFont val="Calibri"/>
        <family val="2"/>
        <charset val="238"/>
        <scheme val="minor"/>
      </rPr>
      <t>**)</t>
    </r>
  </si>
  <si>
    <t xml:space="preserve">Data </t>
  </si>
  <si>
    <r>
      <rPr>
        <b/>
        <vertAlign val="superscript"/>
        <sz val="10"/>
        <rFont val="Calibri"/>
        <family val="2"/>
        <charset val="238"/>
        <scheme val="minor"/>
      </rPr>
      <t xml:space="preserve">*) </t>
    </r>
    <r>
      <rPr>
        <b/>
        <sz val="10"/>
        <rFont val="Calibri"/>
        <family val="2"/>
        <charset val="238"/>
        <scheme val="minor"/>
      </rPr>
      <t xml:space="preserve">  Do uposażenia (podstawy wymiaru) zalicza się uposażenie zasadnicze wraz z dodatkami o charaktrze stałym i 1/12 nagrody rocznej. 
</t>
    </r>
    <r>
      <rPr>
        <b/>
        <vertAlign val="superscript"/>
        <sz val="10"/>
        <rFont val="Calibri"/>
        <family val="2"/>
        <charset val="238"/>
        <scheme val="minor"/>
      </rPr>
      <t xml:space="preserve">**) </t>
    </r>
    <r>
      <rPr>
        <b/>
        <sz val="10"/>
        <rFont val="Calibri"/>
        <family val="2"/>
        <charset val="238"/>
        <scheme val="minor"/>
      </rPr>
      <t xml:space="preserve"> Jeżeli funkcjonariusz na dzień zwolnienia ze służby posiada</t>
    </r>
    <r>
      <rPr>
        <b/>
        <sz val="10"/>
        <color rgb="FFC00000"/>
        <rFont val="Calibri"/>
        <family val="2"/>
        <charset val="238"/>
        <scheme val="minor"/>
      </rPr>
      <t xml:space="preserve"> co najmniej 32 lata wysługi emerytalnej  (wartość w komórce H9&gt;=32), </t>
    </r>
    <r>
      <rPr>
        <b/>
        <sz val="10"/>
        <rFont val="Calibri"/>
        <family val="2"/>
        <charset val="238"/>
        <scheme val="minor"/>
      </rPr>
      <t xml:space="preserve">
to</t>
    </r>
    <r>
      <rPr>
        <b/>
        <sz val="10"/>
        <color rgb="FFC00000"/>
        <rFont val="Calibri"/>
        <family val="2"/>
        <charset val="238"/>
        <scheme val="minor"/>
      </rPr>
      <t xml:space="preserve"> do komóki K13 </t>
    </r>
    <r>
      <rPr>
        <b/>
        <sz val="10"/>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</si>
  <si>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Data wstąpienia po raz pierwszy do służby (zawodowej)   </t>
    </r>
    <r>
      <rPr>
        <b/>
        <u/>
        <sz val="10"/>
        <color rgb="FFC00000"/>
        <rFont val="Calibri"/>
        <family val="2"/>
        <charset val="238"/>
        <scheme val="minor"/>
      </rPr>
      <t>pole C4 obowiązkowe!</t>
    </r>
  </si>
  <si>
    <t>Przyjęci do służby po raz pierwszy po 31.12.2012 r. - art. 18e ustawy</t>
  </si>
  <si>
    <t>Przyjęci do służby po raz pierwszy po 1.01.1999 r. i przed 1.10.2003 r. - art. 15aa ustawy</t>
  </si>
  <si>
    <t>Przyjęci do służby po raz pierwszy przed 1.01.2013 r. -  art. 15 albo art. 15a ustawy</t>
  </si>
  <si>
    <t>Łączny % wymiar wysługi emerytalnej&lt;=75%</t>
  </si>
  <si>
    <r>
      <rPr>
        <b/>
        <vertAlign val="superscript"/>
        <sz val="10"/>
        <rFont val="Calibri"/>
        <family val="2"/>
        <charset val="238"/>
        <scheme val="minor"/>
      </rPr>
      <t xml:space="preserve">*) </t>
    </r>
    <r>
      <rPr>
        <b/>
        <sz val="10"/>
        <rFont val="Calibri"/>
        <family val="2"/>
        <charset val="238"/>
        <scheme val="minor"/>
      </rPr>
      <t xml:space="preserve">  Do uposażenia (podstawy wymiaru) zalicza się uposażenie zasadnicze wraz z dodatkami o charaktrze stałym i 1/12 nagrody rocznej. 
</t>
    </r>
    <r>
      <rPr>
        <b/>
        <vertAlign val="superscript"/>
        <sz val="10"/>
        <rFont val="Calibri"/>
        <family val="2"/>
        <charset val="238"/>
        <scheme val="minor"/>
      </rPr>
      <t xml:space="preserve">**) </t>
    </r>
    <r>
      <rPr>
        <b/>
        <sz val="10"/>
        <rFont val="Calibri"/>
        <family val="2"/>
        <charset val="238"/>
        <scheme val="minor"/>
      </rPr>
      <t xml:space="preserve"> Jeżeli funkcjonariusz na dzień zwolnienia ze służby posiada </t>
    </r>
    <r>
      <rPr>
        <b/>
        <sz val="10"/>
        <color rgb="FFC00000"/>
        <rFont val="Calibri"/>
        <family val="2"/>
        <charset val="238"/>
        <scheme val="minor"/>
      </rPr>
      <t xml:space="preserve">co najmniej 32 lata wysługi emerytalnej  (wartość w komórce H10&gt;=32), 
</t>
    </r>
    <r>
      <rPr>
        <b/>
        <sz val="10"/>
        <rFont val="Calibri"/>
        <family val="2"/>
        <charset val="238"/>
        <scheme val="minor"/>
      </rPr>
      <t>to</t>
    </r>
    <r>
      <rPr>
        <b/>
        <sz val="10"/>
        <color rgb="FFC00000"/>
        <rFont val="Calibri"/>
        <family val="2"/>
        <charset val="238"/>
        <scheme val="minor"/>
      </rPr>
      <t xml:space="preserve"> do komóki K14 </t>
    </r>
    <r>
      <rPr>
        <b/>
        <sz val="10"/>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</si>
  <si>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</si>
  <si>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Wypełniamy poniższe pola jasne - w formacie daty, tj.:
  RRRR-MM-DD (rok-miesiąc-dzień)</t>
  </si>
  <si>
    <t>Obowiązkowo wypełniamy poniższe pola jasne, w szczególności pole C4:
 "Data wstąpienia po raz pierwszy do służby" w formacie daty: RRRR-MM-DD</t>
  </si>
  <si>
    <r>
      <t xml:space="preserve">D. Okresy służby w SG półtorakrotne (1 rok  x 1,5 roku) 
</t>
    </r>
    <r>
      <rPr>
        <b/>
        <sz val="11"/>
        <color rgb="FFC00000"/>
        <rFont val="Calibri"/>
        <family val="2"/>
        <charset val="238"/>
        <scheme val="minor"/>
      </rPr>
      <t>spełniajace warunek "Data do" &lt;= 2012-12-31</t>
    </r>
  </si>
  <si>
    <r>
      <t xml:space="preserve">D. Okresy służby w SG półtorakrotne (1 rok x  1,5 roku) 
</t>
    </r>
    <r>
      <rPr>
        <b/>
        <sz val="11"/>
        <color rgb="FFC00000"/>
        <rFont val="Calibri"/>
        <family val="2"/>
        <charset val="238"/>
        <scheme val="minor"/>
      </rPr>
      <t>spełniajace warunek "Data do" &lt;= 2012-12-31</t>
    </r>
  </si>
  <si>
    <t>SUMA w wymiarze pojedynczym (1:1)</t>
  </si>
  <si>
    <t>SUMA pótorakrotne (LATA x 1,5)</t>
  </si>
  <si>
    <t>od 29.06.2002</t>
  </si>
  <si>
    <t>do 28.06.2002</t>
  </si>
  <si>
    <t>TABELA C.</t>
  </si>
  <si>
    <t>WP</t>
  </si>
  <si>
    <t>ROK</t>
  </si>
  <si>
    <t>Przeciętne roczne uposażenie 
Policja</t>
  </si>
  <si>
    <t>Przeciętne roczne uposażenie 
PSP</t>
  </si>
  <si>
    <t>Przeciętne roczne uposażenie 
SG</t>
  </si>
  <si>
    <t>Przeciętne roczne uposażenie 
wojsko</t>
  </si>
  <si>
    <t>Wskaźnik okresu</t>
  </si>
  <si>
    <t>s</t>
  </si>
  <si>
    <t xml:space="preserve">Suma 10 kolejnych najkorzystniejszych wskaźników </t>
  </si>
  <si>
    <t>Wskaźnik wysokości podstawy wymiaru WWPW (obliczony automatycznie)</t>
  </si>
  <si>
    <t>Wskaźnik wysokości podstawy wymiaru WWPW przyjęty do ustalenia podstawy wymiaru emerytury</t>
  </si>
  <si>
    <t>TABELA B.</t>
  </si>
  <si>
    <t xml:space="preserve">WWPW przyjęty do ustalenia do podstawy wymiaru emerytury </t>
  </si>
  <si>
    <t xml:space="preserve">Kwota przeciętnego miesięcznego  uposażenia w danej służbie
z dnia zwolnienia
</t>
  </si>
  <si>
    <t>ok</t>
  </si>
  <si>
    <t>zmiana</t>
  </si>
  <si>
    <t>Przeciętne roczne uposażenie 
SOP</t>
  </si>
  <si>
    <t>Przeciętne roczne uposażenie 
BOR</t>
  </si>
  <si>
    <r>
      <t>Wskaźnik wysokości podstawy wymiaru WWPW</t>
    </r>
    <r>
      <rPr>
        <b/>
        <i/>
        <sz val="11"/>
        <rFont val="Calibri"/>
        <family val="2"/>
        <charset val="238"/>
        <scheme val="minor"/>
      </rPr>
      <t xml:space="preserve"> </t>
    </r>
    <r>
      <rPr>
        <b/>
        <sz val="11"/>
        <rFont val="Calibri"/>
        <family val="2"/>
        <charset val="238"/>
        <scheme val="minor"/>
      </rPr>
      <t>(obliczony samodzielnie)</t>
    </r>
  </si>
  <si>
    <t xml:space="preserve">TABELA A. Obliczanie wskaźnika wysokości podstawy wymiaru z 10 kolejnych najkorzystniejszych 
lat dla funkcjonariusza </t>
  </si>
  <si>
    <t>do 31.01.2018</t>
  </si>
  <si>
    <t>od 01.02.2018</t>
  </si>
  <si>
    <t>Przeciętne roczne uposażenie 
w Służbie Więziennej</t>
  </si>
  <si>
    <t>W TABELI B. wypełniamy pole jasne, tj. datę zwolnienia ze służby oraz rodzaj służby z dnia zwolnienia.
Kwota miesięcznego uposażenia z dnia zwolnienia ze służby wypełniana jest automatycznie.</t>
  </si>
  <si>
    <t>albo przyjęci przed tą datą, którzy dokonali wyboru emerytury na podstawie  - art. 18h ustawy</t>
  </si>
  <si>
    <r>
      <rPr>
        <b/>
        <sz val="10"/>
        <rFont val="Calibri"/>
        <family val="2"/>
        <charset val="238"/>
        <scheme val="minor"/>
      </rPr>
      <t>Data zwolnienia
 ze służby &gt;=2025-01-01</t>
    </r>
    <r>
      <rPr>
        <b/>
        <vertAlign val="superscript"/>
        <sz val="10"/>
        <color rgb="FFC00000"/>
        <rFont val="Calibri"/>
        <family val="2"/>
        <charset val="238"/>
        <scheme val="minor"/>
      </rPr>
      <t xml:space="preserve">
</t>
    </r>
    <r>
      <rPr>
        <b/>
        <sz val="10"/>
        <color rgb="FFC00000"/>
        <rFont val="Calibri"/>
        <family val="2"/>
        <charset val="238"/>
        <scheme val="minor"/>
      </rPr>
      <t xml:space="preserve">Proszę wprowadzić </t>
    </r>
    <r>
      <rPr>
        <b/>
        <i/>
        <sz val="10"/>
        <color rgb="FFC00000"/>
        <rFont val="Calibri"/>
        <family val="2"/>
        <charset val="238"/>
        <scheme val="minor"/>
      </rPr>
      <t>w formacie daty</t>
    </r>
    <r>
      <rPr>
        <b/>
        <sz val="10"/>
        <color rgb="FFC00000"/>
        <rFont val="Calibri"/>
        <family val="2"/>
        <charset val="238"/>
        <scheme val="minor"/>
      </rPr>
      <t>,</t>
    </r>
    <r>
      <rPr>
        <b/>
        <i/>
        <sz val="10"/>
        <color rgb="FFC00000"/>
        <rFont val="Calibri"/>
        <family val="2"/>
        <charset val="238"/>
        <scheme val="minor"/>
      </rPr>
      <t xml:space="preserve"> 
tj. RRRR-MM-DD</t>
    </r>
  </si>
  <si>
    <t>Przeciętna miesięczna</t>
  </si>
  <si>
    <t>Obowiązkowo wypełniamy poniższe pola jasne, tj. komórkę C4 i D4:
 "Data wstąpienia po raz pierwszy do służby" w formacie daty: RRRR-MM-DD</t>
  </si>
  <si>
    <t>W TABELI A. Wypełniamy pola jasne: rodzaj służby (Kolumna 2), 
roczne uposażenie funkcjonariusza (Kolumna 3)</t>
  </si>
  <si>
    <r>
      <t xml:space="preserve">Przeciętne roczne uposażenie w  danej służbie 
</t>
    </r>
    <r>
      <rPr>
        <b/>
        <sz val="9"/>
        <color rgb="FF002060"/>
        <rFont val="Calibri"/>
        <family val="2"/>
        <charset val="238"/>
        <scheme val="minor"/>
      </rPr>
      <t xml:space="preserve">(wypełniane automatycznie)
</t>
    </r>
  </si>
  <si>
    <t>W kolumnie F zaznaczonych zostało 10 najkorzystniejszych wskaźników z kolejnych 10 lat</t>
  </si>
  <si>
    <r>
      <t xml:space="preserve">Podstawa wymiaru emerytury z 10 kolejnych lat 
</t>
    </r>
    <r>
      <rPr>
        <sz val="10"/>
        <color theme="1"/>
        <rFont val="Calibri"/>
        <family val="2"/>
        <charset val="238"/>
        <scheme val="minor"/>
      </rPr>
      <t>(bez zwiększenia z tytułu świadczenia za długoletnią służbę</t>
    </r>
    <r>
      <rPr>
        <vertAlign val="superscript"/>
        <sz val="10"/>
        <color theme="1"/>
        <rFont val="Calibri"/>
        <family val="2"/>
        <charset val="238"/>
        <scheme val="minor"/>
      </rPr>
      <t>**)</t>
    </r>
    <r>
      <rPr>
        <sz val="10"/>
        <color theme="1"/>
        <rFont val="Calibri"/>
        <family val="2"/>
        <charset val="238"/>
        <scheme val="minor"/>
      </rPr>
      <t>) - art. 18f ust. 3 pkt 4</t>
    </r>
  </si>
  <si>
    <t>Obowiązkowo wypełniamy zakładkę "Podstawa wymiaru 10 lat"</t>
  </si>
  <si>
    <r>
      <rPr>
        <b/>
        <vertAlign val="superscript"/>
        <sz val="11"/>
        <rFont val="Calibri"/>
        <family val="2"/>
        <charset val="238"/>
        <scheme val="minor"/>
      </rPr>
      <t xml:space="preserve">*) </t>
    </r>
    <r>
      <rPr>
        <b/>
        <sz val="11"/>
        <rFont val="Calibri"/>
        <family val="2"/>
        <charset val="238"/>
        <scheme val="minor"/>
      </rPr>
      <t xml:space="preserve">Podstawa wymiaru - średnie uposażenie z 10 lat służby - bez doliczonego świadczenia za długoletnią służbę. 
</t>
    </r>
    <r>
      <rPr>
        <b/>
        <vertAlign val="superscript"/>
        <sz val="11"/>
        <rFont val="Calibri"/>
        <family val="2"/>
        <charset val="238"/>
        <scheme val="minor"/>
      </rPr>
      <t>**)</t>
    </r>
    <r>
      <rPr>
        <b/>
        <sz val="11"/>
        <rFont val="Calibri"/>
        <family val="2"/>
        <charset val="238"/>
        <scheme val="minor"/>
      </rPr>
      <t xml:space="preserve"> Jeżeli funkcjonariusz na dzień zwolnienia ze służby posiada</t>
    </r>
    <r>
      <rPr>
        <b/>
        <sz val="11"/>
        <color rgb="FFC00000"/>
        <rFont val="Calibri"/>
        <family val="2"/>
        <charset val="238"/>
        <scheme val="minor"/>
      </rPr>
      <t xml:space="preserve"> co najmniej 32 lata wysługi emerytalnej  (wartość 
w komórce H9&gt;=32),</t>
    </r>
    <r>
      <rPr>
        <b/>
        <sz val="11"/>
        <rFont val="Calibri"/>
        <family val="2"/>
        <charset val="238"/>
        <scheme val="minor"/>
      </rPr>
      <t xml:space="preserve"> to</t>
    </r>
    <r>
      <rPr>
        <b/>
        <sz val="11"/>
        <color rgb="FFC00000"/>
        <rFont val="Calibri"/>
        <family val="2"/>
        <charset val="238"/>
        <scheme val="minor"/>
      </rPr>
      <t xml:space="preserve"> do komóki K14</t>
    </r>
    <r>
      <rPr>
        <b/>
        <sz val="11"/>
        <rFont val="Calibri"/>
        <family val="2"/>
        <charset val="238"/>
        <scheme val="minor"/>
      </rPr>
      <t xml:space="preserve"> proszę wprowadzić miesięczną kwotę pobieranego świadczenia za długoletnią służbę. Wprowadzona kwota świadczenia za długoletnią służbę zostanie doliczona do podstawy wymiaru emerytury.</t>
    </r>
  </si>
  <si>
    <t>dzw 18e 18h</t>
  </si>
  <si>
    <t xml:space="preserve"> Jeżeli do komórki F35 wprowadzono wskaźnik WWPW obliczony samodzielnie, tj. F35&gt;0%, 
to do obliczenia podstawy wymiaru przyjęty zostanie wskaźnik z tej komórki. Jeżeli F35=0%, 
to do podstawy wymiaru przyjęty zostanie wskaźnik WWPW obliczony automatycznie 
w komórce F32</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</si>
  <si>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18e albo 18h".</t>
  </si>
  <si>
    <t>SOP/BOR</t>
  </si>
  <si>
    <t>Przeciętne roczne uposażenie 
SOP/BOR</t>
  </si>
  <si>
    <t>ABW/UOP</t>
  </si>
  <si>
    <t>AW/UOP</t>
  </si>
  <si>
    <t>WAŻNE</t>
  </si>
  <si>
    <t>Dane z tej zakładki, tj. z komórki A48 - "Data zwolnienia ze służby", z komórki - B48 "Służba",
 z komórki F48  - "WWPW wskaźnik przyjęty do ustalenia podstawy wymiaru emerytury" oraz 
z komórki F49 - "Podstawa wymiaru emerytury z 10 kolejnych lat" przenoszne są automatyczne
 do zakładki "art. 18e albo 18h"</t>
  </si>
  <si>
    <r>
      <rPr>
        <b/>
        <sz val="10"/>
        <color rgb="FFC00000"/>
        <rFont val="Calibri"/>
        <family val="2"/>
        <charset val="238"/>
        <scheme val="minor"/>
      </rPr>
      <t xml:space="preserve"> SŁUŻBA</t>
    </r>
    <r>
      <rPr>
        <b/>
        <sz val="10"/>
        <color theme="1"/>
        <rFont val="Calibri"/>
        <family val="2"/>
        <charset val="238"/>
        <scheme val="minor"/>
      </rPr>
      <t xml:space="preserve">
</t>
    </r>
    <r>
      <rPr>
        <b/>
        <i/>
        <sz val="9"/>
        <color rgb="FFC00000"/>
        <rFont val="Calibri"/>
        <family val="2"/>
        <charset val="238"/>
        <scheme val="minor"/>
      </rPr>
      <t>(proszę wybrać służbę dla każdego roku)</t>
    </r>
  </si>
  <si>
    <r>
      <t>Wskaźnik roczny</t>
    </r>
    <r>
      <rPr>
        <b/>
        <sz val="9"/>
        <color rgb="FFC00000"/>
        <rFont val="Calibri"/>
        <family val="2"/>
        <charset val="238"/>
        <scheme val="minor"/>
      </rPr>
      <t xml:space="preserve"> 
</t>
    </r>
    <r>
      <rPr>
        <b/>
        <sz val="9"/>
        <color rgb="FF002060"/>
        <rFont val="Calibri"/>
        <family val="2"/>
        <charset val="238"/>
        <scheme val="minor"/>
      </rPr>
      <t>(obliczany automatycznie)</t>
    </r>
  </si>
  <si>
    <t xml:space="preserve">WWPW wskaźnik przyjęty do ustalenia podstawy wymiaru emerytury </t>
  </si>
  <si>
    <r>
      <t xml:space="preserve">SŁUŻBA
</t>
    </r>
    <r>
      <rPr>
        <b/>
        <i/>
        <sz val="10"/>
        <color rgb="FFC00000"/>
        <rFont val="Calibri"/>
        <family val="2"/>
        <charset val="238"/>
        <scheme val="minor"/>
      </rPr>
      <t>(proszę wybrać służbę z dnia zwolnienia)</t>
    </r>
  </si>
  <si>
    <r>
      <rPr>
        <b/>
        <sz val="10"/>
        <color rgb="FFC00000"/>
        <rFont val="Calibri"/>
        <family val="2"/>
        <charset val="238"/>
        <scheme val="minor"/>
      </rPr>
      <t xml:space="preserve">ROCZNE -  uposażenie należne funkcjonariuszowi </t>
    </r>
    <r>
      <rPr>
        <b/>
        <sz val="9"/>
        <color theme="1"/>
        <rFont val="Calibri"/>
        <family val="2"/>
        <charset val="238"/>
        <scheme val="minor"/>
      </rPr>
      <t xml:space="preserve">
 </t>
    </r>
    <r>
      <rPr>
        <i/>
        <sz val="9"/>
        <color theme="1"/>
        <rFont val="Calibri"/>
        <family val="2"/>
        <charset val="238"/>
        <scheme val="minor"/>
      </rPr>
      <t>(roczna  suma uposażenia zasadniczego wraz z dodatkami 
o charakterze stałym 
i nagrodą roczną)</t>
    </r>
  </si>
  <si>
    <t>od 2.08.2006</t>
  </si>
  <si>
    <t>ABW+UOP</t>
  </si>
  <si>
    <t>WP (wojsko)</t>
  </si>
  <si>
    <t>od 1.04.2001</t>
  </si>
  <si>
    <t>Długość okresów służby i okresów równorzędnych ze służbą (do wysokości)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</si>
</sst>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66"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b/>
      <vertAlign val="superscript"/>
      <sz val="10"/>
      <color theme="1"/>
      <name val="Calibri"/>
      <family val="2"/>
      <charset val="238"/>
      <scheme val="minor"/>
    </font>
    <font>
      <sz val="9"/>
      <color indexed="81"/>
      <name val="Tahoma"/>
      <family val="2"/>
      <charset val="238"/>
    </font>
    <font>
      <i/>
      <sz val="10"/>
      <name val="Calibri"/>
      <family val="2"/>
      <charset val="238"/>
      <scheme val="minor"/>
    </font>
    <font>
      <b/>
      <i/>
      <sz val="11"/>
      <color theme="1"/>
      <name val="Calibri"/>
      <family val="2"/>
      <charset val="238"/>
      <scheme val="minor"/>
    </font>
    <font>
      <b/>
      <sz val="11"/>
      <color rgb="FFFF0000"/>
      <name val="Calibri"/>
      <family val="2"/>
      <charset val="238"/>
      <scheme val="minor"/>
    </font>
    <font>
      <b/>
      <sz val="11"/>
      <name val="Calibri"/>
      <family val="2"/>
      <charset val="238"/>
      <scheme val="minor"/>
    </font>
    <font>
      <b/>
      <sz val="12"/>
      <color rgb="FF002060"/>
      <name val="Calibri"/>
      <family val="2"/>
      <charset val="238"/>
      <scheme val="minor"/>
    </font>
    <font>
      <b/>
      <sz val="11"/>
      <color theme="0"/>
      <name val="Calibri"/>
      <family val="2"/>
      <charset val="238"/>
      <scheme val="minor"/>
    </font>
    <font>
      <b/>
      <sz val="12"/>
      <color rgb="FFC00000"/>
      <name val="Calibri"/>
      <family val="2"/>
      <charset val="238"/>
      <scheme val="minor"/>
    </font>
    <font>
      <b/>
      <vertAlign val="superscript"/>
      <sz val="11"/>
      <name val="Calibri"/>
      <family val="2"/>
      <charset val="238"/>
      <scheme val="minor"/>
    </font>
    <font>
      <sz val="10"/>
      <color theme="0"/>
      <name val="Calibri"/>
      <family val="2"/>
      <charset val="238"/>
      <scheme val="minor"/>
    </font>
    <font>
      <b/>
      <sz val="10"/>
      <name val="Calibri"/>
      <family val="2"/>
      <charset val="238"/>
      <scheme val="minor"/>
    </font>
    <font>
      <b/>
      <vertAlign val="superscript"/>
      <sz val="11"/>
      <color theme="1"/>
      <name val="Calibri"/>
      <family val="2"/>
      <charset val="238"/>
      <scheme val="minor"/>
    </font>
    <font>
      <b/>
      <sz val="11.5"/>
      <color theme="1"/>
      <name val="Calibri"/>
      <family val="2"/>
      <charset val="238"/>
      <scheme val="minor"/>
    </font>
    <font>
      <b/>
      <vertAlign val="superscript"/>
      <sz val="10"/>
      <name val="Calibri"/>
      <family val="2"/>
      <charset val="238"/>
      <scheme val="minor"/>
    </font>
    <font>
      <sz val="11"/>
      <color theme="0"/>
      <name val="Calibri"/>
      <family val="2"/>
      <charset val="238"/>
      <scheme val="minor"/>
    </font>
    <font>
      <b/>
      <u/>
      <sz val="10"/>
      <color rgb="FFC00000"/>
      <name val="Calibri"/>
      <family val="2"/>
      <charset val="238"/>
      <scheme val="minor"/>
    </font>
    <font>
      <b/>
      <sz val="13"/>
      <color rgb="FF000000"/>
      <name val="Calibri"/>
      <family val="2"/>
      <charset val="238"/>
      <scheme val="minor"/>
    </font>
    <font>
      <b/>
      <i/>
      <sz val="12"/>
      <color rgb="FFC00000"/>
      <name val="Calibri"/>
      <family val="2"/>
      <charset val="238"/>
      <scheme val="minor"/>
    </font>
    <font>
      <b/>
      <sz val="11.5"/>
      <name val="Calibri"/>
      <family val="2"/>
      <charset val="238"/>
      <scheme val="minor"/>
    </font>
    <font>
      <b/>
      <i/>
      <sz val="11.5"/>
      <color rgb="FFC00000"/>
      <name val="Calibri"/>
      <family val="2"/>
      <charset val="238"/>
      <scheme val="minor"/>
    </font>
    <font>
      <sz val="11"/>
      <color rgb="FFC00000"/>
      <name val="Calibri"/>
      <family val="2"/>
      <charset val="238"/>
      <scheme val="minor"/>
    </font>
    <font>
      <b/>
      <i/>
      <sz val="10"/>
      <color theme="0"/>
      <name val="Calibri"/>
      <family val="2"/>
      <charset val="238"/>
      <scheme val="minor"/>
    </font>
    <font>
      <b/>
      <sz val="8.5"/>
      <color rgb="FFC00000"/>
      <name val="Calibri"/>
      <family val="2"/>
      <charset val="238"/>
      <scheme val="minor"/>
    </font>
    <font>
      <b/>
      <i/>
      <sz val="11"/>
      <name val="Calibri"/>
      <family val="2"/>
      <charset val="238"/>
      <scheme val="minor"/>
    </font>
    <font>
      <b/>
      <i/>
      <sz val="11"/>
      <color theme="0"/>
      <name val="Calibri"/>
      <family val="2"/>
      <charset val="238"/>
      <scheme val="minor"/>
    </font>
    <font>
      <b/>
      <sz val="9"/>
      <color theme="1"/>
      <name val="Calibri"/>
      <family val="2"/>
      <charset val="238"/>
      <scheme val="minor"/>
    </font>
    <font>
      <i/>
      <sz val="9"/>
      <color theme="1"/>
      <name val="Calibri"/>
      <family val="2"/>
      <charset val="238"/>
      <scheme val="minor"/>
    </font>
    <font>
      <b/>
      <sz val="9"/>
      <color theme="0"/>
      <name val="Calibri"/>
      <family val="2"/>
      <charset val="238"/>
      <scheme val="minor"/>
    </font>
    <font>
      <b/>
      <sz val="8"/>
      <color theme="0"/>
      <name val="Calibri"/>
      <family val="2"/>
      <charset val="238"/>
      <scheme val="minor"/>
    </font>
    <font>
      <b/>
      <sz val="14"/>
      <color rgb="FFC00000"/>
      <name val="Calibri"/>
      <family val="2"/>
      <charset val="238"/>
      <scheme val="minor"/>
    </font>
    <font>
      <b/>
      <sz val="12"/>
      <color theme="0"/>
      <name val="Calibri"/>
      <family val="2"/>
      <charset val="238"/>
      <scheme val="minor"/>
    </font>
    <font>
      <b/>
      <sz val="12"/>
      <name val="Calibri"/>
      <family val="2"/>
      <charset val="238"/>
      <scheme val="minor"/>
    </font>
    <font>
      <b/>
      <i/>
      <sz val="9"/>
      <color rgb="FFC00000"/>
      <name val="Calibri"/>
      <family val="2"/>
      <charset val="238"/>
      <scheme val="minor"/>
    </font>
    <font>
      <b/>
      <i/>
      <sz val="10"/>
      <color rgb="FFC00000"/>
      <name val="Calibri"/>
      <family val="2"/>
      <charset val="238"/>
      <scheme val="minor"/>
    </font>
    <font>
      <b/>
      <vertAlign val="superscript"/>
      <sz val="10"/>
      <color rgb="FFC00000"/>
      <name val="Calibri"/>
      <family val="2"/>
      <charset val="238"/>
      <scheme val="minor"/>
    </font>
    <font>
      <sz val="8"/>
      <name val="Calibri"/>
      <family val="2"/>
      <charset val="238"/>
      <scheme val="minor"/>
    </font>
    <font>
      <sz val="8"/>
      <color theme="0"/>
      <name val="Calibri"/>
      <family val="2"/>
      <charset val="238"/>
      <scheme val="minor"/>
    </font>
    <font>
      <b/>
      <i/>
      <sz val="12"/>
      <color theme="0"/>
      <name val="Calibri"/>
      <family val="2"/>
      <charset val="238"/>
      <scheme val="minor"/>
    </font>
    <font>
      <sz val="11"/>
      <color rgb="FF002060"/>
      <name val="Calibri"/>
      <family val="2"/>
      <charset val="238"/>
      <scheme val="minor"/>
    </font>
    <font>
      <b/>
      <sz val="10"/>
      <color rgb="FF000000"/>
      <name val="Calibri"/>
      <family val="2"/>
      <charset val="238"/>
      <scheme val="minor"/>
    </font>
    <font>
      <b/>
      <sz val="8"/>
      <color rgb="FFC00000"/>
      <name val="Calibri"/>
      <family val="2"/>
      <charset val="238"/>
      <scheme val="minor"/>
    </font>
    <font>
      <b/>
      <sz val="9"/>
      <color rgb="FFC00000"/>
      <name val="Calibri"/>
      <family val="2"/>
      <charset val="238"/>
      <scheme val="minor"/>
    </font>
    <font>
      <b/>
      <sz val="9"/>
      <color rgb="FF002060"/>
      <name val="Calibri"/>
      <family val="2"/>
      <charset val="238"/>
      <scheme val="minor"/>
    </font>
    <font>
      <vertAlign val="superscript"/>
      <sz val="10"/>
      <color theme="1"/>
      <name val="Calibri"/>
      <family val="2"/>
      <charset val="238"/>
      <scheme val="minor"/>
    </font>
    <font>
      <b/>
      <sz val="11.5"/>
      <color rgb="FFC00000"/>
      <name val="Calibri"/>
      <family val="2"/>
      <charset val="238"/>
      <scheme val="minor"/>
    </font>
    <font>
      <b/>
      <sz val="11.5"/>
      <color rgb="FF002060"/>
      <name val="Calibri"/>
      <family val="2"/>
      <charset val="238"/>
      <scheme val="minor"/>
    </font>
    <font>
      <b/>
      <sz val="12.5"/>
      <color rgb="FF002060"/>
      <name val="Calibri"/>
      <family val="2"/>
      <charset val="238"/>
      <scheme val="minor"/>
    </font>
    <font>
      <sz val="9"/>
      <color theme="1"/>
      <name val="Calibri"/>
      <family val="2"/>
      <charset val="238"/>
      <scheme val="minor"/>
    </font>
    <font>
      <b/>
      <sz val="9"/>
      <color rgb="FFFF0000"/>
      <name val="Calibri"/>
      <family val="2"/>
      <charset val="238"/>
      <scheme val="minor"/>
    </font>
    <font>
      <i/>
      <sz val="10"/>
      <color rgb="FFFF0000"/>
      <name val="Calibri"/>
      <family val="2"/>
      <charset val="238"/>
      <scheme val="minor"/>
    </font>
  </fonts>
  <fills count="34">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31"/>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bottom style="medium">
        <color rgb="FFC00000"/>
      </bottom>
      <diagonal/>
    </border>
    <border>
      <left/>
      <right style="medium">
        <color indexed="64"/>
      </right>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Dashed">
        <color rgb="FFC00000"/>
      </left>
      <right style="mediumDashed">
        <color rgb="FFC00000"/>
      </right>
      <top style="mediumDashed">
        <color rgb="FFC00000"/>
      </top>
      <bottom style="medium">
        <color rgb="FFC00000"/>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right style="medium">
        <color indexed="64"/>
      </right>
      <top/>
      <bottom style="thin">
        <color indexed="64"/>
      </bottom>
      <diagonal/>
    </border>
    <border>
      <left style="thin">
        <color indexed="64"/>
      </left>
      <right/>
      <top style="medium">
        <color rgb="FFC00000"/>
      </top>
      <bottom style="thin">
        <color indexed="64"/>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style="thin">
        <color indexed="64"/>
      </top>
      <bottom style="medium">
        <color rgb="FFC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9" fontId="10" fillId="0" borderId="0" applyFont="0" applyFill="0" applyBorder="0" applyAlignment="0" applyProtection="0"/>
  </cellStyleXfs>
  <cellXfs count="598">
    <xf numFmtId="0" fontId="0" fillId="0" borderId="0" xfId="0"/>
    <xf numFmtId="0" fontId="17" fillId="0" borderId="0" xfId="0" applyFont="1" applyAlignment="1" applyProtection="1">
      <alignment horizontal="left"/>
      <protection hidden="1"/>
    </xf>
    <xf numFmtId="0" fontId="0" fillId="0" borderId="0" xfId="0" applyProtection="1">
      <protection hidden="1"/>
    </xf>
    <xf numFmtId="165" fontId="1" fillId="2" borderId="4" xfId="0" applyNumberFormat="1" applyFont="1" applyFill="1" applyBorder="1" applyAlignment="1" applyProtection="1">
      <alignment horizontal="right" vertical="center"/>
      <protection locked="0"/>
    </xf>
    <xf numFmtId="10" fontId="3" fillId="3" borderId="23" xfId="1" applyNumberFormat="1" applyFont="1" applyFill="1" applyBorder="1" applyAlignment="1" applyProtection="1">
      <alignment horizontal="center" vertical="center"/>
      <protection hidden="1"/>
    </xf>
    <xf numFmtId="10" fontId="3" fillId="3" borderId="11" xfId="1" applyNumberFormat="1"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7" borderId="14" xfId="0" applyFill="1" applyBorder="1" applyAlignment="1" applyProtection="1">
      <alignment horizontal="center" vertical="center"/>
      <protection hidden="1"/>
    </xf>
    <xf numFmtId="0" fontId="2" fillId="2" borderId="0" xfId="0" applyFont="1" applyFill="1" applyProtection="1">
      <protection hidden="1"/>
    </xf>
    <xf numFmtId="0" fontId="1" fillId="7" borderId="5"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14" fontId="1" fillId="7" borderId="6" xfId="0" applyNumberFormat="1" applyFont="1" applyFill="1" applyBorder="1" applyAlignment="1" applyProtection="1">
      <alignment horizontal="center" vertical="center"/>
      <protection hidden="1"/>
    </xf>
    <xf numFmtId="0" fontId="0" fillId="6" borderId="32" xfId="0" applyFill="1" applyBorder="1" applyAlignment="1" applyProtection="1">
      <alignment vertical="center"/>
      <protection hidden="1"/>
    </xf>
    <xf numFmtId="0" fontId="0" fillId="6" borderId="33" xfId="0" applyFill="1" applyBorder="1" applyAlignment="1" applyProtection="1">
      <alignment vertical="center"/>
      <protection hidden="1"/>
    </xf>
    <xf numFmtId="0" fontId="0" fillId="6" borderId="34"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6" borderId="25" xfId="0" applyFill="1" applyBorder="1" applyAlignment="1" applyProtection="1">
      <alignment vertical="center"/>
      <protection hidden="1"/>
    </xf>
    <xf numFmtId="0" fontId="0" fillId="6" borderId="1" xfId="0" applyFill="1" applyBorder="1" applyAlignment="1" applyProtection="1">
      <alignment vertical="center"/>
      <protection hidden="1"/>
    </xf>
    <xf numFmtId="0" fontId="0" fillId="6" borderId="26"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9" borderId="23" xfId="0" applyFont="1" applyFill="1" applyBorder="1" applyAlignment="1" applyProtection="1">
      <alignment vertical="center" wrapText="1"/>
      <protection hidden="1"/>
    </xf>
    <xf numFmtId="0" fontId="3" fillId="9" borderId="42" xfId="0" applyFont="1" applyFill="1" applyBorder="1" applyAlignment="1" applyProtection="1">
      <alignment horizontal="center" vertical="center"/>
      <protection hidden="1"/>
    </xf>
    <xf numFmtId="0" fontId="3" fillId="9" borderId="38" xfId="0" applyFont="1" applyFill="1" applyBorder="1" applyAlignment="1" applyProtection="1">
      <alignment horizontal="center" vertical="center"/>
      <protection hidden="1"/>
    </xf>
    <xf numFmtId="0" fontId="2" fillId="9" borderId="35" xfId="0" applyFont="1" applyFill="1" applyBorder="1" applyAlignment="1" applyProtection="1">
      <alignment horizontal="center" vertical="center"/>
      <protection hidden="1"/>
    </xf>
    <xf numFmtId="0" fontId="7" fillId="0" borderId="0" xfId="0" applyFont="1" applyAlignment="1" applyProtection="1">
      <alignment horizontal="left"/>
      <protection hidden="1"/>
    </xf>
    <xf numFmtId="0" fontId="3" fillId="10" borderId="9" xfId="0" applyFont="1" applyFill="1" applyBorder="1" applyAlignment="1" applyProtection="1">
      <alignment vertical="center"/>
      <protection hidden="1"/>
    </xf>
    <xf numFmtId="0" fontId="3" fillId="10" borderId="3" xfId="0" applyFont="1"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0" fontId="2" fillId="10" borderId="2" xfId="0" applyFont="1" applyFill="1" applyBorder="1" applyAlignment="1" applyProtection="1">
      <alignment horizontal="center" vertical="center"/>
      <protection hidden="1"/>
    </xf>
    <xf numFmtId="10" fontId="3" fillId="3" borderId="15" xfId="1" applyNumberFormat="1"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8"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21" xfId="0" applyFill="1" applyBorder="1" applyAlignment="1" applyProtection="1">
      <alignment vertical="center"/>
      <protection hidden="1"/>
    </xf>
    <xf numFmtId="0" fontId="0" fillId="6" borderId="40" xfId="0" applyFill="1" applyBorder="1" applyAlignment="1" applyProtection="1">
      <alignment vertical="center"/>
      <protection hidden="1"/>
    </xf>
    <xf numFmtId="10" fontId="1" fillId="3" borderId="4" xfId="1" applyNumberFormat="1" applyFont="1" applyFill="1" applyBorder="1" applyAlignment="1" applyProtection="1">
      <alignment horizontal="right" vertical="center"/>
      <protection hidden="1"/>
    </xf>
    <xf numFmtId="0" fontId="1" fillId="7" borderId="4" xfId="0" applyFont="1" applyFill="1" applyBorder="1" applyAlignment="1" applyProtection="1">
      <alignment vertical="center"/>
      <protection hidden="1"/>
    </xf>
    <xf numFmtId="0" fontId="1" fillId="7" borderId="14" xfId="0" applyFont="1" applyFill="1" applyBorder="1" applyAlignment="1" applyProtection="1">
      <alignment vertical="center"/>
      <protection hidden="1"/>
    </xf>
    <xf numFmtId="0" fontId="0" fillId="0" borderId="0" xfId="0" applyAlignment="1" applyProtection="1">
      <alignment horizontal="center" vertical="center"/>
      <protection hidden="1"/>
    </xf>
    <xf numFmtId="165" fontId="19" fillId="7" borderId="15" xfId="0" applyNumberFormat="1" applyFont="1" applyFill="1" applyBorder="1" applyAlignment="1" applyProtection="1">
      <alignment horizontal="right" vertical="center"/>
      <protection hidden="1"/>
    </xf>
    <xf numFmtId="165" fontId="19" fillId="7" borderId="43" xfId="0" applyNumberFormat="1" applyFont="1" applyFill="1" applyBorder="1" applyAlignment="1" applyProtection="1">
      <alignment horizontal="right" vertical="center"/>
      <protection hidden="1"/>
    </xf>
    <xf numFmtId="0" fontId="1" fillId="10" borderId="5" xfId="0" applyFont="1" applyFill="1" applyBorder="1" applyAlignment="1" applyProtection="1">
      <alignment horizontal="center" vertical="center"/>
      <protection hidden="1"/>
    </xf>
    <xf numFmtId="0" fontId="1" fillId="10" borderId="16" xfId="0" applyFont="1" applyFill="1" applyBorder="1" applyAlignment="1" applyProtection="1">
      <alignment horizontal="center" vertical="center"/>
      <protection hidden="1"/>
    </xf>
    <xf numFmtId="14" fontId="1" fillId="10" borderId="6" xfId="0" applyNumberFormat="1" applyFont="1" applyFill="1" applyBorder="1" applyAlignment="1" applyProtection="1">
      <alignment horizontal="center" vertical="center"/>
      <protection hidden="1"/>
    </xf>
    <xf numFmtId="0" fontId="1" fillId="10" borderId="7" xfId="0" applyFont="1" applyFill="1" applyBorder="1" applyAlignment="1" applyProtection="1">
      <alignment horizontal="center" vertical="center"/>
      <protection hidden="1"/>
    </xf>
    <xf numFmtId="165" fontId="13" fillId="4" borderId="4" xfId="0" applyNumberFormat="1" applyFont="1" applyFill="1" applyBorder="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0" fillId="2" borderId="0" xfId="0" applyFill="1" applyProtection="1">
      <protection hidden="1"/>
    </xf>
    <xf numFmtId="0" fontId="1" fillId="10" borderId="13" xfId="0" applyFont="1" applyFill="1" applyBorder="1" applyAlignment="1" applyProtection="1">
      <alignment vertical="center"/>
      <protection hidden="1"/>
    </xf>
    <xf numFmtId="0" fontId="1" fillId="10" borderId="4" xfId="0" applyFont="1" applyFill="1" applyBorder="1" applyAlignment="1" applyProtection="1">
      <alignment vertical="center"/>
      <protection hidden="1"/>
    </xf>
    <xf numFmtId="0" fontId="1" fillId="10" borderId="14" xfId="0" applyFont="1" applyFill="1" applyBorder="1" applyAlignment="1" applyProtection="1">
      <alignment vertical="center"/>
      <protection hidden="1"/>
    </xf>
    <xf numFmtId="0" fontId="6" fillId="0" borderId="0" xfId="0" applyFont="1" applyAlignment="1" applyProtection="1">
      <alignment horizontal="center" vertical="center"/>
      <protection hidden="1"/>
    </xf>
    <xf numFmtId="164" fontId="0" fillId="0" borderId="0" xfId="0" applyNumberFormat="1" applyAlignment="1" applyProtection="1">
      <alignment horizontal="center" vertical="center"/>
      <protection hidden="1"/>
    </xf>
    <xf numFmtId="0" fontId="0" fillId="0" borderId="0" xfId="0" applyAlignme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0" fillId="2" borderId="0" xfId="0" applyFill="1" applyAlignment="1" applyProtection="1">
      <alignment horizontal="left"/>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6" borderId="32" xfId="0" applyFill="1" applyBorder="1" applyAlignment="1" applyProtection="1">
      <alignment horizontal="right" vertical="center"/>
      <protection hidden="1"/>
    </xf>
    <xf numFmtId="0" fontId="0" fillId="6" borderId="33" xfId="0" applyFill="1" applyBorder="1" applyAlignment="1" applyProtection="1">
      <alignment horizontal="right" vertical="center"/>
      <protection hidden="1"/>
    </xf>
    <xf numFmtId="0" fontId="0" fillId="6" borderId="34" xfId="0" applyFill="1" applyBorder="1" applyAlignment="1" applyProtection="1">
      <alignment horizontal="righ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2" fillId="13" borderId="13" xfId="0" applyFont="1" applyFill="1" applyBorder="1" applyAlignment="1" applyProtection="1">
      <alignment horizontal="right" vertical="center"/>
      <protection hidden="1"/>
    </xf>
    <xf numFmtId="0" fontId="12" fillId="13" borderId="4" xfId="0" applyFont="1" applyFill="1" applyBorder="1" applyAlignment="1" applyProtection="1">
      <alignment horizontal="right" vertical="center"/>
      <protection hidden="1"/>
    </xf>
    <xf numFmtId="0" fontId="12" fillId="13" borderId="14" xfId="0" applyFont="1" applyFill="1" applyBorder="1" applyAlignment="1" applyProtection="1">
      <alignment horizontal="right" vertical="center"/>
      <protection hidden="1"/>
    </xf>
    <xf numFmtId="14" fontId="22"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0" fontId="0" fillId="7" borderId="13"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13" borderId="29"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8" borderId="13" xfId="0" applyFont="1" applyFill="1" applyBorder="1" applyAlignment="1" applyProtection="1">
      <alignment horizontal="center" vertical="center"/>
      <protection hidden="1"/>
    </xf>
    <xf numFmtId="0" fontId="6" fillId="8" borderId="4" xfId="0" applyFont="1" applyFill="1" applyBorder="1" applyAlignment="1" applyProtection="1">
      <alignment horizontal="center" vertical="center"/>
      <protection hidden="1"/>
    </xf>
    <xf numFmtId="0" fontId="6" fillId="8" borderId="14" xfId="0" applyFont="1" applyFill="1" applyBorder="1" applyAlignment="1" applyProtection="1">
      <alignment horizontal="center" vertical="center"/>
      <protection hidden="1"/>
    </xf>
    <xf numFmtId="0" fontId="3" fillId="10" borderId="10" xfId="0" applyFont="1" applyFill="1" applyBorder="1" applyAlignment="1" applyProtection="1">
      <alignment vertical="center"/>
      <protection hidden="1"/>
    </xf>
    <xf numFmtId="165" fontId="19" fillId="7" borderId="9" xfId="0" applyNumberFormat="1" applyFont="1"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0" fillId="13" borderId="30"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9" borderId="4" xfId="0" applyFont="1" applyFill="1" applyBorder="1" applyAlignment="1" applyProtection="1">
      <alignment vertical="center" wrapText="1"/>
      <protection hidden="1"/>
    </xf>
    <xf numFmtId="0" fontId="3" fillId="9" borderId="18" xfId="0" applyFont="1" applyFill="1" applyBorder="1" applyAlignment="1" applyProtection="1">
      <alignment horizontal="center" vertical="center"/>
      <protection hidden="1"/>
    </xf>
    <xf numFmtId="10" fontId="3" fillId="3" borderId="41" xfId="1" applyNumberFormat="1" applyFont="1" applyFill="1" applyBorder="1" applyAlignment="1" applyProtection="1">
      <alignment horizontal="center" vertical="center"/>
      <protection hidden="1"/>
    </xf>
    <xf numFmtId="10" fontId="13" fillId="3" borderId="4" xfId="1" applyNumberFormat="1" applyFont="1" applyFill="1" applyBorder="1" applyAlignment="1" applyProtection="1">
      <alignment horizontal="center" vertical="center"/>
      <protection hidden="1"/>
    </xf>
    <xf numFmtId="10" fontId="1" fillId="2" borderId="0" xfId="1" applyNumberFormat="1" applyFont="1" applyFill="1" applyBorder="1" applyAlignment="1" applyProtection="1">
      <alignment vertical="center"/>
      <protection hidden="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5" borderId="4" xfId="0" applyFont="1" applyFill="1" applyBorder="1" applyAlignment="1" applyProtection="1">
      <alignment horizontal="center" vertical="center"/>
      <protection hidden="1"/>
    </xf>
    <xf numFmtId="0" fontId="1" fillId="15" borderId="14"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14" fontId="25" fillId="0" borderId="0" xfId="0" applyNumberFormat="1" applyFont="1" applyAlignment="1" applyProtection="1">
      <alignment horizontal="center" vertical="center"/>
      <protection hidden="1"/>
    </xf>
    <xf numFmtId="10" fontId="13" fillId="3" borderId="11" xfId="1" applyNumberFormat="1" applyFont="1" applyFill="1" applyBorder="1" applyAlignment="1" applyProtection="1">
      <alignment horizontal="center" vertical="center"/>
      <protection hidden="1"/>
    </xf>
    <xf numFmtId="0" fontId="11" fillId="0" borderId="0" xfId="0" applyFont="1" applyProtection="1">
      <protection hidden="1"/>
    </xf>
    <xf numFmtId="165" fontId="13" fillId="16" borderId="4" xfId="0" applyNumberFormat="1" applyFont="1" applyFill="1" applyBorder="1" applyAlignment="1" applyProtection="1">
      <alignment horizontal="right" vertical="center"/>
      <protection hidden="1"/>
    </xf>
    <xf numFmtId="165" fontId="28" fillId="11" borderId="14" xfId="0" applyNumberFormat="1" applyFont="1" applyFill="1" applyBorder="1" applyAlignment="1" applyProtection="1">
      <alignment vertical="center"/>
      <protection hidden="1"/>
    </xf>
    <xf numFmtId="0" fontId="20" fillId="2" borderId="0" xfId="0" applyFont="1" applyFill="1" applyAlignment="1" applyProtection="1">
      <alignment horizontal="left" vertical="justify" wrapText="1"/>
      <protection hidden="1"/>
    </xf>
    <xf numFmtId="165" fontId="1" fillId="0" borderId="41" xfId="0" applyNumberFormat="1" applyFont="1" applyBorder="1" applyAlignment="1" applyProtection="1">
      <alignment vertical="center"/>
      <protection locked="0"/>
    </xf>
    <xf numFmtId="0" fontId="7" fillId="0" borderId="0" xfId="0" applyFont="1" applyProtection="1">
      <protection hidden="1"/>
    </xf>
    <xf numFmtId="0" fontId="7" fillId="0" borderId="48" xfId="0" applyFont="1" applyBorder="1" applyAlignment="1" applyProtection="1">
      <alignment horizontal="center" vertical="center"/>
      <protection hidden="1"/>
    </xf>
    <xf numFmtId="0" fontId="30" fillId="0" borderId="0" xfId="0" applyFont="1" applyProtection="1">
      <protection hidden="1"/>
    </xf>
    <xf numFmtId="9" fontId="30" fillId="0" borderId="0" xfId="0" applyNumberFormat="1" applyFont="1" applyProtection="1">
      <protection hidden="1"/>
    </xf>
    <xf numFmtId="165" fontId="30" fillId="0" borderId="0" xfId="0" applyNumberFormat="1" applyFont="1" applyProtection="1">
      <protection hidden="1"/>
    </xf>
    <xf numFmtId="0" fontId="32" fillId="0" borderId="0" xfId="0" applyFont="1" applyAlignment="1">
      <alignment vertical="center"/>
    </xf>
    <xf numFmtId="0" fontId="9" fillId="0" borderId="0" xfId="0" applyFont="1" applyAlignment="1" applyProtection="1">
      <alignment vertical="center"/>
      <protection hidden="1"/>
    </xf>
    <xf numFmtId="0" fontId="32" fillId="0" borderId="0" xfId="0" applyFont="1"/>
    <xf numFmtId="0" fontId="23" fillId="3" borderId="4" xfId="0" applyFont="1" applyFill="1" applyBorder="1" applyAlignment="1" applyProtection="1">
      <alignment horizontal="center" vertical="center"/>
      <protection hidden="1"/>
    </xf>
    <xf numFmtId="0" fontId="36" fillId="0" borderId="0" xfId="0" applyFont="1" applyProtection="1">
      <protection hidden="1"/>
    </xf>
    <xf numFmtId="0" fontId="37" fillId="0" borderId="0" xfId="0" applyFont="1" applyProtection="1">
      <protection hidden="1"/>
    </xf>
    <xf numFmtId="0" fontId="4" fillId="0" borderId="0" xfId="0" applyFont="1" applyAlignment="1" applyProtection="1">
      <alignment vertical="center"/>
      <protection hidden="1"/>
    </xf>
    <xf numFmtId="0" fontId="3" fillId="4" borderId="58" xfId="0" applyFont="1" applyFill="1" applyBorder="1" applyAlignment="1" applyProtection="1">
      <alignment horizontal="center" vertical="center"/>
      <protection hidden="1"/>
    </xf>
    <xf numFmtId="0" fontId="3" fillId="0" borderId="59" xfId="0" applyFont="1" applyBorder="1" applyAlignment="1" applyProtection="1">
      <alignment horizontal="center" vertical="center"/>
      <protection locked="0"/>
    </xf>
    <xf numFmtId="0" fontId="3" fillId="3" borderId="49" xfId="0" applyFont="1" applyFill="1" applyBorder="1" applyAlignment="1" applyProtection="1">
      <alignment horizontal="center" vertical="center"/>
      <protection hidden="1"/>
    </xf>
    <xf numFmtId="0" fontId="5" fillId="4" borderId="54" xfId="0" applyFont="1" applyFill="1" applyBorder="1" applyAlignment="1" applyProtection="1">
      <alignment horizontal="center" vertical="center"/>
      <protection hidden="1"/>
    </xf>
    <xf numFmtId="0" fontId="3" fillId="0" borderId="44" xfId="0" applyFont="1" applyBorder="1" applyAlignment="1" applyProtection="1">
      <alignment horizontal="center" vertical="center"/>
      <protection locked="0"/>
    </xf>
    <xf numFmtId="166" fontId="5" fillId="0" borderId="63" xfId="0" applyNumberFormat="1" applyFont="1" applyBorder="1" applyAlignment="1" applyProtection="1">
      <alignment horizontal="center" vertical="center"/>
      <protection locked="0"/>
    </xf>
    <xf numFmtId="165" fontId="0" fillId="3" borderId="1" xfId="0" applyNumberFormat="1" applyFill="1" applyBorder="1" applyAlignment="1" applyProtection="1">
      <alignment horizontal="right" vertical="center"/>
      <protection locked="0"/>
    </xf>
    <xf numFmtId="14" fontId="1" fillId="0" borderId="1" xfId="0" applyNumberFormat="1" applyFont="1" applyBorder="1" applyProtection="1">
      <protection hidden="1"/>
    </xf>
    <xf numFmtId="165" fontId="0" fillId="0" borderId="1" xfId="0" applyNumberFormat="1" applyBorder="1" applyProtection="1">
      <protection hidden="1"/>
    </xf>
    <xf numFmtId="165" fontId="0" fillId="0" borderId="1" xfId="0" applyNumberFormat="1" applyBorder="1"/>
    <xf numFmtId="0" fontId="0" fillId="3" borderId="66" xfId="0" applyFill="1" applyBorder="1" applyAlignment="1">
      <alignment horizontal="center" vertical="center"/>
    </xf>
    <xf numFmtId="0" fontId="0" fillId="0" borderId="1" xfId="0" applyBorder="1"/>
    <xf numFmtId="0" fontId="0" fillId="3" borderId="67" xfId="0" applyFill="1" applyBorder="1" applyAlignment="1">
      <alignment horizontal="center" vertical="center"/>
    </xf>
    <xf numFmtId="0" fontId="1" fillId="3" borderId="67" xfId="0" applyFont="1" applyFill="1" applyBorder="1" applyAlignment="1">
      <alignment horizontal="center" vertical="center"/>
    </xf>
    <xf numFmtId="0" fontId="0" fillId="3" borderId="68" xfId="0" applyFill="1" applyBorder="1" applyAlignment="1">
      <alignment horizontal="center" vertical="center"/>
    </xf>
    <xf numFmtId="0" fontId="0" fillId="23" borderId="67" xfId="0" applyFill="1" applyBorder="1" applyAlignment="1">
      <alignment horizontal="center" vertical="center"/>
    </xf>
    <xf numFmtId="165" fontId="0" fillId="3" borderId="1" xfId="0" applyNumberFormat="1" applyFill="1" applyBorder="1" applyAlignment="1" applyProtection="1">
      <alignment vertical="center"/>
      <protection locked="0"/>
    </xf>
    <xf numFmtId="165" fontId="0" fillId="0" borderId="0" xfId="0" applyNumberFormat="1"/>
    <xf numFmtId="165" fontId="3" fillId="7" borderId="13" xfId="0" applyNumberFormat="1" applyFont="1" applyFill="1" applyBorder="1" applyAlignment="1">
      <alignment horizontal="center" vertical="center" wrapText="1"/>
    </xf>
    <xf numFmtId="0" fontId="40" fillId="2" borderId="0" xfId="0" applyFont="1" applyFill="1" applyAlignment="1" applyProtection="1">
      <alignment horizontal="center" vertical="center"/>
      <protection hidden="1"/>
    </xf>
    <xf numFmtId="165" fontId="41" fillId="5" borderId="24" xfId="0" applyNumberFormat="1" applyFont="1" applyFill="1" applyBorder="1" applyAlignment="1" applyProtection="1">
      <alignment horizontal="center" vertical="center" wrapText="1"/>
      <protection hidden="1"/>
    </xf>
    <xf numFmtId="10" fontId="41" fillId="3" borderId="64" xfId="1" applyNumberFormat="1" applyFont="1" applyFill="1" applyBorder="1" applyAlignment="1" applyProtection="1">
      <alignment horizontal="center" vertical="center" wrapText="1"/>
      <protection hidden="1"/>
    </xf>
    <xf numFmtId="9" fontId="43" fillId="24" borderId="0" xfId="1" applyFont="1" applyFill="1" applyBorder="1" applyAlignment="1" applyProtection="1">
      <alignment horizontal="center" vertical="center" wrapText="1"/>
      <protection hidden="1"/>
    </xf>
    <xf numFmtId="1" fontId="44" fillId="24" borderId="0" xfId="1" applyNumberFormat="1" applyFont="1" applyFill="1" applyBorder="1" applyAlignment="1" applyProtection="1">
      <alignment horizontal="center" vertical="center" wrapText="1"/>
      <protection hidden="1"/>
    </xf>
    <xf numFmtId="1" fontId="22" fillId="6" borderId="0" xfId="1" applyNumberFormat="1" applyFont="1" applyFill="1" applyBorder="1" applyAlignment="1" applyProtection="1">
      <alignment horizontal="center" vertical="center"/>
      <protection hidden="1"/>
    </xf>
    <xf numFmtId="10" fontId="45" fillId="21" borderId="4" xfId="1" applyNumberFormat="1" applyFont="1" applyFill="1" applyBorder="1" applyAlignment="1" applyProtection="1">
      <alignment horizontal="right" vertical="center" indent="1"/>
      <protection hidden="1"/>
    </xf>
    <xf numFmtId="10" fontId="46" fillId="2" borderId="0" xfId="0" applyNumberFormat="1" applyFont="1" applyFill="1" applyAlignment="1" applyProtection="1">
      <alignment vertical="center"/>
      <protection hidden="1"/>
    </xf>
    <xf numFmtId="0" fontId="23" fillId="0" borderId="0" xfId="0" applyFont="1" applyAlignment="1" applyProtection="1">
      <alignment horizontal="center" vertical="center"/>
      <protection hidden="1"/>
    </xf>
    <xf numFmtId="10" fontId="23" fillId="0" borderId="0" xfId="0" applyNumberFormat="1" applyFont="1" applyAlignment="1" applyProtection="1">
      <alignment vertical="center"/>
      <protection hidden="1"/>
    </xf>
    <xf numFmtId="0" fontId="47" fillId="0" borderId="0" xfId="0" applyFont="1" applyAlignment="1" applyProtection="1">
      <alignment horizontal="center" vertical="center"/>
      <protection hidden="1"/>
    </xf>
    <xf numFmtId="10" fontId="47" fillId="2" borderId="0" xfId="0" applyNumberFormat="1" applyFont="1" applyFill="1" applyAlignment="1" applyProtection="1">
      <alignment vertical="center"/>
      <protection hidden="1"/>
    </xf>
    <xf numFmtId="0" fontId="9" fillId="0" borderId="0" xfId="0" applyFont="1" applyAlignment="1" applyProtection="1">
      <alignment vertical="center" wrapText="1"/>
      <protection hidden="1"/>
    </xf>
    <xf numFmtId="9" fontId="0" fillId="0" borderId="0" xfId="1" applyFont="1" applyAlignment="1" applyProtection="1">
      <alignment vertical="center"/>
      <protection hidden="1"/>
    </xf>
    <xf numFmtId="165" fontId="13" fillId="2" borderId="0" xfId="0" applyNumberFormat="1" applyFont="1" applyFill="1" applyAlignment="1" applyProtection="1">
      <alignment vertical="center"/>
      <protection hidden="1"/>
    </xf>
    <xf numFmtId="0" fontId="28" fillId="2" borderId="0" xfId="0" applyFont="1" applyFill="1" applyAlignment="1" applyProtection="1">
      <alignment vertical="center" wrapText="1"/>
      <protection hidden="1"/>
    </xf>
    <xf numFmtId="9" fontId="0" fillId="2" borderId="0" xfId="1" applyFont="1" applyFill="1" applyAlignment="1" applyProtection="1">
      <alignment vertical="center"/>
      <protection hidden="1"/>
    </xf>
    <xf numFmtId="10" fontId="0" fillId="0" borderId="0" xfId="1" applyNumberFormat="1" applyFont="1"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0" fontId="3" fillId="5" borderId="31" xfId="0" applyFont="1" applyFill="1" applyBorder="1" applyAlignment="1" applyProtection="1">
      <alignment horizontal="center" vertical="center" wrapText="1"/>
      <protection hidden="1"/>
    </xf>
    <xf numFmtId="165" fontId="0" fillId="2" borderId="1" xfId="0" applyNumberFormat="1" applyFill="1" applyBorder="1" applyAlignment="1" applyProtection="1">
      <alignment horizontal="right" vertical="center"/>
      <protection locked="0"/>
    </xf>
    <xf numFmtId="10" fontId="1" fillId="6" borderId="23" xfId="1" applyNumberFormat="1" applyFont="1" applyFill="1" applyBorder="1" applyAlignment="1" applyProtection="1">
      <alignment horizontal="right" vertical="center" indent="1"/>
      <protection hidden="1"/>
    </xf>
    <xf numFmtId="10" fontId="1" fillId="6" borderId="9" xfId="1" applyNumberFormat="1" applyFont="1" applyFill="1" applyBorder="1" applyAlignment="1" applyProtection="1">
      <alignment horizontal="right" vertical="center" indent="1"/>
      <protection hidden="1"/>
    </xf>
    <xf numFmtId="10" fontId="1" fillId="6" borderId="10" xfId="1" applyNumberFormat="1" applyFont="1" applyFill="1" applyBorder="1" applyAlignment="1" applyProtection="1">
      <alignment horizontal="right" vertical="center" indent="1"/>
      <protection hidden="1"/>
    </xf>
    <xf numFmtId="0" fontId="40" fillId="0" borderId="0" xfId="0" applyFont="1" applyAlignment="1" applyProtection="1">
      <alignment horizontal="center" vertical="center"/>
      <protection hidden="1"/>
    </xf>
    <xf numFmtId="0" fontId="52" fillId="0" borderId="0" xfId="0" applyFont="1" applyProtection="1">
      <protection hidden="1"/>
    </xf>
    <xf numFmtId="10" fontId="46" fillId="0" borderId="0" xfId="0" applyNumberFormat="1" applyFont="1" applyAlignment="1" applyProtection="1">
      <alignment vertical="center"/>
      <protection hidden="1"/>
    </xf>
    <xf numFmtId="10" fontId="46" fillId="2" borderId="0" xfId="0" applyNumberFormat="1" applyFont="1" applyFill="1" applyAlignment="1" applyProtection="1">
      <alignment horizontal="right" vertical="center"/>
      <protection hidden="1"/>
    </xf>
    <xf numFmtId="10" fontId="46" fillId="2" borderId="0" xfId="0" applyNumberFormat="1" applyFont="1" applyFill="1" applyAlignment="1" applyProtection="1">
      <alignment horizontal="center" vertical="center"/>
      <protection hidden="1"/>
    </xf>
    <xf numFmtId="0" fontId="53" fillId="2" borderId="0" xfId="0" applyFont="1" applyFill="1" applyAlignment="1" applyProtection="1">
      <alignment vertical="center" wrapText="1"/>
      <protection hidden="1"/>
    </xf>
    <xf numFmtId="0" fontId="30" fillId="2" borderId="0" xfId="0" applyFont="1" applyFill="1" applyProtection="1">
      <protection hidden="1"/>
    </xf>
    <xf numFmtId="9" fontId="30" fillId="0" borderId="0" xfId="1" applyFont="1" applyAlignment="1" applyProtection="1">
      <alignment vertical="center"/>
      <protection hidden="1"/>
    </xf>
    <xf numFmtId="10" fontId="40" fillId="2" borderId="0" xfId="1" applyNumberFormat="1" applyFont="1" applyFill="1" applyBorder="1" applyAlignment="1" applyProtection="1">
      <alignment vertical="top" wrapText="1"/>
      <protection hidden="1"/>
    </xf>
    <xf numFmtId="165" fontId="22" fillId="2" borderId="0" xfId="1" applyNumberFormat="1" applyFont="1" applyFill="1" applyBorder="1" applyAlignment="1" applyProtection="1">
      <alignment vertical="center"/>
      <protection hidden="1"/>
    </xf>
    <xf numFmtId="165" fontId="46" fillId="2" borderId="0" xfId="1" applyNumberFormat="1" applyFont="1" applyFill="1" applyBorder="1" applyAlignment="1" applyProtection="1">
      <alignment vertical="center"/>
      <protection hidden="1"/>
    </xf>
    <xf numFmtId="0" fontId="22" fillId="2" borderId="0" xfId="0" applyFont="1" applyFill="1" applyAlignment="1" applyProtection="1">
      <alignment vertical="center"/>
      <protection hidden="1"/>
    </xf>
    <xf numFmtId="165" fontId="46" fillId="2" borderId="0" xfId="0" applyNumberFormat="1" applyFont="1" applyFill="1" applyAlignment="1" applyProtection="1">
      <alignment vertical="center"/>
      <protection hidden="1"/>
    </xf>
    <xf numFmtId="9" fontId="30" fillId="2" borderId="0" xfId="1" applyFont="1" applyFill="1" applyAlignment="1" applyProtection="1">
      <alignment vertical="center"/>
      <protection hidden="1"/>
    </xf>
    <xf numFmtId="0" fontId="46" fillId="2" borderId="0" xfId="0" applyFont="1" applyFill="1" applyAlignment="1" applyProtection="1">
      <alignment vertical="justify" wrapText="1"/>
      <protection hidden="1"/>
    </xf>
    <xf numFmtId="10" fontId="22" fillId="0" borderId="0" xfId="1" applyNumberFormat="1" applyFont="1" applyFill="1" applyBorder="1" applyAlignment="1" applyProtection="1">
      <alignment vertical="center"/>
      <protection hidden="1"/>
    </xf>
    <xf numFmtId="10" fontId="22" fillId="2" borderId="0" xfId="1" applyNumberFormat="1" applyFont="1" applyFill="1" applyBorder="1" applyAlignment="1" applyProtection="1">
      <alignment vertical="center"/>
      <protection hidden="1"/>
    </xf>
    <xf numFmtId="10" fontId="22" fillId="12" borderId="0" xfId="1" applyNumberFormat="1" applyFont="1" applyFill="1" applyBorder="1" applyAlignment="1" applyProtection="1">
      <alignment vertical="center"/>
      <protection hidden="1"/>
    </xf>
    <xf numFmtId="10" fontId="1" fillId="6" borderId="43" xfId="1" applyNumberFormat="1" applyFont="1" applyFill="1" applyBorder="1" applyAlignment="1" applyProtection="1">
      <alignment horizontal="right" vertical="center" indent="1"/>
      <protection hidden="1"/>
    </xf>
    <xf numFmtId="0" fontId="3" fillId="3" borderId="31" xfId="0" applyFont="1" applyFill="1" applyBorder="1" applyAlignment="1" applyProtection="1">
      <alignment horizontal="center" vertical="center"/>
      <protection hidden="1"/>
    </xf>
    <xf numFmtId="165" fontId="3" fillId="7" borderId="48" xfId="0" applyNumberFormat="1" applyFont="1" applyFill="1" applyBorder="1" applyAlignment="1">
      <alignment horizontal="center" vertical="center" wrapText="1"/>
    </xf>
    <xf numFmtId="0" fontId="1" fillId="21" borderId="13" xfId="0" applyFont="1" applyFill="1" applyBorder="1" applyAlignment="1">
      <alignment horizontal="center"/>
    </xf>
    <xf numFmtId="165" fontId="3" fillId="25" borderId="41" xfId="0" applyNumberFormat="1" applyFont="1" applyFill="1" applyBorder="1" applyAlignment="1">
      <alignment horizontal="center" vertical="center" wrapText="1"/>
    </xf>
    <xf numFmtId="0" fontId="0" fillId="2" borderId="67" xfId="0" applyFill="1" applyBorder="1" applyAlignment="1">
      <alignment horizontal="center" vertical="center"/>
    </xf>
    <xf numFmtId="0" fontId="0" fillId="2" borderId="1" xfId="0" applyFill="1" applyBorder="1"/>
    <xf numFmtId="165" fontId="54" fillId="2" borderId="71" xfId="0" applyNumberFormat="1" applyFont="1" applyFill="1" applyBorder="1" applyAlignment="1" applyProtection="1">
      <alignment horizontal="right" vertical="center"/>
      <protection locked="0"/>
    </xf>
    <xf numFmtId="165" fontId="54" fillId="2" borderId="69" xfId="0" applyNumberFormat="1" applyFont="1" applyFill="1" applyBorder="1" applyAlignment="1" applyProtection="1">
      <alignment horizontal="right" vertical="center"/>
      <protection locked="0"/>
    </xf>
    <xf numFmtId="165" fontId="54" fillId="2" borderId="70" xfId="0" applyNumberFormat="1" applyFont="1" applyFill="1" applyBorder="1" applyAlignment="1" applyProtection="1">
      <alignment horizontal="right" vertical="center"/>
      <protection locked="0"/>
    </xf>
    <xf numFmtId="0" fontId="21" fillId="2" borderId="0" xfId="0" applyFont="1" applyFill="1" applyAlignment="1" applyProtection="1">
      <alignment horizontal="left" vertical="center"/>
      <protection hidden="1"/>
    </xf>
    <xf numFmtId="165" fontId="13" fillId="2" borderId="0" xfId="0" applyNumberFormat="1" applyFont="1" applyFill="1" applyAlignment="1" applyProtection="1">
      <alignment horizontal="right" vertical="center"/>
      <protection hidden="1"/>
    </xf>
    <xf numFmtId="0" fontId="23" fillId="2" borderId="0" xfId="0" applyFont="1" applyFill="1" applyAlignment="1" applyProtection="1">
      <alignment horizontal="left" vertical="center" wrapText="1"/>
      <protection hidden="1"/>
    </xf>
    <xf numFmtId="165" fontId="1" fillId="2" borderId="41" xfId="0" applyNumberFormat="1" applyFont="1" applyFill="1" applyBorder="1" applyAlignment="1" applyProtection="1">
      <alignment vertical="center"/>
      <protection locked="0"/>
    </xf>
    <xf numFmtId="165" fontId="0" fillId="0" borderId="26" xfId="0" applyNumberFormat="1" applyBorder="1"/>
    <xf numFmtId="0" fontId="0" fillId="0" borderId="26" xfId="0" applyBorder="1"/>
    <xf numFmtId="165" fontId="1" fillId="6" borderId="15" xfId="0" applyNumberFormat="1" applyFont="1" applyFill="1" applyBorder="1" applyAlignment="1" applyProtection="1">
      <alignment horizontal="right" vertical="center" indent="1"/>
      <protection hidden="1"/>
    </xf>
    <xf numFmtId="14" fontId="1" fillId="0" borderId="33" xfId="0" applyNumberFormat="1" applyFont="1" applyBorder="1" applyProtection="1">
      <protection hidden="1"/>
    </xf>
    <xf numFmtId="165" fontId="0" fillId="0" borderId="33" xfId="0" applyNumberFormat="1" applyBorder="1"/>
    <xf numFmtId="0" fontId="1" fillId="3" borderId="4" xfId="0" applyFont="1" applyFill="1" applyBorder="1" applyAlignment="1" applyProtection="1">
      <alignment horizontal="center" vertical="center"/>
      <protection hidden="1"/>
    </xf>
    <xf numFmtId="0" fontId="22" fillId="19" borderId="4" xfId="0" applyFont="1" applyFill="1" applyBorder="1" applyAlignment="1" applyProtection="1">
      <alignment horizontal="center" vertical="center"/>
      <protection hidden="1"/>
    </xf>
    <xf numFmtId="165" fontId="3" fillId="3" borderId="13" xfId="0" applyNumberFormat="1" applyFont="1" applyFill="1" applyBorder="1" applyAlignment="1">
      <alignment horizontal="center" vertical="center" wrapText="1"/>
    </xf>
    <xf numFmtId="165" fontId="3" fillId="6" borderId="13" xfId="0" applyNumberFormat="1" applyFont="1" applyFill="1" applyBorder="1" applyAlignment="1">
      <alignment horizontal="center" vertical="center" wrapText="1"/>
    </xf>
    <xf numFmtId="165" fontId="3" fillId="29" borderId="4" xfId="0" applyNumberFormat="1" applyFont="1" applyFill="1" applyBorder="1" applyAlignment="1">
      <alignment horizontal="center" vertical="center" wrapText="1"/>
    </xf>
    <xf numFmtId="0" fontId="1" fillId="2" borderId="4" xfId="0" applyFont="1" applyFill="1" applyBorder="1"/>
    <xf numFmtId="1" fontId="56" fillId="3" borderId="13" xfId="0" applyNumberFormat="1" applyFont="1" applyFill="1" applyBorder="1" applyAlignment="1" applyProtection="1">
      <alignment horizontal="center" vertical="center"/>
      <protection hidden="1"/>
    </xf>
    <xf numFmtId="1" fontId="56" fillId="3" borderId="20" xfId="0" applyNumberFormat="1" applyFont="1" applyFill="1" applyBorder="1" applyAlignment="1" applyProtection="1">
      <alignment horizontal="center" vertical="center" wrapText="1"/>
      <protection hidden="1"/>
    </xf>
    <xf numFmtId="1" fontId="56" fillId="3" borderId="4" xfId="1" applyNumberFormat="1" applyFont="1" applyFill="1" applyBorder="1" applyAlignment="1" applyProtection="1">
      <alignment horizontal="center" vertical="center" wrapText="1"/>
      <protection hidden="1"/>
    </xf>
    <xf numFmtId="9" fontId="3" fillId="3" borderId="24" xfId="1" applyFont="1" applyFill="1" applyBorder="1" applyAlignment="1" applyProtection="1">
      <alignment horizontal="center" vertical="center" wrapText="1"/>
      <protection hidden="1"/>
    </xf>
    <xf numFmtId="165" fontId="3" fillId="3" borderId="27" xfId="0" applyNumberFormat="1" applyFont="1" applyFill="1" applyBorder="1" applyAlignment="1" applyProtection="1">
      <alignment horizontal="center" vertical="center" wrapText="1"/>
      <protection hidden="1"/>
    </xf>
    <xf numFmtId="0" fontId="22" fillId="26" borderId="13" xfId="0" applyFont="1" applyFill="1" applyBorder="1" applyAlignment="1" applyProtection="1">
      <alignment horizontal="center" vertical="center"/>
      <protection hidden="1"/>
    </xf>
    <xf numFmtId="0" fontId="22" fillId="27" borderId="4" xfId="0" applyFont="1" applyFill="1" applyBorder="1" applyAlignment="1" applyProtection="1">
      <alignment horizontal="center" vertical="center"/>
      <protection hidden="1"/>
    </xf>
    <xf numFmtId="0" fontId="22" fillId="28" borderId="14" xfId="0" applyFont="1" applyFill="1" applyBorder="1" applyAlignment="1" applyProtection="1">
      <alignment horizontal="center" vertical="center"/>
      <protection hidden="1"/>
    </xf>
    <xf numFmtId="0" fontId="1" fillId="12" borderId="4" xfId="0" applyFont="1" applyFill="1" applyBorder="1" applyAlignment="1">
      <alignment horizontal="center" vertical="center"/>
    </xf>
    <xf numFmtId="165" fontId="0" fillId="3" borderId="25" xfId="0" applyNumberFormat="1" applyFill="1" applyBorder="1"/>
    <xf numFmtId="165" fontId="0" fillId="3" borderId="25" xfId="0" applyNumberFormat="1" applyFill="1" applyBorder="1" applyAlignment="1" applyProtection="1">
      <alignment horizontal="right" vertical="center"/>
      <protection locked="0"/>
    </xf>
    <xf numFmtId="165" fontId="0" fillId="3" borderId="25" xfId="0" applyNumberFormat="1" applyFill="1" applyBorder="1" applyAlignment="1" applyProtection="1">
      <alignment vertical="center"/>
      <protection locked="0"/>
    </xf>
    <xf numFmtId="165" fontId="0" fillId="2" borderId="25" xfId="0" applyNumberFormat="1" applyFill="1" applyBorder="1" applyAlignment="1" applyProtection="1">
      <alignment horizontal="right" vertical="center"/>
      <protection locked="0"/>
    </xf>
    <xf numFmtId="165" fontId="0" fillId="2" borderId="72" xfId="0" applyNumberFormat="1" applyFill="1" applyBorder="1" applyAlignment="1" applyProtection="1">
      <alignment horizontal="right" vertical="center"/>
      <protection locked="0"/>
    </xf>
    <xf numFmtId="165" fontId="0" fillId="2" borderId="28" xfId="0" applyNumberFormat="1" applyFill="1" applyBorder="1" applyAlignment="1" applyProtection="1">
      <alignment horizontal="right" vertical="center"/>
      <protection locked="0"/>
    </xf>
    <xf numFmtId="0" fontId="18" fillId="2" borderId="27" xfId="0" applyFont="1" applyFill="1" applyBorder="1" applyAlignment="1">
      <alignment horizontal="center" vertical="center"/>
    </xf>
    <xf numFmtId="14" fontId="0" fillId="2" borderId="26" xfId="0" applyNumberFormat="1" applyFill="1" applyBorder="1"/>
    <xf numFmtId="0" fontId="0" fillId="2" borderId="26" xfId="0" applyFill="1" applyBorder="1"/>
    <xf numFmtId="0" fontId="0" fillId="2" borderId="28" xfId="0" applyFill="1" applyBorder="1"/>
    <xf numFmtId="0" fontId="0" fillId="2" borderId="73" xfId="0" applyFill="1" applyBorder="1"/>
    <xf numFmtId="0" fontId="18" fillId="0" borderId="31" xfId="0" applyFont="1" applyBorder="1" applyAlignment="1">
      <alignment horizontal="center" vertical="center"/>
    </xf>
    <xf numFmtId="0" fontId="18" fillId="0" borderId="64" xfId="0" applyFont="1" applyBorder="1"/>
    <xf numFmtId="165" fontId="3" fillId="18" borderId="41" xfId="0" applyNumberFormat="1" applyFont="1" applyFill="1" applyBorder="1" applyAlignment="1">
      <alignment horizontal="center" vertical="center" wrapText="1"/>
    </xf>
    <xf numFmtId="165" fontId="3" fillId="19" borderId="41" xfId="0" applyNumberFormat="1" applyFont="1" applyFill="1" applyBorder="1" applyAlignment="1">
      <alignment horizontal="center" vertical="center" wrapText="1"/>
    </xf>
    <xf numFmtId="165" fontId="3" fillId="20" borderId="41" xfId="0" applyNumberFormat="1" applyFont="1" applyFill="1" applyBorder="1" applyAlignment="1">
      <alignment horizontal="center" vertical="center" wrapText="1"/>
    </xf>
    <xf numFmtId="165" fontId="3" fillId="12" borderId="48" xfId="0" applyNumberFormat="1" applyFont="1" applyFill="1" applyBorder="1" applyAlignment="1">
      <alignment horizontal="center" vertical="center" wrapText="1"/>
    </xf>
    <xf numFmtId="165" fontId="3" fillId="21" borderId="41" xfId="0" applyNumberFormat="1" applyFont="1" applyFill="1" applyBorder="1" applyAlignment="1">
      <alignment horizontal="center" vertical="center" wrapText="1"/>
    </xf>
    <xf numFmtId="0" fontId="0" fillId="3" borderId="13" xfId="0" applyFill="1" applyBorder="1"/>
    <xf numFmtId="0" fontId="1" fillId="18" borderId="13" xfId="0" applyFont="1" applyFill="1" applyBorder="1" applyAlignment="1">
      <alignment horizontal="center" vertical="center"/>
    </xf>
    <xf numFmtId="0" fontId="1" fillId="19" borderId="20" xfId="0" applyFont="1" applyFill="1" applyBorder="1" applyAlignment="1">
      <alignment horizontal="center" vertical="center"/>
    </xf>
    <xf numFmtId="0" fontId="1" fillId="20" borderId="20" xfId="0" applyFont="1" applyFill="1" applyBorder="1" applyAlignment="1">
      <alignment horizontal="center" vertical="center"/>
    </xf>
    <xf numFmtId="0" fontId="1" fillId="6" borderId="74" xfId="0" applyFont="1" applyFill="1" applyBorder="1" applyAlignment="1">
      <alignment vertical="center"/>
    </xf>
    <xf numFmtId="165" fontId="3" fillId="12" borderId="41" xfId="0" applyNumberFormat="1" applyFont="1" applyFill="1" applyBorder="1" applyAlignment="1">
      <alignment horizontal="center" vertical="center" wrapText="1"/>
    </xf>
    <xf numFmtId="165" fontId="0" fillId="3" borderId="33" xfId="0" applyNumberFormat="1" applyFill="1" applyBorder="1" applyAlignment="1" applyProtection="1">
      <alignment horizontal="right" vertical="center"/>
      <protection locked="0"/>
    </xf>
    <xf numFmtId="0" fontId="0" fillId="0" borderId="34" xfId="0" applyBorder="1"/>
    <xf numFmtId="1" fontId="0" fillId="6" borderId="13" xfId="0" applyNumberFormat="1" applyFill="1" applyBorder="1" applyAlignment="1">
      <alignment horizontal="center" vertical="center"/>
    </xf>
    <xf numFmtId="1" fontId="3" fillId="18" borderId="13" xfId="0" applyNumberFormat="1" applyFont="1" applyFill="1" applyBorder="1" applyAlignment="1">
      <alignment horizontal="center" vertical="center" wrapText="1"/>
    </xf>
    <xf numFmtId="1" fontId="3" fillId="19" borderId="20" xfId="0" applyNumberFormat="1" applyFont="1" applyFill="1" applyBorder="1" applyAlignment="1">
      <alignment horizontal="center" vertical="center" wrapText="1"/>
    </xf>
    <xf numFmtId="1" fontId="3" fillId="20" borderId="20" xfId="0" applyNumberFormat="1" applyFont="1" applyFill="1" applyBorder="1" applyAlignment="1">
      <alignment horizontal="center" vertical="center" wrapText="1"/>
    </xf>
    <xf numFmtId="1" fontId="3" fillId="12" borderId="20" xfId="0" applyNumberFormat="1" applyFont="1" applyFill="1" applyBorder="1" applyAlignment="1">
      <alignment horizontal="center" vertical="center" wrapText="1"/>
    </xf>
    <xf numFmtId="1" fontId="3" fillId="12" borderId="5" xfId="0" applyNumberFormat="1" applyFont="1" applyFill="1" applyBorder="1" applyAlignment="1">
      <alignment horizontal="center" vertical="center" wrapText="1"/>
    </xf>
    <xf numFmtId="1" fontId="3" fillId="12" borderId="6" xfId="0" applyNumberFormat="1" applyFont="1" applyFill="1" applyBorder="1" applyAlignment="1">
      <alignment horizontal="center" vertical="center" wrapText="1"/>
    </xf>
    <xf numFmtId="0" fontId="41" fillId="0" borderId="7" xfId="0" applyFont="1" applyBorder="1" applyAlignment="1">
      <alignment horizontal="center" vertical="center"/>
    </xf>
    <xf numFmtId="0" fontId="22" fillId="0" borderId="0" xfId="0" applyFont="1" applyProtection="1">
      <protection hidden="1"/>
    </xf>
    <xf numFmtId="0" fontId="22" fillId="0" borderId="0" xfId="0" applyFont="1" applyAlignment="1" applyProtection="1">
      <alignment horizontal="center"/>
      <protection hidden="1"/>
    </xf>
    <xf numFmtId="166" fontId="5" fillId="0" borderId="75" xfId="0" applyNumberFormat="1" applyFont="1" applyBorder="1" applyAlignment="1" applyProtection="1">
      <alignment horizontal="center" vertical="center"/>
      <protection locked="0"/>
    </xf>
    <xf numFmtId="0" fontId="5" fillId="4" borderId="77" xfId="0" applyFont="1" applyFill="1" applyBorder="1" applyAlignment="1" applyProtection="1">
      <alignment horizontal="center" vertical="center"/>
      <protection hidden="1"/>
    </xf>
    <xf numFmtId="166" fontId="3" fillId="3" borderId="80" xfId="0" applyNumberFormat="1" applyFont="1" applyFill="1" applyBorder="1" applyAlignment="1" applyProtection="1">
      <alignment horizontal="center" vertical="center"/>
      <protection hidden="1"/>
    </xf>
    <xf numFmtId="165" fontId="1" fillId="5" borderId="4" xfId="0" applyNumberFormat="1" applyFont="1" applyFill="1" applyBorder="1" applyAlignment="1" applyProtection="1">
      <alignment horizontal="right" vertical="center"/>
      <protection locked="0"/>
    </xf>
    <xf numFmtId="165" fontId="28" fillId="31" borderId="14" xfId="0" applyNumberFormat="1" applyFont="1" applyFill="1" applyBorder="1" applyAlignment="1" applyProtection="1">
      <alignment vertical="center"/>
      <protection hidden="1"/>
    </xf>
    <xf numFmtId="165" fontId="13" fillId="10" borderId="4" xfId="0" applyNumberFormat="1" applyFont="1" applyFill="1" applyBorder="1" applyAlignment="1" applyProtection="1">
      <alignment horizontal="right" vertical="center"/>
      <protection hidden="1"/>
    </xf>
    <xf numFmtId="165" fontId="13" fillId="32" borderId="4" xfId="0" applyNumberFormat="1" applyFont="1" applyFill="1" applyBorder="1" applyAlignment="1" applyProtection="1">
      <alignment horizontal="right" vertical="center"/>
      <protection hidden="1"/>
    </xf>
    <xf numFmtId="10" fontId="1" fillId="21" borderId="4" xfId="0" applyNumberFormat="1" applyFont="1" applyFill="1" applyBorder="1" applyAlignment="1" applyProtection="1">
      <alignment horizontal="right" vertical="center"/>
      <protection hidden="1"/>
    </xf>
    <xf numFmtId="0" fontId="1" fillId="12" borderId="20" xfId="0" applyFont="1" applyFill="1" applyBorder="1" applyAlignment="1">
      <alignment horizontal="center" vertical="center"/>
    </xf>
    <xf numFmtId="0" fontId="5" fillId="0" borderId="0" xfId="0" applyFont="1" applyAlignment="1">
      <alignment horizontal="center" vertical="center"/>
    </xf>
    <xf numFmtId="165" fontId="1" fillId="6" borderId="23" xfId="0" applyNumberFormat="1" applyFont="1" applyFill="1" applyBorder="1" applyAlignment="1" applyProtection="1">
      <alignment horizontal="right" vertical="center" indent="1"/>
      <protection hidden="1"/>
    </xf>
    <xf numFmtId="165" fontId="1" fillId="6" borderId="11" xfId="0" applyNumberFormat="1" applyFont="1" applyFill="1" applyBorder="1" applyAlignment="1" applyProtection="1">
      <alignment horizontal="right" vertical="center" indent="1"/>
      <protection hidden="1"/>
    </xf>
    <xf numFmtId="10" fontId="0" fillId="3" borderId="81" xfId="1" applyNumberFormat="1" applyFont="1" applyFill="1" applyBorder="1" applyAlignment="1" applyProtection="1">
      <alignment horizontal="right" vertical="center" indent="1"/>
      <protection hidden="1"/>
    </xf>
    <xf numFmtId="0" fontId="1" fillId="0" borderId="4" xfId="0" applyFont="1" applyBorder="1" applyAlignment="1">
      <alignment horizontal="center" vertical="center"/>
    </xf>
    <xf numFmtId="0" fontId="0" fillId="0" borderId="33" xfId="0" applyBorder="1"/>
    <xf numFmtId="1" fontId="56" fillId="5" borderId="31" xfId="0" applyNumberFormat="1" applyFont="1" applyFill="1" applyBorder="1" applyAlignment="1" applyProtection="1">
      <alignment horizontal="center" vertical="center"/>
      <protection hidden="1"/>
    </xf>
    <xf numFmtId="10" fontId="13" fillId="10" borderId="4" xfId="0" applyNumberFormat="1" applyFont="1" applyFill="1" applyBorder="1" applyAlignment="1" applyProtection="1">
      <alignment vertical="center"/>
      <protection hidden="1"/>
    </xf>
    <xf numFmtId="165" fontId="13" fillId="12" borderId="4" xfId="0" applyNumberFormat="1" applyFont="1" applyFill="1" applyBorder="1" applyAlignment="1" applyProtection="1">
      <alignment vertical="center"/>
      <protection hidden="1"/>
    </xf>
    <xf numFmtId="0" fontId="13" fillId="2" borderId="4" xfId="0" applyFont="1" applyFill="1" applyBorder="1" applyAlignment="1" applyProtection="1">
      <alignment horizontal="center" vertical="center"/>
      <protection locked="0"/>
    </xf>
    <xf numFmtId="1" fontId="57" fillId="5" borderId="4" xfId="0" applyNumberFormat="1" applyFont="1" applyFill="1" applyBorder="1" applyAlignment="1" applyProtection="1">
      <alignment horizontal="center" vertical="center" wrapText="1"/>
      <protection hidden="1"/>
    </xf>
    <xf numFmtId="1" fontId="1" fillId="6" borderId="36" xfId="1" applyNumberFormat="1" applyFont="1" applyFill="1" applyBorder="1" applyAlignment="1" applyProtection="1">
      <alignment horizontal="center" vertical="center"/>
      <protection hidden="1"/>
    </xf>
    <xf numFmtId="1" fontId="1" fillId="6" borderId="67" xfId="1" applyNumberFormat="1" applyFont="1" applyFill="1" applyBorder="1" applyAlignment="1" applyProtection="1">
      <alignment horizontal="center" vertical="center"/>
      <protection hidden="1"/>
    </xf>
    <xf numFmtId="1" fontId="1" fillId="6" borderId="68" xfId="1" applyNumberFormat="1" applyFont="1" applyFill="1" applyBorder="1" applyAlignment="1" applyProtection="1">
      <alignment horizontal="center" vertical="center"/>
      <protection hidden="1"/>
    </xf>
    <xf numFmtId="1" fontId="1" fillId="6" borderId="37" xfId="1" applyNumberFormat="1" applyFont="1" applyFill="1" applyBorder="1" applyAlignment="1" applyProtection="1">
      <alignment horizontal="center" vertical="center"/>
      <protection hidden="1"/>
    </xf>
    <xf numFmtId="166" fontId="13" fillId="0" borderId="0" xfId="0" applyNumberFormat="1" applyFont="1" applyAlignment="1" applyProtection="1">
      <alignment horizontal="center" vertical="center"/>
      <protection locked="0"/>
    </xf>
    <xf numFmtId="10" fontId="62" fillId="12" borderId="4" xfId="1" applyNumberFormat="1" applyFont="1" applyFill="1" applyBorder="1" applyAlignment="1" applyProtection="1">
      <alignment horizontal="right" vertical="center" indent="1"/>
      <protection hidden="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0" fillId="2" borderId="0" xfId="0" applyFill="1"/>
    <xf numFmtId="165" fontId="3" fillId="2" borderId="7" xfId="0" applyNumberFormat="1" applyFont="1" applyFill="1" applyBorder="1" applyAlignment="1">
      <alignment horizontal="center" vertical="center" wrapText="1"/>
    </xf>
    <xf numFmtId="165" fontId="1" fillId="0" borderId="33" xfId="0" applyNumberFormat="1" applyFont="1" applyBorder="1"/>
    <xf numFmtId="10" fontId="47" fillId="2" borderId="4" xfId="0" applyNumberFormat="1" applyFont="1" applyFill="1" applyBorder="1" applyAlignment="1" applyProtection="1">
      <alignment horizontal="center" vertical="center"/>
      <protection locked="0"/>
    </xf>
    <xf numFmtId="0" fontId="3" fillId="4" borderId="82"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locked="0"/>
    </xf>
    <xf numFmtId="0" fontId="55" fillId="3" borderId="59" xfId="0" applyFont="1" applyFill="1" applyBorder="1" applyAlignment="1" applyProtection="1">
      <alignment horizontal="center" vertical="center"/>
      <protection hidden="1"/>
    </xf>
    <xf numFmtId="0" fontId="3" fillId="3" borderId="83" xfId="0" applyFont="1" applyFill="1" applyBorder="1" applyAlignment="1" applyProtection="1">
      <alignment horizontal="center" vertical="center"/>
      <protection hidden="1"/>
    </xf>
    <xf numFmtId="165" fontId="0" fillId="2" borderId="2" xfId="0" applyNumberFormat="1" applyFill="1" applyBorder="1" applyAlignment="1" applyProtection="1">
      <alignment horizontal="right" vertical="center"/>
      <protection locked="0"/>
    </xf>
    <xf numFmtId="165" fontId="0" fillId="2" borderId="12" xfId="0" applyNumberFormat="1" applyFill="1" applyBorder="1" applyAlignment="1" applyProtection="1">
      <alignment horizontal="right" vertical="center"/>
      <protection locked="0"/>
    </xf>
    <xf numFmtId="165" fontId="0" fillId="3" borderId="9"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165" fontId="0" fillId="2" borderId="10" xfId="0" applyNumberFormat="1" applyFill="1" applyBorder="1" applyAlignment="1" applyProtection="1">
      <alignment horizontal="right" vertical="center"/>
      <protection locked="0"/>
    </xf>
    <xf numFmtId="165" fontId="0" fillId="3" borderId="18" xfId="0" applyNumberFormat="1" applyFill="1" applyBorder="1" applyAlignment="1" applyProtection="1">
      <alignment horizontal="right" vertical="center"/>
      <protection locked="0"/>
    </xf>
    <xf numFmtId="165" fontId="0" fillId="3" borderId="3" xfId="0" applyNumberFormat="1" applyFill="1" applyBorder="1" applyAlignment="1" applyProtection="1">
      <alignment horizontal="right" vertical="center"/>
      <protection locked="0"/>
    </xf>
    <xf numFmtId="165" fontId="0" fillId="2" borderId="3" xfId="0" applyNumberFormat="1" applyFill="1" applyBorder="1" applyAlignment="1" applyProtection="1">
      <alignment horizontal="right" vertical="center"/>
      <protection locked="0"/>
    </xf>
    <xf numFmtId="165" fontId="0" fillId="2" borderId="19" xfId="0" applyNumberFormat="1" applyFill="1" applyBorder="1" applyAlignment="1" applyProtection="1">
      <alignment horizontal="right" vertical="center"/>
      <protection locked="0"/>
    </xf>
    <xf numFmtId="1" fontId="3" fillId="12" borderId="4" xfId="0" applyNumberFormat="1" applyFont="1" applyFill="1" applyBorder="1" applyAlignment="1">
      <alignment horizontal="center" vertical="center" wrapText="1"/>
    </xf>
    <xf numFmtId="1" fontId="3" fillId="12" borderId="13" xfId="0" applyNumberFormat="1" applyFont="1" applyFill="1" applyBorder="1" applyAlignment="1">
      <alignment horizontal="center" vertical="center" wrapText="1"/>
    </xf>
    <xf numFmtId="165" fontId="3" fillId="7" borderId="20" xfId="0" applyNumberFormat="1" applyFont="1" applyFill="1" applyBorder="1" applyAlignment="1">
      <alignment horizontal="center" vertical="center" wrapText="1"/>
    </xf>
    <xf numFmtId="165" fontId="3" fillId="7" borderId="0" xfId="0" applyNumberFormat="1" applyFont="1" applyFill="1" applyAlignment="1">
      <alignment horizontal="center" vertical="center" wrapText="1"/>
    </xf>
    <xf numFmtId="1" fontId="3" fillId="21" borderId="17" xfId="0" applyNumberFormat="1" applyFont="1" applyFill="1" applyBorder="1" applyAlignment="1">
      <alignment horizontal="center" vertical="center" wrapText="1"/>
    </xf>
    <xf numFmtId="165" fontId="3" fillId="7" borderId="4" xfId="0" applyNumberFormat="1" applyFont="1" applyFill="1" applyBorder="1" applyAlignment="1">
      <alignment horizontal="center" vertical="center" wrapText="1"/>
    </xf>
    <xf numFmtId="165" fontId="3" fillId="7" borderId="41" xfId="0" applyNumberFormat="1" applyFont="1" applyFill="1" applyBorder="1" applyAlignment="1">
      <alignment horizontal="center" vertical="center" wrapText="1"/>
    </xf>
    <xf numFmtId="1" fontId="3" fillId="12" borderId="7" xfId="0" applyNumberFormat="1" applyFont="1" applyFill="1" applyBorder="1" applyAlignment="1">
      <alignment horizontal="center" vertical="center" wrapText="1"/>
    </xf>
    <xf numFmtId="165" fontId="1" fillId="21" borderId="3" xfId="0" applyNumberFormat="1" applyFont="1" applyFill="1" applyBorder="1" applyAlignment="1" applyProtection="1">
      <alignment horizontal="right" vertical="center"/>
      <protection locked="0"/>
    </xf>
    <xf numFmtId="0" fontId="41" fillId="33" borderId="7" xfId="0" applyFont="1" applyFill="1" applyBorder="1" applyAlignment="1">
      <alignment horizontal="center" vertical="center"/>
    </xf>
    <xf numFmtId="0" fontId="18" fillId="0" borderId="4" xfId="0" applyFont="1" applyBorder="1"/>
    <xf numFmtId="165" fontId="0" fillId="0" borderId="18" xfId="0" applyNumberFormat="1" applyBorder="1"/>
    <xf numFmtId="165" fontId="0" fillId="0" borderId="3" xfId="0" applyNumberFormat="1" applyBorder="1"/>
    <xf numFmtId="0" fontId="0" fillId="0" borderId="3" xfId="0" applyBorder="1"/>
    <xf numFmtId="14" fontId="1" fillId="0" borderId="86" xfId="0" applyNumberFormat="1" applyFont="1" applyBorder="1" applyProtection="1">
      <protection hidden="1"/>
    </xf>
    <xf numFmtId="165" fontId="1" fillId="0" borderId="38" xfId="0" applyNumberFormat="1" applyFont="1" applyBorder="1"/>
    <xf numFmtId="165" fontId="1" fillId="0" borderId="87" xfId="0" applyNumberFormat="1" applyFont="1" applyBorder="1"/>
    <xf numFmtId="14" fontId="1" fillId="0" borderId="25" xfId="0" applyNumberFormat="1" applyFont="1" applyBorder="1" applyProtection="1">
      <protection hidden="1"/>
    </xf>
    <xf numFmtId="0" fontId="0" fillId="0" borderId="25" xfId="0" applyBorder="1"/>
    <xf numFmtId="165" fontId="0" fillId="0" borderId="26" xfId="0" applyNumberFormat="1" applyBorder="1" applyProtection="1">
      <protection hidden="1"/>
    </xf>
    <xf numFmtId="0" fontId="0" fillId="0" borderId="72" xfId="0" applyBorder="1"/>
    <xf numFmtId="165" fontId="0" fillId="0" borderId="28" xfId="0" applyNumberFormat="1" applyBorder="1"/>
    <xf numFmtId="165" fontId="0" fillId="0" borderId="73" xfId="0" applyNumberFormat="1" applyBorder="1"/>
    <xf numFmtId="0" fontId="1" fillId="0" borderId="0" xfId="0" applyFont="1" applyAlignment="1" applyProtection="1">
      <alignment vertical="center"/>
      <protection hidden="1"/>
    </xf>
    <xf numFmtId="0" fontId="1" fillId="0" borderId="29" xfId="0" applyFont="1" applyBorder="1"/>
    <xf numFmtId="0" fontId="1" fillId="2" borderId="11" xfId="0" applyFont="1" applyFill="1" applyBorder="1" applyAlignment="1">
      <alignment horizontal="center"/>
    </xf>
    <xf numFmtId="0" fontId="12" fillId="2" borderId="2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14" fontId="18" fillId="0" borderId="4" xfId="0" applyNumberFormat="1" applyFont="1" applyBorder="1"/>
    <xf numFmtId="165" fontId="3" fillId="2" borderId="14" xfId="0" applyNumberFormat="1" applyFont="1" applyFill="1" applyBorder="1" applyAlignment="1">
      <alignment horizontal="center" vertical="center" wrapText="1"/>
    </xf>
    <xf numFmtId="0" fontId="1" fillId="21" borderId="4" xfId="0" applyFont="1" applyFill="1" applyBorder="1" applyAlignment="1">
      <alignment horizontal="center"/>
    </xf>
    <xf numFmtId="165" fontId="1" fillId="3" borderId="1" xfId="0" applyNumberFormat="1" applyFont="1" applyFill="1" applyBorder="1" applyAlignment="1" applyProtection="1">
      <alignment horizontal="right" vertical="center"/>
      <protection locked="0"/>
    </xf>
    <xf numFmtId="165" fontId="1" fillId="3" borderId="26" xfId="0" applyNumberFormat="1" applyFont="1" applyFill="1" applyBorder="1" applyAlignment="1" applyProtection="1">
      <alignment horizontal="right" vertical="center"/>
      <protection locked="0"/>
    </xf>
    <xf numFmtId="165" fontId="1" fillId="3" borderId="9" xfId="0" applyNumberFormat="1" applyFont="1" applyFill="1" applyBorder="1" applyAlignment="1">
      <alignment horizontal="right" vertical="center" wrapText="1"/>
    </xf>
    <xf numFmtId="165" fontId="0" fillId="3" borderId="26" xfId="0" applyNumberFormat="1" applyFill="1" applyBorder="1" applyAlignment="1" applyProtection="1">
      <alignment horizontal="right" vertical="center"/>
      <protection locked="0"/>
    </xf>
    <xf numFmtId="165" fontId="0" fillId="3" borderId="9" xfId="0" applyNumberFormat="1" applyFill="1" applyBorder="1" applyAlignment="1">
      <alignment horizontal="right" vertical="center" wrapText="1"/>
    </xf>
    <xf numFmtId="165" fontId="0" fillId="3" borderId="32" xfId="0" applyNumberFormat="1" applyFill="1" applyBorder="1" applyAlignment="1">
      <alignment horizontal="right" vertical="center" wrapText="1"/>
    </xf>
    <xf numFmtId="165" fontId="0" fillId="3" borderId="33" xfId="0" applyNumberFormat="1" applyFill="1" applyBorder="1" applyAlignment="1">
      <alignment horizontal="right" vertical="center" wrapText="1"/>
    </xf>
    <xf numFmtId="165" fontId="0" fillId="22" borderId="33" xfId="0" applyNumberFormat="1" applyFill="1" applyBorder="1" applyAlignment="1">
      <alignment horizontal="right" vertical="center" wrapText="1"/>
    </xf>
    <xf numFmtId="165" fontId="0" fillId="3" borderId="25" xfId="0" applyNumberFormat="1" applyFill="1" applyBorder="1" applyAlignment="1">
      <alignment horizontal="right" vertical="center" wrapText="1"/>
    </xf>
    <xf numFmtId="165" fontId="0" fillId="3" borderId="1" xfId="0" applyNumberFormat="1" applyFill="1" applyBorder="1" applyAlignment="1">
      <alignment horizontal="right" vertical="center" wrapText="1"/>
    </xf>
    <xf numFmtId="165" fontId="0" fillId="22" borderId="1" xfId="0" applyNumberFormat="1" applyFill="1" applyBorder="1" applyAlignment="1">
      <alignment horizontal="right" vertical="center" wrapText="1"/>
    </xf>
    <xf numFmtId="165" fontId="0" fillId="4" borderId="1" xfId="0" applyNumberFormat="1" applyFill="1" applyBorder="1" applyAlignment="1" applyProtection="1">
      <alignment horizontal="right" vertical="center"/>
      <protection locked="0"/>
    </xf>
    <xf numFmtId="165" fontId="0" fillId="3" borderId="1" xfId="0" applyNumberFormat="1" applyFill="1" applyBorder="1" applyAlignment="1">
      <alignment horizontal="right" vertical="center"/>
    </xf>
    <xf numFmtId="165" fontId="0" fillId="3" borderId="25" xfId="0" applyNumberFormat="1" applyFill="1" applyBorder="1" applyAlignment="1">
      <alignment horizontal="right" vertical="center"/>
    </xf>
    <xf numFmtId="165" fontId="0" fillId="2" borderId="67" xfId="0" applyNumberFormat="1" applyFill="1" applyBorder="1" applyAlignment="1" applyProtection="1">
      <alignment horizontal="right" vertical="center"/>
      <protection locked="0"/>
    </xf>
    <xf numFmtId="165" fontId="0" fillId="2" borderId="37" xfId="0" applyNumberFormat="1" applyFill="1" applyBorder="1" applyAlignment="1" applyProtection="1">
      <alignment horizontal="right" vertical="center"/>
      <protection locked="0"/>
    </xf>
    <xf numFmtId="165" fontId="1" fillId="3" borderId="9" xfId="0" applyNumberFormat="1" applyFont="1" applyFill="1" applyBorder="1" applyAlignment="1" applyProtection="1">
      <alignment horizontal="right" vertical="center"/>
      <protection locked="0"/>
    </xf>
    <xf numFmtId="1" fontId="1" fillId="3" borderId="8"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165" fontId="1" fillId="3" borderId="23" xfId="0" applyNumberFormat="1" applyFont="1" applyFill="1" applyBorder="1" applyAlignment="1">
      <alignment horizontal="right" vertical="center" wrapText="1"/>
    </xf>
    <xf numFmtId="165" fontId="1" fillId="3" borderId="15" xfId="0" applyNumberFormat="1" applyFont="1" applyFill="1" applyBorder="1" applyAlignment="1">
      <alignment horizontal="right" vertical="center" wrapText="1"/>
    </xf>
    <xf numFmtId="165" fontId="1" fillId="3" borderId="2" xfId="0" applyNumberFormat="1" applyFont="1" applyFill="1" applyBorder="1" applyAlignment="1" applyProtection="1">
      <alignment horizontal="right" vertical="center"/>
      <protection locked="0"/>
    </xf>
    <xf numFmtId="14" fontId="18" fillId="0" borderId="4" xfId="0" applyNumberFormat="1" applyFont="1" applyBorder="1" applyAlignment="1">
      <alignment horizontal="center" vertical="center"/>
    </xf>
    <xf numFmtId="0" fontId="63" fillId="9" borderId="18" xfId="0" applyFont="1" applyFill="1" applyBorder="1" applyAlignment="1" applyProtection="1">
      <alignment horizontal="center" vertical="center"/>
      <protection hidden="1"/>
    </xf>
    <xf numFmtId="0" fontId="63" fillId="9" borderId="33" xfId="0" applyFont="1" applyFill="1" applyBorder="1" applyAlignment="1" applyProtection="1">
      <alignment horizontal="center" vertical="center"/>
      <protection hidden="1"/>
    </xf>
    <xf numFmtId="0" fontId="63" fillId="9" borderId="8" xfId="0" applyFont="1" applyFill="1" applyBorder="1" applyAlignment="1" applyProtection="1">
      <alignment horizontal="center" vertical="center"/>
      <protection hidden="1"/>
    </xf>
    <xf numFmtId="0" fontId="63" fillId="10" borderId="19" xfId="0" applyFont="1" applyFill="1" applyBorder="1" applyAlignment="1" applyProtection="1">
      <alignment horizontal="center" vertical="center"/>
      <protection hidden="1"/>
    </xf>
    <xf numFmtId="10" fontId="41" fillId="3" borderId="11" xfId="1" applyNumberFormat="1" applyFont="1" applyFill="1" applyBorder="1" applyAlignment="1" applyProtection="1">
      <alignment horizontal="center" vertical="center"/>
      <protection hidden="1"/>
    </xf>
    <xf numFmtId="10" fontId="64" fillId="3" borderId="15" xfId="1" applyNumberFormat="1" applyFont="1" applyFill="1" applyBorder="1" applyAlignment="1" applyProtection="1">
      <alignment horizontal="center" vertical="center" wrapText="1"/>
      <protection hidden="1"/>
    </xf>
    <xf numFmtId="0" fontId="0" fillId="6" borderId="18" xfId="0" applyFill="1" applyBorder="1" applyAlignment="1" applyProtection="1">
      <alignment vertical="center"/>
      <protection hidden="1"/>
    </xf>
    <xf numFmtId="0" fontId="0" fillId="6" borderId="3" xfId="0" applyFill="1" applyBorder="1" applyAlignment="1" applyProtection="1">
      <alignment vertical="center"/>
      <protection hidden="1"/>
    </xf>
    <xf numFmtId="0" fontId="0" fillId="6" borderId="88" xfId="0" applyFill="1" applyBorder="1" applyAlignment="1" applyProtection="1">
      <alignment vertical="center"/>
      <protection hidden="1"/>
    </xf>
    <xf numFmtId="0" fontId="1" fillId="7" borderId="89" xfId="0" applyFont="1" applyFill="1" applyBorder="1" applyAlignment="1" applyProtection="1">
      <alignment horizontal="center" vertical="center"/>
      <protection hidden="1"/>
    </xf>
    <xf numFmtId="0" fontId="1" fillId="7" borderId="90" xfId="0" applyFont="1" applyFill="1" applyBorder="1" applyAlignment="1" applyProtection="1">
      <alignment horizontal="center" vertical="center"/>
      <protection hidden="1"/>
    </xf>
    <xf numFmtId="166" fontId="0" fillId="0" borderId="86" xfId="0" applyNumberFormat="1" applyBorder="1" applyAlignment="1" applyProtection="1">
      <alignment horizontal="center" vertical="center"/>
      <protection locked="0"/>
    </xf>
    <xf numFmtId="166" fontId="0" fillId="0" borderId="87" xfId="0" applyNumberFormat="1" applyBorder="1" applyAlignment="1" applyProtection="1">
      <alignment horizontal="center" vertical="center"/>
      <protection locked="0"/>
    </xf>
    <xf numFmtId="166" fontId="0" fillId="0" borderId="25" xfId="0" applyNumberFormat="1" applyBorder="1" applyAlignment="1" applyProtection="1">
      <alignment horizontal="center" vertical="center"/>
      <protection locked="0"/>
    </xf>
    <xf numFmtId="166" fontId="0" fillId="0" borderId="26" xfId="0" applyNumberFormat="1" applyBorder="1" applyAlignment="1" applyProtection="1">
      <alignment horizontal="center" vertical="center"/>
      <protection locked="0"/>
    </xf>
    <xf numFmtId="166" fontId="0" fillId="0" borderId="72" xfId="0" applyNumberFormat="1" applyBorder="1" applyAlignment="1" applyProtection="1">
      <alignment horizontal="center" vertical="center"/>
      <protection locked="0"/>
    </xf>
    <xf numFmtId="166" fontId="0" fillId="0" borderId="73" xfId="0" applyNumberFormat="1" applyBorder="1" applyAlignment="1" applyProtection="1">
      <alignment horizontal="center" vertical="center"/>
      <protection locked="0"/>
    </xf>
    <xf numFmtId="165" fontId="11" fillId="0" borderId="1" xfId="0" applyNumberFormat="1" applyFont="1" applyBorder="1"/>
    <xf numFmtId="165" fontId="0" fillId="2" borderId="26" xfId="0" applyNumberFormat="1" applyFill="1" applyBorder="1"/>
    <xf numFmtId="0" fontId="0" fillId="0" borderId="81" xfId="0" applyBorder="1"/>
    <xf numFmtId="0" fontId="0" fillId="0" borderId="91" xfId="0" applyBorder="1"/>
    <xf numFmtId="14" fontId="0" fillId="2" borderId="91" xfId="0" applyNumberFormat="1" applyFill="1" applyBorder="1"/>
    <xf numFmtId="165" fontId="0" fillId="0" borderId="91" xfId="0" applyNumberFormat="1" applyBorder="1"/>
    <xf numFmtId="0" fontId="0" fillId="2" borderId="91" xfId="0" applyFill="1" applyBorder="1"/>
    <xf numFmtId="0" fontId="0" fillId="2" borderId="47" xfId="0" applyFill="1" applyBorder="1"/>
    <xf numFmtId="1" fontId="2" fillId="6" borderId="31" xfId="0" applyNumberFormat="1" applyFont="1" applyFill="1" applyBorder="1" applyAlignment="1">
      <alignment horizontal="center" vertical="center"/>
    </xf>
    <xf numFmtId="1" fontId="3" fillId="18" borderId="31" xfId="0" applyNumberFormat="1" applyFont="1" applyFill="1" applyBorder="1" applyAlignment="1">
      <alignment horizontal="center" vertical="center" wrapText="1"/>
    </xf>
    <xf numFmtId="1" fontId="3" fillId="19" borderId="64" xfId="0" applyNumberFormat="1" applyFont="1" applyFill="1" applyBorder="1" applyAlignment="1">
      <alignment horizontal="center" vertical="center" wrapText="1"/>
    </xf>
    <xf numFmtId="1" fontId="3" fillId="20" borderId="64" xfId="0" applyNumberFormat="1" applyFont="1" applyFill="1" applyBorder="1" applyAlignment="1">
      <alignment horizontal="center" vertical="center" wrapText="1"/>
    </xf>
    <xf numFmtId="1" fontId="3" fillId="12" borderId="24" xfId="0" applyNumberFormat="1" applyFont="1" applyFill="1" applyBorder="1" applyAlignment="1">
      <alignment horizontal="center" vertical="center" wrapText="1"/>
    </xf>
    <xf numFmtId="1" fontId="3" fillId="12" borderId="89" xfId="0" applyNumberFormat="1" applyFont="1" applyFill="1" applyBorder="1" applyAlignment="1">
      <alignment horizontal="center" vertical="center" wrapText="1"/>
    </xf>
    <xf numFmtId="1" fontId="3" fillId="12" borderId="92" xfId="0" applyNumberFormat="1" applyFont="1" applyFill="1" applyBorder="1" applyAlignment="1">
      <alignment horizontal="center" vertical="center" wrapText="1"/>
    </xf>
    <xf numFmtId="1" fontId="3" fillId="12" borderId="90" xfId="0" applyNumberFormat="1" applyFont="1" applyFill="1" applyBorder="1" applyAlignment="1">
      <alignment horizontal="center" vertical="center" wrapText="1"/>
    </xf>
    <xf numFmtId="0" fontId="3" fillId="21" borderId="90" xfId="0" applyFont="1" applyFill="1" applyBorder="1" applyAlignment="1">
      <alignment horizontal="center" vertical="center"/>
    </xf>
    <xf numFmtId="165" fontId="1" fillId="3" borderId="1" xfId="0" applyNumberFormat="1" applyFont="1" applyFill="1" applyBorder="1" applyAlignment="1">
      <alignment horizontal="right" vertical="center" wrapText="1"/>
    </xf>
    <xf numFmtId="165" fontId="0" fillId="3" borderId="1" xfId="0" applyNumberFormat="1" applyFill="1" applyBorder="1"/>
    <xf numFmtId="1" fontId="1" fillId="3" borderId="86" xfId="0" applyNumberFormat="1" applyFont="1" applyFill="1" applyBorder="1" applyAlignment="1">
      <alignment horizontal="center" vertical="center"/>
    </xf>
    <xf numFmtId="165" fontId="1" fillId="3" borderId="38" xfId="0" applyNumberFormat="1" applyFont="1" applyFill="1" applyBorder="1" applyAlignment="1">
      <alignment horizontal="right" vertical="center" wrapText="1"/>
    </xf>
    <xf numFmtId="165" fontId="0" fillId="3" borderId="38" xfId="0" applyNumberFormat="1" applyFill="1" applyBorder="1" applyAlignment="1">
      <alignment horizontal="right" vertical="center" wrapText="1"/>
    </xf>
    <xf numFmtId="165" fontId="0" fillId="22" borderId="38" xfId="0" applyNumberFormat="1" applyFill="1" applyBorder="1" applyAlignment="1">
      <alignment horizontal="right" vertical="center" wrapText="1"/>
    </xf>
    <xf numFmtId="165" fontId="0" fillId="3" borderId="38" xfId="0" applyNumberFormat="1" applyFill="1" applyBorder="1" applyAlignment="1" applyProtection="1">
      <alignment horizontal="right" vertical="center"/>
      <protection locked="0"/>
    </xf>
    <xf numFmtId="165" fontId="0" fillId="3" borderId="87" xfId="0" applyNumberFormat="1" applyFill="1" applyBorder="1" applyAlignment="1" applyProtection="1">
      <alignment horizontal="right" vertical="center"/>
      <protection locked="0"/>
    </xf>
    <xf numFmtId="1" fontId="1" fillId="3" borderId="25" xfId="0" applyNumberFormat="1" applyFont="1" applyFill="1" applyBorder="1" applyAlignment="1">
      <alignment horizontal="center" vertical="center"/>
    </xf>
    <xf numFmtId="0" fontId="0" fillId="3" borderId="25" xfId="0" applyFill="1" applyBorder="1" applyAlignment="1">
      <alignment horizontal="center" vertical="center"/>
    </xf>
    <xf numFmtId="0" fontId="1" fillId="3" borderId="25" xfId="0" applyFont="1" applyFill="1" applyBorder="1" applyAlignment="1">
      <alignment horizontal="center" vertical="center"/>
    </xf>
    <xf numFmtId="0" fontId="0" fillId="23" borderId="25" xfId="0" applyFill="1" applyBorder="1" applyAlignment="1">
      <alignment horizontal="center" vertical="center"/>
    </xf>
    <xf numFmtId="0" fontId="0" fillId="2" borderId="25" xfId="0" applyFill="1" applyBorder="1" applyAlignment="1">
      <alignment horizontal="center" vertical="center"/>
    </xf>
    <xf numFmtId="0" fontId="0" fillId="2" borderId="72" xfId="0" applyFill="1" applyBorder="1" applyAlignment="1">
      <alignment horizontal="center" vertical="center"/>
    </xf>
    <xf numFmtId="0" fontId="34" fillId="16" borderId="13" xfId="0" applyFont="1" applyFill="1" applyBorder="1" applyAlignment="1" applyProtection="1">
      <alignment horizontal="left" vertical="center"/>
      <protection hidden="1"/>
    </xf>
    <xf numFmtId="0" fontId="34" fillId="16" borderId="20" xfId="0" applyFont="1" applyFill="1" applyBorder="1" applyAlignment="1" applyProtection="1">
      <alignment horizontal="left" vertical="center"/>
      <protection hidden="1"/>
    </xf>
    <xf numFmtId="0" fontId="34" fillId="16" borderId="14" xfId="0" applyFont="1" applyFill="1" applyBorder="1" applyAlignment="1" applyProtection="1">
      <alignment horizontal="left" vertical="center"/>
      <protection hidden="1"/>
    </xf>
    <xf numFmtId="0" fontId="19" fillId="7" borderId="37" xfId="0" applyFont="1" applyFill="1" applyBorder="1" applyAlignment="1" applyProtection="1">
      <alignment horizontal="left" vertical="center"/>
      <protection hidden="1"/>
    </xf>
    <xf numFmtId="0" fontId="19" fillId="7" borderId="46" xfId="0" applyFont="1" applyFill="1" applyBorder="1" applyAlignment="1" applyProtection="1">
      <alignment horizontal="left" vertical="center"/>
      <protection hidden="1"/>
    </xf>
    <xf numFmtId="0" fontId="19" fillId="7" borderId="47" xfId="0" applyFont="1" applyFill="1" applyBorder="1" applyAlignment="1" applyProtection="1">
      <alignment horizontal="left" vertical="center"/>
      <protection hidden="1"/>
    </xf>
    <xf numFmtId="0" fontId="0" fillId="2" borderId="0" xfId="0" applyFill="1" applyAlignment="1" applyProtection="1">
      <alignment horizontal="left"/>
      <protection hidden="1"/>
    </xf>
    <xf numFmtId="0" fontId="6" fillId="8" borderId="13" xfId="0" applyFont="1" applyFill="1" applyBorder="1" applyAlignment="1" applyProtection="1">
      <alignment horizontal="center" vertical="center" wrapText="1"/>
      <protection hidden="1"/>
    </xf>
    <xf numFmtId="0" fontId="6" fillId="8" borderId="14" xfId="0" applyFont="1" applyFill="1" applyBorder="1" applyAlignment="1" applyProtection="1">
      <alignment horizontal="center" vertical="center" wrapText="1"/>
      <protection hidden="1"/>
    </xf>
    <xf numFmtId="0" fontId="33" fillId="0" borderId="29" xfId="0" applyFont="1" applyBorder="1" applyAlignment="1" applyProtection="1">
      <alignment horizontal="center" vertical="center"/>
      <protection hidden="1"/>
    </xf>
    <xf numFmtId="0" fontId="1" fillId="7" borderId="31" xfId="0" applyFont="1" applyFill="1" applyBorder="1" applyAlignment="1" applyProtection="1">
      <alignment horizontal="left" vertical="center"/>
      <protection hidden="1"/>
    </xf>
    <xf numFmtId="0" fontId="1" fillId="7" borderId="27"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wrapText="1"/>
      <protection hidden="1"/>
    </xf>
    <xf numFmtId="0" fontId="1" fillId="13"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2" fillId="13" borderId="13" xfId="0" applyFont="1" applyFill="1" applyBorder="1" applyAlignment="1" applyProtection="1">
      <alignment horizontal="center" vertical="center"/>
      <protection hidden="1"/>
    </xf>
    <xf numFmtId="0" fontId="12" fillId="13" borderId="20"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3" fillId="11" borderId="13" xfId="0" applyFont="1" applyFill="1" applyBorder="1" applyAlignment="1" applyProtection="1">
      <alignment horizontal="left" vertical="center" wrapText="1"/>
      <protection hidden="1"/>
    </xf>
    <xf numFmtId="0" fontId="3" fillId="11" borderId="20" xfId="0" applyFont="1" applyFill="1" applyBorder="1" applyAlignment="1" applyProtection="1">
      <alignment horizontal="left" vertical="center" wrapText="1"/>
      <protection hidden="1"/>
    </xf>
    <xf numFmtId="0" fontId="3" fillId="11" borderId="14" xfId="0" applyFont="1" applyFill="1" applyBorder="1" applyAlignment="1" applyProtection="1">
      <alignment horizontal="left" vertical="center" wrapText="1"/>
      <protection hidden="1"/>
    </xf>
    <xf numFmtId="0" fontId="1" fillId="15" borderId="13" xfId="0" applyFont="1" applyFill="1" applyBorder="1" applyAlignment="1" applyProtection="1">
      <alignment horizontal="left" vertical="center"/>
      <protection hidden="1"/>
    </xf>
    <xf numFmtId="0" fontId="1" fillId="15" borderId="20" xfId="0" applyFont="1" applyFill="1" applyBorder="1" applyAlignment="1" applyProtection="1">
      <alignment horizontal="left" vertical="center"/>
      <protection hidden="1"/>
    </xf>
    <xf numFmtId="0" fontId="1" fillId="15" borderId="14" xfId="0" applyFont="1" applyFill="1" applyBorder="1" applyAlignment="1" applyProtection="1">
      <alignment horizontal="left" vertical="center"/>
      <protection hidden="1"/>
    </xf>
    <xf numFmtId="0" fontId="1" fillId="11" borderId="13" xfId="0" applyFont="1" applyFill="1" applyBorder="1" applyAlignment="1" applyProtection="1">
      <alignment horizontal="left" vertical="center" wrapText="1"/>
      <protection hidden="1"/>
    </xf>
    <xf numFmtId="0" fontId="1" fillId="11" borderId="20" xfId="0" applyFont="1" applyFill="1" applyBorder="1" applyAlignment="1" applyProtection="1">
      <alignment horizontal="left" vertical="center" wrapText="1"/>
      <protection hidden="1"/>
    </xf>
    <xf numFmtId="0" fontId="1" fillId="11" borderId="14" xfId="0" applyFont="1" applyFill="1" applyBorder="1" applyAlignment="1" applyProtection="1">
      <alignment horizontal="left" vertical="center" wrapText="1"/>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3" fillId="3" borderId="14" xfId="0" applyFont="1" applyFill="1" applyBorder="1" applyAlignment="1" applyProtection="1">
      <alignment horizontal="left"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2" fillId="2" borderId="0" xfId="0" applyFont="1" applyFill="1" applyAlignment="1" applyProtection="1">
      <alignment horizontal="left" wrapText="1"/>
      <protection hidden="1"/>
    </xf>
    <xf numFmtId="0" fontId="2" fillId="2" borderId="0" xfId="0" applyFont="1" applyFill="1" applyAlignment="1" applyProtection="1">
      <alignment horizontal="left"/>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21" fillId="4" borderId="13" xfId="0" applyFont="1" applyFill="1" applyBorder="1" applyAlignment="1" applyProtection="1">
      <alignment horizontal="left" vertical="center"/>
      <protection hidden="1"/>
    </xf>
    <xf numFmtId="0" fontId="21" fillId="4" borderId="20" xfId="0" applyFont="1" applyFill="1" applyBorder="1" applyAlignment="1" applyProtection="1">
      <alignment horizontal="left" vertical="center"/>
      <protection hidden="1"/>
    </xf>
    <xf numFmtId="0" fontId="21" fillId="4" borderId="14" xfId="0" applyFont="1" applyFill="1" applyBorder="1" applyAlignment="1" applyProtection="1">
      <alignment horizontal="left" vertical="center"/>
      <protection hidden="1"/>
    </xf>
    <xf numFmtId="0" fontId="26" fillId="5" borderId="0" xfId="0" applyFont="1" applyFill="1" applyAlignment="1" applyProtection="1">
      <alignment horizontal="left" vertical="center" wrapText="1"/>
      <protection hidden="1"/>
    </xf>
    <xf numFmtId="0" fontId="23" fillId="4" borderId="0" xfId="0" applyFont="1" applyFill="1" applyAlignment="1" applyProtection="1">
      <alignment horizontal="left" vertical="center" wrapText="1"/>
      <protection hidden="1"/>
    </xf>
    <xf numFmtId="0" fontId="32" fillId="0" borderId="29" xfId="0" applyFont="1" applyBorder="1" applyAlignment="1">
      <alignment horizontal="center" vertical="top"/>
    </xf>
    <xf numFmtId="0" fontId="35" fillId="0" borderId="29" xfId="0" applyFont="1" applyBorder="1" applyAlignment="1" applyProtection="1">
      <alignment horizontal="center" vertical="center" wrapText="1"/>
      <protection hidden="1"/>
    </xf>
    <xf numFmtId="0" fontId="13" fillId="15" borderId="24" xfId="0" applyFont="1" applyFill="1" applyBorder="1" applyAlignment="1" applyProtection="1">
      <alignment horizontal="center" vertical="center"/>
      <protection hidden="1"/>
    </xf>
    <xf numFmtId="0" fontId="13" fillId="15" borderId="11" xfId="0" applyFont="1" applyFill="1" applyBorder="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19" fillId="7" borderId="36" xfId="0" applyFont="1" applyFill="1" applyBorder="1" applyAlignment="1" applyProtection="1">
      <alignment horizontal="left" vertical="center"/>
      <protection hidden="1"/>
    </xf>
    <xf numFmtId="0" fontId="19" fillId="7" borderId="44" xfId="0" applyFont="1" applyFill="1" applyBorder="1" applyAlignment="1" applyProtection="1">
      <alignment horizontal="left" vertical="center"/>
      <protection hidden="1"/>
    </xf>
    <xf numFmtId="0" fontId="19" fillId="7" borderId="45" xfId="0" applyFont="1" applyFill="1" applyBorder="1" applyAlignment="1" applyProtection="1">
      <alignment horizontal="left" vertical="center"/>
      <protection hidden="1"/>
    </xf>
    <xf numFmtId="0" fontId="35" fillId="2" borderId="0" xfId="0" applyFont="1" applyFill="1" applyAlignment="1" applyProtection="1">
      <alignment horizontal="center" vertical="center" wrapText="1"/>
      <protection hidden="1"/>
    </xf>
    <xf numFmtId="0" fontId="0" fillId="10" borderId="20" xfId="0" applyFill="1" applyBorder="1" applyAlignment="1" applyProtection="1">
      <alignment horizontal="center" vertical="center"/>
      <protection hidden="1"/>
    </xf>
    <xf numFmtId="0" fontId="0" fillId="10" borderId="14" xfId="0" applyFill="1" applyBorder="1" applyAlignment="1" applyProtection="1">
      <alignment horizontal="center" vertical="center"/>
      <protection hidden="1"/>
    </xf>
    <xf numFmtId="0" fontId="14" fillId="14" borderId="52" xfId="0" applyFont="1" applyFill="1" applyBorder="1" applyAlignment="1" applyProtection="1">
      <alignment horizontal="center" vertical="center"/>
      <protection hidden="1"/>
    </xf>
    <xf numFmtId="0" fontId="14" fillId="14" borderId="53" xfId="0" applyFont="1" applyFill="1" applyBorder="1" applyAlignment="1" applyProtection="1">
      <alignment horizontal="center" vertical="center"/>
      <protection hidden="1"/>
    </xf>
    <xf numFmtId="0" fontId="5" fillId="4" borderId="55"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1" fillId="7" borderId="30" xfId="0" applyFont="1" applyFill="1" applyBorder="1" applyAlignment="1" applyProtection="1">
      <alignment horizontal="center" vertical="center"/>
      <protection hidden="1"/>
    </xf>
    <xf numFmtId="0" fontId="1" fillId="7" borderId="22" xfId="0" applyFont="1" applyFill="1" applyBorder="1" applyAlignment="1" applyProtection="1">
      <alignment horizontal="center" vertical="center"/>
      <protection hidden="1"/>
    </xf>
    <xf numFmtId="0" fontId="38" fillId="4" borderId="60" xfId="0" applyFont="1" applyFill="1" applyBorder="1" applyAlignment="1" applyProtection="1">
      <alignment horizontal="center" vertical="center" wrapText="1"/>
      <protection hidden="1"/>
    </xf>
    <xf numFmtId="0" fontId="38" fillId="4" borderId="51" xfId="0" applyFont="1" applyFill="1" applyBorder="1" applyAlignment="1" applyProtection="1">
      <alignment horizontal="center" vertical="center" wrapText="1"/>
      <protection hidden="1"/>
    </xf>
    <xf numFmtId="0" fontId="1" fillId="7" borderId="13" xfId="0" applyFont="1" applyFill="1" applyBorder="1" applyAlignment="1" applyProtection="1">
      <alignment horizontal="center" vertical="center"/>
      <protection hidden="1"/>
    </xf>
    <xf numFmtId="0" fontId="0" fillId="7" borderId="20" xfId="0" applyFill="1" applyBorder="1" applyAlignment="1" applyProtection="1">
      <alignment horizontal="center" vertical="center"/>
      <protection hidden="1"/>
    </xf>
    <xf numFmtId="0" fontId="0" fillId="7" borderId="14" xfId="0"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3" fillId="3" borderId="57" xfId="0" applyFont="1" applyFill="1" applyBorder="1" applyAlignment="1" applyProtection="1">
      <alignment horizontal="center" vertical="center"/>
      <protection hidden="1"/>
    </xf>
    <xf numFmtId="0" fontId="20" fillId="16" borderId="13" xfId="0" applyFont="1" applyFill="1" applyBorder="1" applyAlignment="1" applyProtection="1">
      <alignment horizontal="left" vertical="center"/>
      <protection hidden="1"/>
    </xf>
    <xf numFmtId="0" fontId="20" fillId="16" borderId="20" xfId="0" applyFont="1" applyFill="1" applyBorder="1" applyAlignment="1" applyProtection="1">
      <alignment horizontal="left" vertical="center"/>
      <protection hidden="1"/>
    </xf>
    <xf numFmtId="0" fontId="20" fillId="16" borderId="14" xfId="0" applyFont="1" applyFill="1" applyBorder="1" applyAlignment="1" applyProtection="1">
      <alignment horizontal="left" vertical="center"/>
      <protection hidden="1"/>
    </xf>
    <xf numFmtId="0" fontId="3" fillId="3" borderId="61" xfId="0" applyFont="1" applyFill="1" applyBorder="1" applyAlignment="1" applyProtection="1">
      <alignment horizontal="center" vertical="center"/>
      <protection hidden="1"/>
    </xf>
    <xf numFmtId="0" fontId="3" fillId="3" borderId="62" xfId="0" applyFont="1" applyFill="1" applyBorder="1" applyAlignment="1" applyProtection="1">
      <alignment horizontal="center" vertical="center"/>
      <protection hidden="1"/>
    </xf>
    <xf numFmtId="0" fontId="5" fillId="10" borderId="52" xfId="0" applyFont="1" applyFill="1" applyBorder="1" applyAlignment="1" applyProtection="1">
      <alignment horizontal="center" vertical="center" wrapText="1"/>
      <protection hidden="1"/>
    </xf>
    <xf numFmtId="0" fontId="5" fillId="10" borderId="53" xfId="0" applyFont="1" applyFill="1" applyBorder="1" applyAlignment="1" applyProtection="1">
      <alignment horizontal="center" vertical="center" wrapText="1"/>
      <protection hidden="1"/>
    </xf>
    <xf numFmtId="0" fontId="1" fillId="7" borderId="14" xfId="0" applyFont="1" applyFill="1" applyBorder="1" applyAlignment="1" applyProtection="1">
      <alignment horizontal="center" vertical="center"/>
      <protection hidden="1"/>
    </xf>
    <xf numFmtId="0" fontId="65" fillId="0" borderId="48" xfId="0" applyFont="1" applyBorder="1" applyAlignment="1" applyProtection="1">
      <alignment horizontal="center" vertical="center" wrapText="1"/>
      <protection hidden="1"/>
    </xf>
    <xf numFmtId="0" fontId="32" fillId="0" borderId="0" xfId="0" applyFont="1" applyAlignment="1">
      <alignment horizontal="center" vertical="center"/>
    </xf>
    <xf numFmtId="0" fontId="32" fillId="0" borderId="29" xfId="0" applyFont="1" applyBorder="1" applyAlignment="1">
      <alignment horizontal="center" vertical="center"/>
    </xf>
    <xf numFmtId="0" fontId="18" fillId="0" borderId="29"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165" fontId="47" fillId="3" borderId="13" xfId="0" applyNumberFormat="1" applyFont="1" applyFill="1" applyBorder="1" applyAlignment="1" applyProtection="1">
      <alignment horizontal="center" vertical="center"/>
      <protection hidden="1"/>
    </xf>
    <xf numFmtId="165" fontId="47" fillId="3" borderId="14" xfId="0" applyNumberFormat="1" applyFont="1" applyFill="1" applyBorder="1" applyAlignment="1" applyProtection="1">
      <alignment horizontal="center" vertical="center"/>
      <protection hidden="1"/>
    </xf>
    <xf numFmtId="0" fontId="9" fillId="30" borderId="64" xfId="0"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21" fillId="10" borderId="31" xfId="0" applyFont="1" applyFill="1" applyBorder="1" applyAlignment="1" applyProtection="1">
      <alignment horizontal="left" vertical="center" wrapText="1"/>
      <protection hidden="1"/>
    </xf>
    <xf numFmtId="0" fontId="21" fillId="10" borderId="64" xfId="0" applyFont="1" applyFill="1" applyBorder="1" applyAlignment="1" applyProtection="1">
      <alignment horizontal="left" vertical="center" wrapText="1"/>
      <protection hidden="1"/>
    </xf>
    <xf numFmtId="0" fontId="21" fillId="10" borderId="27" xfId="0" applyFont="1" applyFill="1" applyBorder="1" applyAlignment="1" applyProtection="1">
      <alignment horizontal="left" vertical="center" wrapText="1"/>
      <protection hidden="1"/>
    </xf>
    <xf numFmtId="0" fontId="21" fillId="10" borderId="30" xfId="0" applyFont="1" applyFill="1" applyBorder="1" applyAlignment="1" applyProtection="1">
      <alignment horizontal="left" vertical="center" wrapText="1"/>
      <protection hidden="1"/>
    </xf>
    <xf numFmtId="0" fontId="21" fillId="10" borderId="29" xfId="0" applyFont="1" applyFill="1" applyBorder="1" applyAlignment="1" applyProtection="1">
      <alignment horizontal="left" vertical="center" wrapText="1"/>
      <protection hidden="1"/>
    </xf>
    <xf numFmtId="0" fontId="21" fillId="10" borderId="22" xfId="0" applyFont="1" applyFill="1" applyBorder="1" applyAlignment="1" applyProtection="1">
      <alignment horizontal="left" vertical="center" wrapText="1"/>
      <protection hidden="1"/>
    </xf>
    <xf numFmtId="10" fontId="47" fillId="10" borderId="24" xfId="0" applyNumberFormat="1" applyFont="1" applyFill="1" applyBorder="1" applyAlignment="1" applyProtection="1">
      <alignment horizontal="center" vertical="center"/>
      <protection hidden="1"/>
    </xf>
    <xf numFmtId="10" fontId="47" fillId="10" borderId="11" xfId="0" applyNumberFormat="1" applyFont="1" applyFill="1" applyBorder="1" applyAlignment="1" applyProtection="1">
      <alignment horizontal="center" vertical="center"/>
      <protection hidden="1"/>
    </xf>
    <xf numFmtId="0" fontId="33" fillId="10" borderId="64" xfId="0" applyFont="1" applyFill="1" applyBorder="1" applyAlignment="1" applyProtection="1">
      <alignment horizontal="left" vertical="center" wrapText="1"/>
      <protection hidden="1"/>
    </xf>
    <xf numFmtId="0" fontId="33" fillId="10" borderId="0" xfId="0" applyFont="1" applyFill="1" applyAlignment="1" applyProtection="1">
      <alignment horizontal="left" vertical="center" wrapText="1"/>
      <protection hidden="1"/>
    </xf>
    <xf numFmtId="0" fontId="28" fillId="12" borderId="13" xfId="0" applyFont="1" applyFill="1" applyBorder="1" applyAlignment="1" applyProtection="1">
      <alignment horizontal="left" vertical="center" wrapText="1"/>
      <protection hidden="1"/>
    </xf>
    <xf numFmtId="0" fontId="28" fillId="12" borderId="20" xfId="0" applyFont="1" applyFill="1" applyBorder="1" applyAlignment="1" applyProtection="1">
      <alignment horizontal="left" vertical="center" wrapText="1"/>
      <protection hidden="1"/>
    </xf>
    <xf numFmtId="0" fontId="28" fillId="12" borderId="14" xfId="0" applyFont="1" applyFill="1" applyBorder="1" applyAlignment="1" applyProtection="1">
      <alignment horizontal="left" vertical="center" wrapText="1"/>
      <protection hidden="1"/>
    </xf>
    <xf numFmtId="0" fontId="0" fillId="0" borderId="0" xfId="0" applyAlignment="1" applyProtection="1">
      <alignment horizontal="left" vertical="center"/>
      <protection hidden="1"/>
    </xf>
    <xf numFmtId="0" fontId="5" fillId="5" borderId="0" xfId="0" applyFont="1" applyFill="1" applyAlignment="1" applyProtection="1">
      <alignment horizontal="left" vertical="top" wrapText="1"/>
      <protection hidden="1"/>
    </xf>
    <xf numFmtId="0" fontId="60" fillId="2" borderId="31" xfId="0" applyFont="1" applyFill="1" applyBorder="1" applyAlignment="1" applyProtection="1">
      <alignment horizontal="center" vertical="center" wrapText="1"/>
      <protection hidden="1"/>
    </xf>
    <xf numFmtId="0" fontId="60" fillId="2" borderId="64" xfId="0" applyFont="1" applyFill="1" applyBorder="1" applyAlignment="1" applyProtection="1">
      <alignment horizontal="center" vertical="center" wrapText="1"/>
      <protection hidden="1"/>
    </xf>
    <xf numFmtId="0" fontId="60" fillId="2" borderId="27" xfId="0" applyFont="1" applyFill="1" applyBorder="1" applyAlignment="1" applyProtection="1">
      <alignment horizontal="center" vertical="center" wrapText="1"/>
      <protection hidden="1"/>
    </xf>
    <xf numFmtId="0" fontId="61" fillId="2" borderId="48" xfId="0" applyFont="1" applyFill="1" applyBorder="1" applyAlignment="1" applyProtection="1">
      <alignment horizontal="left" vertical="center" wrapText="1"/>
      <protection hidden="1"/>
    </xf>
    <xf numFmtId="0" fontId="61" fillId="2" borderId="0" xfId="0" applyFont="1" applyFill="1" applyAlignment="1" applyProtection="1">
      <alignment horizontal="left" vertical="center" wrapText="1"/>
      <protection hidden="1"/>
    </xf>
    <xf numFmtId="0" fontId="61" fillId="2" borderId="65" xfId="0" applyFont="1" applyFill="1" applyBorder="1" applyAlignment="1" applyProtection="1">
      <alignment horizontal="left" vertical="center" wrapText="1"/>
      <protection hidden="1"/>
    </xf>
    <xf numFmtId="0" fontId="61" fillId="2" borderId="30" xfId="0" applyFont="1" applyFill="1" applyBorder="1" applyAlignment="1" applyProtection="1">
      <alignment horizontal="left" vertical="center" wrapText="1"/>
      <protection hidden="1"/>
    </xf>
    <xf numFmtId="0" fontId="61" fillId="2" borderId="29" xfId="0" applyFont="1" applyFill="1" applyBorder="1" applyAlignment="1" applyProtection="1">
      <alignment horizontal="left" vertical="center" wrapText="1"/>
      <protection hidden="1"/>
    </xf>
    <xf numFmtId="0" fontId="61" fillId="2" borderId="22" xfId="0" applyFont="1" applyFill="1" applyBorder="1" applyAlignment="1" applyProtection="1">
      <alignment horizontal="left" vertical="center" wrapText="1"/>
      <protection hidden="1"/>
    </xf>
    <xf numFmtId="0" fontId="5" fillId="3" borderId="24" xfId="0" applyFont="1" applyFill="1" applyBorder="1" applyAlignment="1" applyProtection="1">
      <alignment horizontal="center" vertical="center" wrapText="1"/>
      <protection hidden="1"/>
    </xf>
    <xf numFmtId="0" fontId="5" fillId="3" borderId="11" xfId="0" applyFont="1" applyFill="1" applyBorder="1" applyAlignment="1" applyProtection="1">
      <alignment horizontal="center" vertical="center" wrapText="1"/>
      <protection hidden="1"/>
    </xf>
    <xf numFmtId="10" fontId="3" fillId="3" borderId="48" xfId="1" applyNumberFormat="1" applyFont="1" applyFill="1" applyBorder="1" applyAlignment="1" applyProtection="1">
      <alignment horizontal="center" vertical="center" wrapText="1"/>
      <protection hidden="1"/>
    </xf>
    <xf numFmtId="10" fontId="3" fillId="3" borderId="65" xfId="1" applyNumberFormat="1" applyFont="1" applyFill="1" applyBorder="1" applyAlignment="1" applyProtection="1">
      <alignment horizontal="center" vertical="center" wrapText="1"/>
      <protection hidden="1"/>
    </xf>
    <xf numFmtId="10" fontId="3" fillId="3" borderId="30" xfId="1" applyNumberFormat="1" applyFont="1" applyFill="1" applyBorder="1" applyAlignment="1" applyProtection="1">
      <alignment horizontal="center" vertical="center" wrapText="1"/>
      <protection hidden="1"/>
    </xf>
    <xf numFmtId="10" fontId="3" fillId="3" borderId="22" xfId="1" applyNumberFormat="1" applyFont="1" applyFill="1" applyBorder="1" applyAlignment="1" applyProtection="1">
      <alignment horizontal="center" vertical="center" wrapText="1"/>
      <protection hidden="1"/>
    </xf>
    <xf numFmtId="0" fontId="3" fillId="10" borderId="31" xfId="0" applyFont="1" applyFill="1" applyBorder="1" applyAlignment="1" applyProtection="1">
      <alignment horizontal="center" vertical="center" wrapText="1"/>
      <protection hidden="1"/>
    </xf>
    <xf numFmtId="0" fontId="3" fillId="10" borderId="27" xfId="0" applyFont="1" applyFill="1" applyBorder="1" applyAlignment="1" applyProtection="1">
      <alignment horizontal="center" vertical="center" wrapText="1"/>
      <protection hidden="1"/>
    </xf>
    <xf numFmtId="0" fontId="3" fillId="10" borderId="30" xfId="0" applyFont="1" applyFill="1" applyBorder="1" applyAlignment="1" applyProtection="1">
      <alignment horizontal="center" vertical="center" wrapText="1"/>
      <protection hidden="1"/>
    </xf>
    <xf numFmtId="0" fontId="3" fillId="10" borderId="22" xfId="0" applyFont="1" applyFill="1" applyBorder="1" applyAlignment="1" applyProtection="1">
      <alignment horizontal="center" vertical="center" wrapText="1"/>
      <protection hidden="1"/>
    </xf>
    <xf numFmtId="0" fontId="3" fillId="5" borderId="24"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10" fontId="22" fillId="2" borderId="0" xfId="1" applyNumberFormat="1" applyFont="1" applyFill="1" applyBorder="1" applyAlignment="1" applyProtection="1">
      <alignment horizontal="center" vertical="center" wrapText="1"/>
      <protection hidden="1"/>
    </xf>
    <xf numFmtId="0" fontId="39" fillId="3" borderId="13" xfId="0" applyFont="1" applyFill="1" applyBorder="1" applyAlignment="1" applyProtection="1">
      <alignment horizontal="center" vertical="center" wrapText="1"/>
      <protection hidden="1"/>
    </xf>
    <xf numFmtId="0" fontId="39" fillId="3" borderId="20" xfId="0" applyFont="1" applyFill="1" applyBorder="1" applyAlignment="1" applyProtection="1">
      <alignment horizontal="center" vertical="center" wrapText="1"/>
      <protection hidden="1"/>
    </xf>
    <xf numFmtId="0" fontId="39" fillId="3" borderId="14" xfId="0" applyFont="1" applyFill="1" applyBorder="1" applyAlignment="1" applyProtection="1">
      <alignment horizontal="center" vertical="center" wrapText="1"/>
      <protection hidden="1"/>
    </xf>
    <xf numFmtId="10" fontId="21" fillId="12" borderId="13" xfId="1" applyNumberFormat="1" applyFont="1" applyFill="1" applyBorder="1" applyAlignment="1" applyProtection="1">
      <alignment horizontal="center" vertical="center" wrapText="1"/>
      <protection hidden="1"/>
    </xf>
    <xf numFmtId="10" fontId="21" fillId="12" borderId="29" xfId="1" applyNumberFormat="1" applyFont="1" applyFill="1" applyBorder="1" applyAlignment="1" applyProtection="1">
      <alignment horizontal="center" vertical="center" wrapText="1"/>
      <protection hidden="1"/>
    </xf>
    <xf numFmtId="10" fontId="21" fillId="12" borderId="20" xfId="1" applyNumberFormat="1" applyFont="1" applyFill="1" applyBorder="1" applyAlignment="1" applyProtection="1">
      <alignment horizontal="center" vertical="center" wrapText="1"/>
      <protection hidden="1"/>
    </xf>
    <xf numFmtId="10" fontId="21" fillId="12" borderId="14" xfId="1" applyNumberFormat="1" applyFont="1" applyFill="1" applyBorder="1" applyAlignment="1" applyProtection="1">
      <alignment horizontal="center" vertical="center" wrapText="1"/>
      <protection hidden="1"/>
    </xf>
    <xf numFmtId="0" fontId="6" fillId="21" borderId="13" xfId="0" applyFont="1" applyFill="1" applyBorder="1" applyAlignment="1" applyProtection="1">
      <alignment horizontal="center" vertical="center"/>
      <protection hidden="1"/>
    </xf>
    <xf numFmtId="0" fontId="6" fillId="21" borderId="20" xfId="0" applyFont="1" applyFill="1" applyBorder="1" applyAlignment="1" applyProtection="1">
      <alignment horizontal="center" vertical="center"/>
      <protection hidden="1"/>
    </xf>
    <xf numFmtId="0" fontId="6" fillId="21" borderId="14" xfId="0" applyFont="1" applyFill="1" applyBorder="1" applyAlignment="1" applyProtection="1">
      <alignment horizontal="center" vertical="center"/>
      <protection hidden="1"/>
    </xf>
    <xf numFmtId="0" fontId="20" fillId="21" borderId="13" xfId="0" applyFont="1" applyFill="1" applyBorder="1" applyAlignment="1" applyProtection="1">
      <alignment horizontal="center" vertical="center" wrapText="1"/>
      <protection hidden="1"/>
    </xf>
    <xf numFmtId="0" fontId="20" fillId="21" borderId="20" xfId="0" applyFont="1" applyFill="1" applyBorder="1" applyAlignment="1" applyProtection="1">
      <alignment horizontal="center" vertical="center" wrapText="1"/>
      <protection hidden="1"/>
    </xf>
    <xf numFmtId="0" fontId="20" fillId="21" borderId="14" xfId="0" applyFont="1" applyFill="1" applyBorder="1" applyAlignment="1" applyProtection="1">
      <alignment horizontal="center" vertical="center" wrapText="1"/>
      <protection hidden="1"/>
    </xf>
    <xf numFmtId="0" fontId="1" fillId="31" borderId="13" xfId="0" applyFont="1" applyFill="1" applyBorder="1" applyAlignment="1" applyProtection="1">
      <alignment horizontal="left" vertical="center" wrapText="1"/>
      <protection hidden="1"/>
    </xf>
    <xf numFmtId="0" fontId="1" fillId="31" borderId="20" xfId="0" applyFont="1" applyFill="1" applyBorder="1" applyAlignment="1" applyProtection="1">
      <alignment horizontal="left" vertical="center" wrapText="1"/>
      <protection hidden="1"/>
    </xf>
    <xf numFmtId="0" fontId="1" fillId="31" borderId="14" xfId="0" applyFont="1" applyFill="1" applyBorder="1" applyAlignment="1" applyProtection="1">
      <alignment horizontal="left" vertical="center" wrapText="1"/>
      <protection hidden="1"/>
    </xf>
    <xf numFmtId="0" fontId="13" fillId="15" borderId="50" xfId="0" applyFont="1" applyFill="1" applyBorder="1" applyAlignment="1" applyProtection="1">
      <alignment horizontal="center" vertical="center"/>
      <protection hidden="1"/>
    </xf>
    <xf numFmtId="0" fontId="13" fillId="15" borderId="51" xfId="0" applyFont="1" applyFill="1" applyBorder="1" applyAlignment="1" applyProtection="1">
      <alignment horizontal="center" vertical="center"/>
      <protection hidden="1"/>
    </xf>
    <xf numFmtId="0" fontId="21" fillId="32" borderId="13" xfId="0" applyFont="1" applyFill="1" applyBorder="1" applyAlignment="1" applyProtection="1">
      <alignment horizontal="left" vertical="center"/>
      <protection hidden="1"/>
    </xf>
    <xf numFmtId="0" fontId="21" fillId="32" borderId="20" xfId="0" applyFont="1" applyFill="1" applyBorder="1" applyAlignment="1" applyProtection="1">
      <alignment horizontal="left" vertical="center"/>
      <protection hidden="1"/>
    </xf>
    <xf numFmtId="0" fontId="21" fillId="32" borderId="14" xfId="0" applyFont="1" applyFill="1" applyBorder="1" applyAlignment="1" applyProtection="1">
      <alignment horizontal="left" vertical="center"/>
      <protection hidden="1"/>
    </xf>
    <xf numFmtId="0" fontId="33" fillId="0" borderId="0" xfId="0" applyFont="1" applyAlignment="1" applyProtection="1">
      <alignment horizontal="center" vertical="top"/>
      <protection hidden="1"/>
    </xf>
    <xf numFmtId="0" fontId="32" fillId="0" borderId="0" xfId="0" applyFont="1" applyAlignment="1">
      <alignment horizontal="center" vertical="top"/>
    </xf>
    <xf numFmtId="0" fontId="20" fillId="5" borderId="0" xfId="0" applyFont="1" applyFill="1" applyAlignment="1" applyProtection="1">
      <alignment horizontal="left" vertical="center" wrapText="1"/>
      <protection hidden="1"/>
    </xf>
    <xf numFmtId="0" fontId="57" fillId="4" borderId="84" xfId="0" applyFont="1" applyFill="1" applyBorder="1" applyAlignment="1" applyProtection="1">
      <alignment horizontal="center" vertical="center" wrapText="1"/>
      <protection hidden="1"/>
    </xf>
    <xf numFmtId="0" fontId="57" fillId="4" borderId="85" xfId="0" applyFont="1" applyFill="1" applyBorder="1" applyAlignment="1" applyProtection="1">
      <alignment horizontal="center" vertical="center" wrapText="1"/>
      <protection hidden="1"/>
    </xf>
    <xf numFmtId="0" fontId="14" fillId="17" borderId="76" xfId="0" applyFont="1" applyFill="1" applyBorder="1" applyAlignment="1" applyProtection="1">
      <alignment horizontal="center" vertical="center"/>
      <protection hidden="1"/>
    </xf>
    <xf numFmtId="0" fontId="14" fillId="17" borderId="77" xfId="0" applyFont="1" applyFill="1" applyBorder="1" applyAlignment="1" applyProtection="1">
      <alignment horizontal="center" vertical="center"/>
      <protection hidden="1"/>
    </xf>
    <xf numFmtId="0" fontId="5" fillId="4" borderId="78"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3" fillId="3" borderId="79" xfId="0" applyFont="1" applyFill="1" applyBorder="1" applyAlignment="1" applyProtection="1">
      <alignment horizontal="center" vertical="center"/>
      <protection hidden="1"/>
    </xf>
    <xf numFmtId="0" fontId="3" fillId="3" borderId="80" xfId="0" applyFont="1" applyFill="1" applyBorder="1" applyAlignment="1" applyProtection="1">
      <alignment horizontal="center" vertical="center"/>
      <protection hidden="1"/>
    </xf>
    <xf numFmtId="0" fontId="21" fillId="21" borderId="13" xfId="0" applyFont="1" applyFill="1" applyBorder="1" applyAlignment="1" applyProtection="1">
      <alignment horizontal="left" vertical="center"/>
      <protection hidden="1"/>
    </xf>
    <xf numFmtId="0" fontId="21" fillId="21" borderId="20" xfId="0" applyFont="1" applyFill="1" applyBorder="1" applyAlignment="1" applyProtection="1">
      <alignment horizontal="left" vertical="center"/>
      <protection hidden="1"/>
    </xf>
    <xf numFmtId="0" fontId="21" fillId="21" borderId="14" xfId="0" applyFont="1" applyFill="1" applyBorder="1" applyAlignment="1" applyProtection="1">
      <alignment horizontal="left" vertical="center"/>
      <protection hidden="1"/>
    </xf>
    <xf numFmtId="0" fontId="3" fillId="5" borderId="13" xfId="0" applyFont="1" applyFill="1" applyBorder="1" applyAlignment="1" applyProtection="1">
      <alignment horizontal="left" vertical="center" wrapText="1"/>
      <protection hidden="1"/>
    </xf>
    <xf numFmtId="0" fontId="3" fillId="5" borderId="20" xfId="0" applyFont="1" applyFill="1" applyBorder="1" applyAlignment="1" applyProtection="1">
      <alignment horizontal="left" vertical="center" wrapText="1"/>
      <protection hidden="1"/>
    </xf>
    <xf numFmtId="0" fontId="3" fillId="5" borderId="14" xfId="0" applyFont="1" applyFill="1" applyBorder="1" applyAlignment="1" applyProtection="1">
      <alignment horizontal="left" vertical="center" wrapText="1"/>
      <protection hidden="1"/>
    </xf>
    <xf numFmtId="0" fontId="20" fillId="10" borderId="13" xfId="0" applyFont="1" applyFill="1" applyBorder="1" applyAlignment="1" applyProtection="1">
      <alignment horizontal="left" vertical="center"/>
      <protection hidden="1"/>
    </xf>
    <xf numFmtId="0" fontId="20" fillId="10" borderId="20" xfId="0" applyFont="1" applyFill="1" applyBorder="1" applyAlignment="1" applyProtection="1">
      <alignment horizontal="left" vertical="center"/>
      <protection hidden="1"/>
    </xf>
    <xf numFmtId="0" fontId="20" fillId="10" borderId="14" xfId="0" applyFont="1" applyFill="1" applyBorder="1" applyAlignment="1" applyProtection="1">
      <alignment horizontal="left" vertical="center"/>
      <protection hidden="1"/>
    </xf>
    <xf numFmtId="0" fontId="1" fillId="0" borderId="13"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48"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30" xfId="0" applyFont="1" applyBorder="1" applyAlignment="1">
      <alignment horizontal="center"/>
    </xf>
    <xf numFmtId="0" fontId="1" fillId="0" borderId="29" xfId="0" applyFont="1" applyBorder="1" applyAlignment="1">
      <alignment horizontal="center"/>
    </xf>
  </cellXfs>
  <cellStyles count="2">
    <cellStyle name="Normalny" xfId="0" builtinId="0"/>
    <cellStyle name="Procentowy" xfId="1" builtinId="5"/>
  </cellStyles>
  <dxfs count="38">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color rgb="FFFFFFCC"/>
      <color rgb="FFE3EFDF"/>
      <color rgb="FFEDE1ED"/>
      <color rgb="FFF9D5E8"/>
      <color rgb="FFF5D9E2"/>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14</xdr:col>
      <xdr:colOff>0</xdr:colOff>
      <xdr:row>58</xdr:row>
      <xdr:rowOff>22860</xdr:rowOff>
    </xdr:to>
    <xdr:sp macro="" textlink="">
      <xdr:nvSpPr>
        <xdr:cNvPr id="2" name="pole tekstowe 1">
          <a:extLst>
            <a:ext uri="{FF2B5EF4-FFF2-40B4-BE49-F238E27FC236}">
              <a16:creationId xmlns:a16="http://schemas.microsoft.com/office/drawing/2014/main" xmlns="" id="{E91AAD7C-BF30-5F1B-8BA2-C470D85AA0CB}"/>
            </a:ext>
          </a:extLst>
        </xdr:cNvPr>
        <xdr:cNvSpPr txBox="1"/>
      </xdr:nvSpPr>
      <xdr:spPr>
        <a:xfrm>
          <a:off x="38100" y="182880"/>
          <a:ext cx="9060180" cy="104470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1100">
            <a:solidFill>
              <a:srgbClr val="C00000"/>
            </a:solidFill>
          </a:endParaRPr>
        </a:p>
        <a:p>
          <a:r>
            <a:rPr lang="pl-PL" sz="1100" b="1"/>
            <a:t>1. Funkcjonariusz przyjęty do służby po raz pierwszy przed  01.01.2013 r. wypełnia dane w zakładce "art. 15 albo 15a".</a:t>
          </a:r>
          <a:r>
            <a:rPr lang="pl-PL" sz="1100"/>
            <a:t> </a:t>
          </a:r>
        </a:p>
        <a:p>
          <a:r>
            <a:rPr lang="pl-PL" sz="1100"/>
            <a:t>    </a:t>
          </a:r>
          <a:r>
            <a:rPr lang="pl-PL" sz="1100" b="1"/>
            <a:t>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 </a:t>
          </a:r>
          <a:r>
            <a:rPr lang="pl-PL" sz="1100"/>
            <a:t>i rodzaj służby;</a:t>
          </a:r>
        </a:p>
        <a:p>
          <a:r>
            <a:rPr lang="pl-PL" sz="1100"/>
            <a:t>    b)</a:t>
          </a:r>
          <a:r>
            <a:rPr lang="pl-PL" sz="1100" baseline="0"/>
            <a:t> D</a:t>
          </a:r>
          <a:r>
            <a:rPr lang="pl-PL" sz="1100"/>
            <a:t>atę zwolnienia</a:t>
          </a:r>
          <a:r>
            <a:rPr lang="pl-PL" sz="1100" baseline="0"/>
            <a:t> ze służby </a:t>
          </a:r>
          <a:r>
            <a:rPr lang="pl-PL" sz="1100"/>
            <a:t>i rodzaj służby;</a:t>
          </a:r>
        </a:p>
        <a:p>
          <a:r>
            <a:rPr lang="pl-PL" sz="1100"/>
            <a:t>    c)</a:t>
          </a:r>
          <a:r>
            <a:rPr lang="pl-PL" sz="1100" baseline="0"/>
            <a:t> Kwotę uposażenia z miesiąca zwolnienia ze służby (podstawę wymiaru emerytury - do komórki K13), tj. sumę kwoty uposażenia zasadniczego </a:t>
          </a:r>
          <a:br>
            <a:rPr lang="pl-PL" sz="1100" baseline="0"/>
          </a:br>
          <a:r>
            <a:rPr lang="pl-PL" sz="1100" baseline="0"/>
            <a:t>        wraz z dodatkami o charakterze  stałym i  1/12 nagrody rocznej. Do podstawy wymiaru dolicza się miesięczną wysokość pobieranego </a:t>
          </a:r>
          <a:br>
            <a:rPr lang="pl-PL" sz="1100" baseline="0"/>
          </a:br>
          <a:r>
            <a:rPr lang="pl-PL" sz="1100" baseline="0"/>
            <a:t>        świadczenia za długoletnią służbę (K14), jeżeli funkcjonariusz na dzień zwolnienia ze służby posiada </a:t>
          </a:r>
          <a:r>
            <a:rPr lang="pl-PL" sz="1100" b="1" baseline="0"/>
            <a:t>co najmniej 32 lata wysługi emerytalnej, </a:t>
          </a:r>
          <a:br>
            <a:rPr lang="pl-PL" sz="1100" b="1" baseline="0"/>
          </a:br>
          <a:r>
            <a:rPr lang="pl-PL" sz="1100" b="1" baseline="0"/>
            <a:t>        tj. wartość w komórce H10&gt;=32. Podstawę wymiaru stanowi kwota z komórki K15 </a:t>
          </a:r>
          <a:r>
            <a:rPr lang="pl-PL" sz="1100" b="0" baseline="0"/>
            <a:t>(K15 = K14 + K13);</a:t>
          </a:r>
        </a:p>
        <a:p>
          <a:r>
            <a:rPr lang="pl-PL" sz="1100" baseline="0"/>
            <a:t>    d) Okresy służby i równorzędne ze służbą </a:t>
          </a:r>
          <a:r>
            <a:rPr lang="pl-PL" sz="1100" b="1" baseline="0"/>
            <a:t>(TABELA A.) </a:t>
          </a:r>
          <a:r>
            <a:rPr lang="pl-PL" sz="1100" baseline="0"/>
            <a:t>"Datę od" i "Datę do".</a:t>
          </a:r>
        </a:p>
        <a:p>
          <a:endParaRPr lang="pl-PL" sz="800" baseline="0"/>
        </a:p>
        <a:p>
          <a:r>
            <a:rPr lang="pl-PL" sz="1100" b="1" baseline="0">
              <a:solidFill>
                <a:srgbClr val="C00000"/>
              </a:solidFill>
            </a:rPr>
            <a:t>Uwaga - Daty wprowadzamy w formacie: RRRR-MM-DD, gdzie odpowiednio: RRRR-rok MM-miesiąc DD-dzień.</a:t>
          </a:r>
        </a:p>
        <a:p>
          <a:endParaRPr lang="pl-PL" sz="800" b="1" baseline="0">
            <a:solidFill>
              <a:srgbClr val="C00000"/>
            </a:solidFill>
          </a:endParaRPr>
        </a:p>
        <a:p>
          <a:r>
            <a:rPr lang="pl-PL" sz="1100" b="1" baseline="0"/>
            <a:t>2.  </a:t>
          </a:r>
          <a:r>
            <a:rPr lang="pl-PL" sz="1100" b="1">
              <a:solidFill>
                <a:schemeClr val="dk1"/>
              </a:solidFill>
              <a:effectLst/>
              <a:latin typeface="+mn-lt"/>
              <a:ea typeface="+mn-ea"/>
              <a:cs typeface="+mn-cs"/>
            </a:rPr>
            <a:t>Funkcjonariusz pozostający w służbie przed  02.01.1999 r. -</a:t>
          </a:r>
          <a:r>
            <a:rPr lang="pl-PL" sz="1100" b="1" baseline="0">
              <a:solidFill>
                <a:schemeClr val="dk1"/>
              </a:solidFill>
              <a:effectLst/>
              <a:latin typeface="+mn-lt"/>
              <a:ea typeface="+mn-ea"/>
              <a:cs typeface="+mn-cs"/>
            </a:rPr>
            <a:t> który posiada okresy składkowe lub nieskładkowe przypadające przed służbą </a:t>
          </a:r>
        </a:p>
        <a:p>
          <a:r>
            <a:rPr lang="pl-PL" sz="1100" b="1" baseline="0">
              <a:solidFill>
                <a:schemeClr val="dk1"/>
              </a:solidFill>
              <a:effectLst/>
              <a:latin typeface="+mn-lt"/>
              <a:ea typeface="+mn-ea"/>
              <a:cs typeface="+mn-cs"/>
            </a:rPr>
            <a:t>     dodatkowo wypełnia TABELĘ B. - Okresy składkowe  i TABELĘ C. - Okresy nieskładkowe.</a:t>
          </a:r>
        </a:p>
        <a:p>
          <a:endParaRPr lang="pl-PL" sz="8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Jeżeli funkcjonariusz </a:t>
          </a:r>
          <a:r>
            <a:rPr lang="pl-PL" sz="1100" b="1" baseline="0">
              <a:solidFill>
                <a:srgbClr val="C00000"/>
              </a:solidFill>
              <a:effectLst/>
              <a:latin typeface="+mn-lt"/>
              <a:ea typeface="+mn-ea"/>
              <a:cs typeface="+mn-cs"/>
            </a:rPr>
            <a:t>przed 01.01.2013 r</a:t>
          </a:r>
          <a:r>
            <a:rPr lang="pl-PL" sz="1100" b="1" baseline="0">
              <a:solidFill>
                <a:schemeClr val="dk1"/>
              </a:solidFill>
              <a:effectLst/>
              <a:latin typeface="+mn-lt"/>
              <a:ea typeface="+mn-ea"/>
              <a:cs typeface="+mn-cs"/>
            </a:rPr>
            <a:t>. pełnił służbę w Straży Granicznej, np. w strażnicach, granicznych punktach kontrolnych, to każdy rok służby pełnionej w tych jednostkach zostanie zaliczony na podstawie art. 74 ust. 2 ustawy o Straży Granicznej w wymiarze półtorakrotnym. W takim </a:t>
          </a:r>
        </a:p>
        <a:p>
          <a:r>
            <a:rPr lang="pl-PL" sz="1100" b="1" baseline="0">
              <a:solidFill>
                <a:schemeClr val="dk1"/>
              </a:solidFill>
              <a:effectLst/>
              <a:latin typeface="+mn-lt"/>
              <a:ea typeface="+mn-ea"/>
              <a:cs typeface="+mn-cs"/>
            </a:rPr>
            <a:t>przypadku funkcjonariusz dodatkowo powinien wypełnić TABELĘ D.</a:t>
          </a:r>
          <a:endParaRPr lang="pl-PL">
            <a:effectLst/>
          </a:endParaRPr>
        </a:p>
        <a:p>
          <a:r>
            <a:rPr lang="pl-PL" sz="1100" b="1" baseline="0">
              <a:solidFill>
                <a:srgbClr val="C00000"/>
              </a:solidFill>
              <a:effectLst/>
              <a:latin typeface="+mn-lt"/>
              <a:ea typeface="+mn-ea"/>
              <a:cs typeface="+mn-cs"/>
            </a:rPr>
            <a:t>Uwaga</a:t>
          </a:r>
          <a:endParaRPr lang="pl-PL">
            <a:solidFill>
              <a:srgbClr val="C00000"/>
            </a:solidFill>
            <a:effectLst/>
          </a:endParaRPr>
        </a:p>
        <a:p>
          <a:r>
            <a:rPr lang="pl-PL" sz="1100" baseline="0">
              <a:solidFill>
                <a:srgbClr val="C00000"/>
              </a:solidFill>
              <a:effectLst/>
              <a:latin typeface="+mn-lt"/>
              <a:ea typeface="+mn-ea"/>
              <a:cs typeface="+mn-cs"/>
            </a:rPr>
            <a:t>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a:t>
          </a:r>
          <a:r>
            <a:rPr lang="pl-PL" sz="1100" b="1" baseline="0">
              <a:solidFill>
                <a:srgbClr val="C00000"/>
              </a:solidFill>
              <a:effectLst/>
              <a:latin typeface="+mn-lt"/>
              <a:ea typeface="+mn-ea"/>
              <a:cs typeface="+mn-cs"/>
            </a:rPr>
            <a:t>w wymiarze pojedynczym, a w 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w wymiarze półtorakrotnym</a:t>
          </a:r>
          <a:r>
            <a:rPr lang="pl-PL" sz="1100" baseline="0">
              <a:solidFill>
                <a:srgbClr val="C00000"/>
              </a:solidFill>
              <a:effectLst/>
              <a:latin typeface="+mn-lt"/>
              <a:ea typeface="+mn-ea"/>
              <a:cs typeface="+mn-cs"/>
            </a:rPr>
            <a:t>.</a:t>
          </a:r>
        </a:p>
        <a:p>
          <a:r>
            <a:rPr lang="pl-PL" sz="1100" b="1" baseline="0">
              <a:solidFill>
                <a:srgbClr val="C00000"/>
              </a:solidFill>
              <a:effectLst/>
              <a:latin typeface="+mn-lt"/>
              <a:ea typeface="+mn-ea"/>
              <a:cs typeface="+mn-cs"/>
            </a:rPr>
            <a:t>Okresy muszą być rozłączne i nie mogą się pokrywać. Do</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zostaną zaliczone</a:t>
          </a:r>
          <a:r>
            <a:rPr lang="pl-PL" sz="1100"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w wymiarze pojedynczym</a:t>
          </a:r>
          <a:r>
            <a:rPr lang="pl-PL" sz="1100" baseline="0">
              <a:solidFill>
                <a:srgbClr val="C00000"/>
              </a:solidFill>
              <a:effectLst/>
              <a:latin typeface="+mn-lt"/>
              <a:ea typeface="+mn-ea"/>
              <a:cs typeface="+mn-cs"/>
            </a:rPr>
            <a:t>.</a:t>
          </a:r>
        </a:p>
        <a:p>
          <a:endParaRPr lang="pl-PL" sz="80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ustalonej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 wymiarze pojedynczym (liczonej wraz z okresami równorzędnymi ze służbą)  może obliczyć wysokość emerytury ustalonej  na podstwie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art. 15aa ustawy zaopatrzeniowej wypełniając odpowiednie dane w zakładce "art. 15aa", </a:t>
          </a:r>
          <a:r>
            <a:rPr lang="pl-PL" sz="1100" b="1" baseline="0">
              <a:solidFill>
                <a:srgbClr val="C00000"/>
              </a:solidFill>
              <a:effectLst/>
              <a:latin typeface="+mn-lt"/>
              <a:ea typeface="+mn-ea"/>
              <a:cs typeface="+mn-cs"/>
            </a:rPr>
            <a:t>w szczególności pole w komórce C4 - "Data wstąpienia</a:t>
          </a:r>
        </a:p>
        <a:p>
          <a:r>
            <a:rPr lang="pl-PL" sz="1100" b="1" baseline="0">
              <a:solidFill>
                <a:srgbClr val="C00000"/>
              </a:solidFill>
              <a:effectLst/>
              <a:latin typeface="+mn-lt"/>
              <a:ea typeface="+mn-ea"/>
              <a:cs typeface="+mn-cs"/>
            </a:rPr>
            <a:t>    po raz pierwszy do służby".</a:t>
          </a:r>
        </a:p>
        <a:p>
          <a:r>
            <a:rPr lang="pl-PL" sz="1100" b="1"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Do podstawy  wymiaru (K12) dolicza się miesięczną wysokość pobieranego świadczenia za długoletnią służbę, </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jeżeli funkcjonariusz na dzień zwolnienia ze służby posiada co najmniej </a:t>
          </a:r>
          <a:r>
            <a:rPr lang="pl-PL" sz="1100" b="1" baseline="0">
              <a:solidFill>
                <a:sysClr val="windowText" lastClr="000000"/>
              </a:solidFill>
              <a:effectLst/>
              <a:latin typeface="+mn-lt"/>
              <a:ea typeface="+mn-ea"/>
              <a:cs typeface="+mn-cs"/>
            </a:rPr>
            <a:t>32 lata wysługi emerytalnej </a:t>
          </a:r>
          <a:r>
            <a:rPr lang="pl-PL" sz="1100" b="1" baseline="0">
              <a:solidFill>
                <a:schemeClr val="dk1"/>
              </a:solidFill>
              <a:effectLst/>
              <a:latin typeface="+mn-lt"/>
              <a:ea typeface="+mn-ea"/>
              <a:cs typeface="+mn-cs"/>
            </a:rPr>
            <a:t>(pod warunkiem, że wartość w komórce H9&gt;=32).</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Podstawę wymiaru stanowi kwota z komórki K14 </a:t>
          </a:r>
          <a:r>
            <a:rPr lang="pl-PL" sz="1100" b="0" baseline="0">
              <a:solidFill>
                <a:schemeClr val="dk1"/>
              </a:solidFill>
              <a:effectLst/>
              <a:latin typeface="+mn-lt"/>
              <a:ea typeface="+mn-ea"/>
              <a:cs typeface="+mn-cs"/>
            </a:rPr>
            <a:t>(K14 = K12 + K13).</a:t>
          </a:r>
          <a:endParaRPr lang="pl-PL">
            <a:effectLst/>
          </a:endParaRP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albo przyjęty przed tą datą, który posiada co najmniej 25 lat służby (liczonej </a:t>
          </a:r>
        </a:p>
        <a:p>
          <a:r>
            <a:rPr lang="pl-PL" sz="1100" b="1" baseline="0">
              <a:solidFill>
                <a:schemeClr val="dk1"/>
              </a:solidFill>
              <a:effectLst/>
              <a:latin typeface="+mn-lt"/>
              <a:ea typeface="+mn-ea"/>
              <a:cs typeface="+mn-cs"/>
            </a:rPr>
            <a:t>   wraz z okresami równorzędnymi ze służbą) i wybrał sposób obliczenia emerytury na podstawie art. 18h wypełnia:</a:t>
          </a:r>
        </a:p>
        <a:p>
          <a:r>
            <a:rPr lang="pl-PL" sz="1100" b="1"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a) </a:t>
          </a:r>
          <a:r>
            <a:rPr lang="pl-PL" sz="1100" b="0" baseline="0">
              <a:solidFill>
                <a:schemeClr val="dk1"/>
              </a:solidFill>
              <a:effectLst/>
              <a:latin typeface="+mn-lt"/>
              <a:ea typeface="+mn-ea"/>
              <a:cs typeface="+mn-cs"/>
            </a:rPr>
            <a:t>dane </a:t>
          </a:r>
          <a:r>
            <a:rPr lang="pl-PL" sz="1100" b="1" baseline="0">
              <a:solidFill>
                <a:srgbClr val="C00000"/>
              </a:solidFill>
              <a:effectLst/>
              <a:latin typeface="+mn-lt"/>
              <a:ea typeface="+mn-ea"/>
              <a:cs typeface="+mn-cs"/>
            </a:rPr>
            <a:t>w zakładce "Podstawa wymiaru 10 lat" </a:t>
          </a:r>
          <a:r>
            <a:rPr lang="pl-PL" sz="1100" b="0" baseline="0">
              <a:solidFill>
                <a:schemeClr val="dk1"/>
              </a:solidFill>
              <a:effectLst/>
              <a:latin typeface="+mn-lt"/>
              <a:ea typeface="+mn-ea"/>
              <a:cs typeface="+mn-cs"/>
            </a:rPr>
            <a:t>a następnie</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b) </a:t>
          </a:r>
          <a:r>
            <a:rPr lang="pl-PL" sz="1100" b="0" baseline="0">
              <a:solidFill>
                <a:schemeClr val="dk1"/>
              </a:solidFill>
              <a:effectLst/>
              <a:latin typeface="+mn-lt"/>
              <a:ea typeface="+mn-ea"/>
              <a:cs typeface="+mn-cs"/>
            </a:rPr>
            <a:t>dane </a:t>
          </a:r>
          <a:r>
            <a:rPr lang="pl-PL" sz="1100" b="1" baseline="0">
              <a:solidFill>
                <a:srgbClr val="C00000"/>
              </a:solidFill>
              <a:effectLst/>
              <a:latin typeface="+mn-lt"/>
              <a:ea typeface="+mn-ea"/>
              <a:cs typeface="+mn-cs"/>
            </a:rPr>
            <a:t>w zakładce "art. 18e albo 18h". </a:t>
          </a:r>
        </a:p>
        <a:p>
          <a:r>
            <a:rPr lang="pl-PL" sz="1100" b="1" baseline="0">
              <a:solidFill>
                <a:srgbClr val="C00000"/>
              </a:solidFill>
              <a:effectLst/>
              <a:latin typeface="+mn-lt"/>
              <a:ea typeface="+mn-ea"/>
              <a:cs typeface="+mn-cs"/>
            </a:rPr>
            <a:t>ad. a) </a:t>
          </a:r>
          <a:r>
            <a:rPr lang="pl-PL" sz="1100" b="1" baseline="0">
              <a:solidFill>
                <a:schemeClr val="dk1"/>
              </a:solidFill>
              <a:effectLst/>
              <a:latin typeface="+mn-lt"/>
              <a:ea typeface="+mn-ea"/>
              <a:cs typeface="+mn-cs"/>
            </a:rPr>
            <a:t>W zakładce "Podstawa wymiaru 10 lat" należy obowiązkowo  wypełnić pola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jasne, tj:</a:t>
          </a:r>
        </a:p>
        <a:p>
          <a:r>
            <a:rPr lang="pl-PL" sz="1100" b="1">
              <a:solidFill>
                <a:srgbClr val="C00000"/>
              </a:solidFill>
              <a:effectLst/>
              <a:latin typeface="+mn-lt"/>
              <a:ea typeface="+mn-ea"/>
              <a:cs typeface="+mn-cs"/>
            </a:rPr>
            <a:t>    - w TABELI A.</a:t>
          </a:r>
          <a:r>
            <a:rPr lang="pl-PL" sz="1100" b="1">
              <a:solidFill>
                <a:schemeClr val="dk1"/>
              </a:solidFill>
              <a:effectLst/>
              <a:latin typeface="+mn-lt"/>
              <a:ea typeface="+mn-ea"/>
              <a:cs typeface="+mn-cs"/>
            </a:rPr>
            <a:t> w Kolumnie</a:t>
          </a:r>
          <a:r>
            <a:rPr lang="pl-PL" sz="1100" b="1" baseline="0">
              <a:solidFill>
                <a:schemeClr val="dk1"/>
              </a:solidFill>
              <a:effectLst/>
              <a:latin typeface="+mn-lt"/>
              <a:ea typeface="+mn-ea"/>
              <a:cs typeface="+mn-cs"/>
            </a:rPr>
            <a:t> 2 pt. "Rodzaj służby" </a:t>
          </a:r>
          <a:r>
            <a:rPr lang="pl-PL" sz="1100" b="0" baseline="0">
              <a:solidFill>
                <a:schemeClr val="dk1"/>
              </a:solidFill>
              <a:effectLst/>
              <a:latin typeface="+mn-lt"/>
              <a:ea typeface="+mn-ea"/>
              <a:cs typeface="+mn-cs"/>
            </a:rPr>
            <a:t>wybieramy dla każdego roku służbę, </a:t>
          </a:r>
          <a:r>
            <a:rPr lang="pl-PL" sz="1100" b="1" baseline="0">
              <a:solidFill>
                <a:schemeClr val="dk1"/>
              </a:solidFill>
              <a:effectLst/>
              <a:latin typeface="+mn-lt"/>
              <a:ea typeface="+mn-ea"/>
              <a:cs typeface="+mn-cs"/>
            </a:rPr>
            <a:t>w Kolumnie 3 pt</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"Roczne uposażenie funkcjonariusza</a:t>
          </a:r>
          <a:r>
            <a:rPr lang="pl-PL" sz="1100" b="0" baseline="0">
              <a:solidFill>
                <a:schemeClr val="dk1"/>
              </a:solidFill>
              <a:effectLst/>
              <a:latin typeface="+mn-lt"/>
              <a:ea typeface="+mn-ea"/>
              <a:cs typeface="+mn-cs"/>
            </a:rPr>
            <a:t>" </a:t>
          </a:r>
        </a:p>
        <a:p>
          <a:r>
            <a:rPr lang="pl-PL" sz="1100" b="0" baseline="0">
              <a:solidFill>
                <a:schemeClr val="dk1"/>
              </a:solidFill>
              <a:effectLst/>
              <a:latin typeface="+mn-lt"/>
              <a:ea typeface="+mn-ea"/>
              <a:cs typeface="+mn-cs"/>
            </a:rPr>
            <a:t>     wprowadzamy sumę kwot rocznych uposażeń  należnych funkcjonariuszowi. Za kwotę uposażenia należnego  przyjmujemy </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uposażenie zasadnicze wraz z dodatkami o charakterze stałym  i należną nagrodą roczną. </a:t>
          </a:r>
          <a:r>
            <a:rPr lang="pl-PL" sz="1100" b="1" baseline="0">
              <a:solidFill>
                <a:schemeClr val="dk1"/>
              </a:solidFill>
              <a:effectLst/>
              <a:latin typeface="+mn-lt"/>
              <a:ea typeface="+mn-ea"/>
              <a:cs typeface="+mn-cs"/>
            </a:rPr>
            <a:t>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E31 systemowo zostanie obliczona suma </a:t>
          </a:r>
        </a:p>
        <a:p>
          <a:r>
            <a:rPr lang="pl-PL" sz="1100" b="1" baseline="0">
              <a:solidFill>
                <a:schemeClr val="dk1"/>
              </a:solidFill>
              <a:effectLst/>
              <a:latin typeface="+mn-lt"/>
              <a:ea typeface="+mn-ea"/>
              <a:cs typeface="+mn-cs"/>
            </a:rPr>
            <a:t>     10  najkorzystniejszych wskaźników </a:t>
          </a:r>
          <a:r>
            <a:rPr lang="pl-PL" sz="1100" b="1" u="sng" baseline="0">
              <a:solidFill>
                <a:schemeClr val="dk1"/>
              </a:solidFill>
              <a:effectLst/>
              <a:latin typeface="+mn-lt"/>
              <a:ea typeface="+mn-ea"/>
              <a:cs typeface="+mn-cs"/>
            </a:rPr>
            <a:t>z  kolejnych 10 lat kalendarzowych. </a:t>
          </a:r>
          <a:r>
            <a:rPr lang="pl-PL" sz="1100" b="1" baseline="0">
              <a:solidFill>
                <a:schemeClr val="dk1"/>
              </a:solidFill>
              <a:effectLst/>
              <a:latin typeface="+mn-lt"/>
              <a:ea typeface="+mn-ea"/>
              <a:cs typeface="+mn-cs"/>
            </a:rPr>
            <a:t> W komórce E32 systemowo zostanie obliczony WWPW, tj.</a:t>
          </a:r>
        </a:p>
        <a:p>
          <a:r>
            <a:rPr lang="pl-PL" sz="1100" b="1" baseline="0">
              <a:solidFill>
                <a:schemeClr val="dk1"/>
              </a:solidFill>
              <a:effectLst/>
              <a:latin typeface="+mn-lt"/>
              <a:ea typeface="+mn-ea"/>
              <a:cs typeface="+mn-cs"/>
            </a:rPr>
            <a:t>      Wskaźnik Wysokości Podstawy Wymiaru (średnia arytmetyczna wskaźników z kolejnych 10 lat kalendarzowych).</a:t>
          </a:r>
        </a:p>
        <a:p>
          <a:endParaRPr lang="pl-PL" sz="300" b="1" baseline="0">
            <a:solidFill>
              <a:schemeClr val="dk1"/>
            </a:solidFill>
            <a:effectLst/>
            <a:latin typeface="+mn-lt"/>
            <a:ea typeface="+mn-ea"/>
            <a:cs typeface="+mn-cs"/>
          </a:endParaRPr>
        </a:p>
        <a:p>
          <a:r>
            <a:rPr lang="pl-PL" sz="1100" b="1" i="1" baseline="0">
              <a:solidFill>
                <a:schemeClr val="dk1"/>
              </a:solidFill>
              <a:effectLst/>
              <a:latin typeface="+mn-lt"/>
              <a:ea typeface="+mn-ea"/>
              <a:cs typeface="+mn-cs"/>
            </a:rPr>
            <a:t>     </a:t>
          </a:r>
          <a:r>
            <a:rPr lang="pl-PL" sz="1100" b="1" i="1" baseline="0">
              <a:solidFill>
                <a:srgbClr val="C00000"/>
              </a:solidFill>
              <a:effectLst/>
              <a:latin typeface="+mn-lt"/>
              <a:ea typeface="+mn-ea"/>
              <a:cs typeface="+mn-cs"/>
            </a:rPr>
            <a:t>Uwaga</a:t>
          </a:r>
        </a:p>
        <a:p>
          <a:r>
            <a:rPr lang="pl-PL" sz="1100" b="0" i="1" baseline="0">
              <a:solidFill>
                <a:schemeClr val="dk1"/>
              </a:solidFill>
              <a:effectLst/>
              <a:latin typeface="+mn-lt"/>
              <a:ea typeface="+mn-ea"/>
              <a:cs typeface="+mn-cs"/>
            </a:rPr>
            <a:t>     Jeżeli funkcjonariusz w danym roku kalendarzowym, pełnił służbę w różnych formacjach i ten rok zamierza uwzględnić w podstawie wymiaru, </a:t>
          </a:r>
        </a:p>
        <a:p>
          <a:pPr eaLnBrk="1" fontAlgn="auto" latinLnBrk="0" hangingPunct="1"/>
          <a:r>
            <a:rPr lang="pl-PL" sz="1100" b="0" i="1" baseline="0">
              <a:solidFill>
                <a:schemeClr val="dk1"/>
              </a:solidFill>
              <a:effectLst/>
              <a:latin typeface="+mn-lt"/>
              <a:ea typeface="+mn-ea"/>
              <a:cs typeface="+mn-cs"/>
            </a:rPr>
            <a:t>     to powinien samodzielnie wyliczyć WWWP i wpisać obliczoną przez siebie wartość do kmórki </a:t>
          </a:r>
          <a:r>
            <a:rPr lang="pl-PL" sz="1100" b="1" i="1" baseline="0">
              <a:solidFill>
                <a:schemeClr val="dk1"/>
              </a:solidFill>
              <a:effectLst/>
              <a:latin typeface="+mn-lt"/>
              <a:ea typeface="+mn-ea"/>
              <a:cs typeface="+mn-cs"/>
            </a:rPr>
            <a:t>F35</a:t>
          </a:r>
          <a:r>
            <a:rPr lang="pl-PL" sz="1100" b="0"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Zatem, jeżeli komórka </a:t>
          </a:r>
          <a:r>
            <a:rPr lang="pl-PL" sz="1100" b="1" i="1" baseline="0">
              <a:solidFill>
                <a:schemeClr val="dk1"/>
              </a:solidFill>
              <a:effectLst/>
              <a:latin typeface="+mn-lt"/>
              <a:ea typeface="+mn-ea"/>
              <a:cs typeface="+mn-cs"/>
            </a:rPr>
            <a:t>F35&gt;0%</a:t>
          </a:r>
          <a:r>
            <a:rPr lang="pl-PL" sz="1100" i="1" baseline="0">
              <a:solidFill>
                <a:schemeClr val="dk1"/>
              </a:solidFill>
              <a:effectLst/>
              <a:latin typeface="+mn-lt"/>
              <a:ea typeface="+mn-ea"/>
              <a:cs typeface="+mn-cs"/>
            </a:rPr>
            <a:t>,  to podstawa  </a:t>
          </a:r>
        </a:p>
        <a:p>
          <a:pPr eaLnBrk="1" fontAlgn="auto" latinLnBrk="0" hangingPunct="1"/>
          <a:r>
            <a:rPr lang="pl-PL" sz="1100" i="1" baseline="0">
              <a:solidFill>
                <a:schemeClr val="dk1"/>
              </a:solidFill>
              <a:effectLst/>
              <a:latin typeface="+mn-lt"/>
              <a:ea typeface="+mn-ea"/>
              <a:cs typeface="+mn-cs"/>
            </a:rPr>
            <a:t>     wymiaru zostanie  obliczona wg wskaźnika z komórki </a:t>
          </a:r>
          <a:r>
            <a:rPr lang="pl-PL" sz="1100" b="1" i="1" baseline="0">
              <a:solidFill>
                <a:schemeClr val="dk1"/>
              </a:solidFill>
              <a:effectLst/>
              <a:latin typeface="+mn-lt"/>
              <a:ea typeface="+mn-ea"/>
              <a:cs typeface="+mn-cs"/>
            </a:rPr>
            <a:t>F35.</a:t>
          </a:r>
          <a:r>
            <a:rPr lang="pl-PL" sz="1100" i="1" baseline="0">
              <a:solidFill>
                <a:schemeClr val="dk1"/>
              </a:solidFill>
              <a:effectLst/>
              <a:latin typeface="+mn-lt"/>
              <a:ea typeface="+mn-ea"/>
              <a:cs typeface="+mn-cs"/>
            </a:rPr>
            <a:t> Jeżeli komórka </a:t>
          </a:r>
          <a:r>
            <a:rPr lang="pl-PL" sz="1100" b="1" i="1" baseline="0">
              <a:solidFill>
                <a:schemeClr val="dk1"/>
              </a:solidFill>
              <a:effectLst/>
              <a:latin typeface="+mn-lt"/>
              <a:ea typeface="+mn-ea"/>
              <a:cs typeface="+mn-cs"/>
            </a:rPr>
            <a:t>F35=0%,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eaLnBrk="1" fontAlgn="auto" latinLnBrk="0" hangingPunct="1"/>
          <a:r>
            <a:rPr lang="pl-PL" sz="1100" i="1" baseline="0">
              <a:solidFill>
                <a:schemeClr val="dk1"/>
              </a:solidFill>
              <a:effectLst/>
              <a:latin typeface="+mn-lt"/>
              <a:ea typeface="+mn-ea"/>
              <a:cs typeface="+mn-cs"/>
            </a:rPr>
            <a:t>    obliczony  automatycznie  w komórce </a:t>
          </a:r>
          <a:r>
            <a:rPr lang="pl-PL" sz="1100" b="1" i="1" baseline="0">
              <a:solidFill>
                <a:schemeClr val="dk1"/>
              </a:solidFill>
              <a:effectLst/>
              <a:latin typeface="+mn-lt"/>
              <a:ea typeface="+mn-ea"/>
              <a:cs typeface="+mn-cs"/>
            </a:rPr>
            <a:t>F32</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eaLnBrk="1" fontAlgn="auto" latinLnBrk="0" hangingPunct="1"/>
          <a:endParaRPr lang="pl-PL" sz="300">
            <a:effectLst/>
          </a:endParaRPr>
        </a:p>
        <a:p>
          <a:r>
            <a:rPr lang="pl-PL" sz="1100" b="0" baseline="0">
              <a:solidFill>
                <a:srgbClr val="C00000"/>
              </a:solidFill>
              <a:effectLst/>
              <a:latin typeface="+mn-lt"/>
              <a:ea typeface="+mn-ea"/>
              <a:cs typeface="+mn-cs"/>
            </a:rPr>
            <a:t>   - </a:t>
          </a:r>
          <a:r>
            <a:rPr lang="pl-PL" sz="1100" b="1" baseline="0">
              <a:solidFill>
                <a:srgbClr val="C00000"/>
              </a:solidFill>
              <a:effectLst/>
              <a:latin typeface="+mn-lt"/>
              <a:ea typeface="+mn-ea"/>
              <a:cs typeface="+mn-cs"/>
            </a:rPr>
            <a:t>w TABELI B.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obowiązkowo</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wprowadzamy do komórki A48 - datę zwolnienia ze służby (w formacie daty RRRR-MM-DD) oraz </a:t>
          </a:r>
        </a:p>
        <a:p>
          <a:r>
            <a:rPr lang="pl-PL" sz="1100" b="1" baseline="0">
              <a:solidFill>
                <a:schemeClr val="dk1"/>
              </a:solidFill>
              <a:effectLst/>
              <a:latin typeface="+mn-lt"/>
              <a:ea typeface="+mn-ea"/>
              <a:cs typeface="+mn-cs"/>
            </a:rPr>
            <a:t>      do komórki B48 - rodzaj służby z dnia zwolnienia.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 </a:t>
          </a:r>
          <a:r>
            <a:rPr lang="pl-PL" sz="1100" b="0" baseline="0">
              <a:solidFill>
                <a:schemeClr val="dk1"/>
              </a:solidFill>
              <a:effectLst/>
              <a:latin typeface="+mn-lt"/>
              <a:ea typeface="+mn-ea"/>
              <a:cs typeface="+mn-cs"/>
            </a:rPr>
            <a:t>Na podstawie wprowadzonych danych, </a:t>
          </a:r>
          <a:r>
            <a:rPr lang="pl-PL" sz="1100" b="1" baseline="0">
              <a:solidFill>
                <a:schemeClr val="dk1"/>
              </a:solidFill>
              <a:effectLst/>
              <a:latin typeface="+mn-lt"/>
              <a:ea typeface="+mn-ea"/>
              <a:cs typeface="+mn-cs"/>
            </a:rPr>
            <a:t> do komórki C48</a:t>
          </a:r>
          <a:r>
            <a:rPr lang="pl-PL" sz="1100" b="0" baseline="0">
              <a:solidFill>
                <a:schemeClr val="dk1"/>
              </a:solidFill>
              <a:effectLst/>
              <a:latin typeface="+mn-lt"/>
              <a:ea typeface="+mn-ea"/>
              <a:cs typeface="+mn-cs"/>
            </a:rPr>
            <a:t> automatycznie zostanie pobrana</a:t>
          </a:r>
        </a:p>
        <a:p>
          <a:r>
            <a:rPr lang="pl-PL" sz="1100" b="0" baseline="0">
              <a:solidFill>
                <a:schemeClr val="dk1"/>
              </a:solidFill>
              <a:effectLst/>
              <a:latin typeface="+mn-lt"/>
              <a:ea typeface="+mn-ea"/>
              <a:cs typeface="+mn-cs"/>
            </a:rPr>
            <a:t>      kwota  przeciętnego miesięcznego uposażenia z dnia zwolnienia ze służby. </a:t>
          </a:r>
          <a:r>
            <a:rPr lang="pl-PL" sz="1100" b="1" baseline="0">
              <a:solidFill>
                <a:schemeClr val="dk1"/>
              </a:solidFill>
              <a:effectLst/>
              <a:latin typeface="+mn-lt"/>
              <a:ea typeface="+mn-ea"/>
              <a:cs typeface="+mn-cs"/>
            </a:rPr>
            <a:t>Podstawę wymiaru emerytury, bez jej podwyższenia z tytułu </a:t>
          </a:r>
        </a:p>
        <a:p>
          <a:r>
            <a:rPr lang="pl-PL" sz="1100" b="1" baseline="0">
              <a:solidFill>
                <a:schemeClr val="dk1"/>
              </a:solidFill>
              <a:effectLst/>
              <a:latin typeface="+mn-lt"/>
              <a:ea typeface="+mn-ea"/>
              <a:cs typeface="+mn-cs"/>
            </a:rPr>
            <a:t>     świadczenia za dugoletnią służbę stanowi kwota obliczona w komóce F49.  </a:t>
          </a:r>
          <a:r>
            <a:rPr lang="pl-PL" sz="1100" b="0" baseline="0">
              <a:solidFill>
                <a:schemeClr val="dk1"/>
              </a:solidFill>
              <a:effectLst/>
              <a:latin typeface="+mn-lt"/>
              <a:ea typeface="+mn-ea"/>
              <a:cs typeface="+mn-cs"/>
            </a:rPr>
            <a:t>Kwota podstawy wymiaru z komórki </a:t>
          </a:r>
          <a:r>
            <a:rPr lang="pl-PL" sz="1100" b="1" baseline="0">
              <a:solidFill>
                <a:schemeClr val="dk1"/>
              </a:solidFill>
              <a:effectLst/>
              <a:latin typeface="+mn-lt"/>
              <a:ea typeface="+mn-ea"/>
              <a:cs typeface="+mn-cs"/>
            </a:rPr>
            <a:t>F49 </a:t>
          </a:r>
          <a:r>
            <a:rPr lang="pl-PL" sz="1100" b="0" baseline="0">
              <a:solidFill>
                <a:schemeClr val="dk1"/>
              </a:solidFill>
              <a:effectLst/>
              <a:latin typeface="+mn-lt"/>
              <a:ea typeface="+mn-ea"/>
              <a:cs typeface="+mn-cs"/>
            </a:rPr>
            <a:t>wskaźnik WWPW</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z komórki  </a:t>
          </a:r>
          <a:r>
            <a:rPr lang="pl-PL" sz="1100" b="1" baseline="0">
              <a:solidFill>
                <a:schemeClr val="dk1"/>
              </a:solidFill>
              <a:effectLst/>
              <a:latin typeface="+mn-lt"/>
              <a:ea typeface="+mn-ea"/>
              <a:cs typeface="+mn-cs"/>
            </a:rPr>
            <a:t>F48</a:t>
          </a:r>
          <a:r>
            <a:rPr lang="pl-PL" sz="1100" b="0" baseline="0">
              <a:solidFill>
                <a:schemeClr val="dk1"/>
              </a:solidFill>
              <a:effectLst/>
              <a:latin typeface="+mn-lt"/>
              <a:ea typeface="+mn-ea"/>
              <a:cs typeface="+mn-cs"/>
            </a:rPr>
            <a:t> zostaną automatycznie przeniesione do zakładki: </a:t>
          </a:r>
          <a:r>
            <a:rPr lang="pl-PL" sz="1100" b="1">
              <a:solidFill>
                <a:schemeClr val="dk1"/>
              </a:solidFill>
              <a:effectLst/>
              <a:latin typeface="+mn-lt"/>
              <a:ea typeface="+mn-ea"/>
              <a:cs typeface="+mn-cs"/>
            </a:rPr>
            <a:t>"art. 18e albo 18h" .</a:t>
          </a:r>
          <a:r>
            <a:rPr lang="pl-PL" sz="1100" b="1" baseline="0">
              <a:solidFill>
                <a:schemeClr val="dk1"/>
              </a:solidFill>
              <a:effectLst/>
              <a:latin typeface="+mn-lt"/>
              <a:ea typeface="+mn-ea"/>
              <a:cs typeface="+mn-cs"/>
            </a:rPr>
            <a:t/>
          </a:r>
          <a:br>
            <a:rPr lang="pl-PL" sz="1100" b="1" baseline="0">
              <a:solidFill>
                <a:schemeClr val="dk1"/>
              </a:solidFill>
              <a:effectLst/>
              <a:latin typeface="+mn-lt"/>
              <a:ea typeface="+mn-ea"/>
              <a:cs typeface="+mn-cs"/>
            </a:rPr>
          </a:br>
          <a:r>
            <a:rPr lang="pl-PL" sz="1100" b="1" baseline="0">
              <a:solidFill>
                <a:srgbClr val="C00000"/>
              </a:solidFill>
              <a:effectLst/>
              <a:latin typeface="+mn-lt"/>
              <a:ea typeface="+mn-ea"/>
              <a:cs typeface="+mn-cs"/>
            </a:rPr>
            <a:t>ad. b) </a:t>
          </a:r>
          <a:r>
            <a:rPr lang="pl-PL" sz="1100" b="1" baseline="0">
              <a:solidFill>
                <a:sysClr val="windowText" lastClr="000000"/>
              </a:solidFill>
              <a:effectLst/>
              <a:latin typeface="+mn-lt"/>
              <a:ea typeface="+mn-ea"/>
              <a:cs typeface="+mn-cs"/>
            </a:rPr>
            <a:t>W zakładce </a:t>
          </a:r>
          <a:r>
            <a:rPr lang="pl-PL" sz="1100" b="1" baseline="0">
              <a:solidFill>
                <a:schemeClr val="dk1"/>
              </a:solidFill>
              <a:effectLst/>
              <a:latin typeface="+mn-lt"/>
              <a:ea typeface="+mn-ea"/>
              <a:cs typeface="+mn-cs"/>
            </a:rPr>
            <a:t>"art. 18e albo 18h" " należy obowiązkowo  wypełnić pola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jasne, tj.:</a:t>
          </a:r>
        </a:p>
        <a:p>
          <a:r>
            <a:rPr lang="pl-PL" sz="1100" b="1" baseline="0">
              <a:solidFill>
                <a:schemeClr val="dk1"/>
              </a:solidFill>
              <a:effectLst/>
              <a:latin typeface="+mn-lt"/>
              <a:ea typeface="+mn-ea"/>
              <a:cs typeface="+mn-cs"/>
            </a:rPr>
            <a:t>    - </a:t>
          </a:r>
          <a:r>
            <a:rPr lang="pl-PL" sz="1100" b="1">
              <a:solidFill>
                <a:schemeClr val="dk1"/>
              </a:solidFill>
              <a:effectLst/>
              <a:latin typeface="+mn-lt"/>
              <a:ea typeface="+mn-ea"/>
              <a:cs typeface="+mn-cs"/>
            </a:rPr>
            <a:t>Datę wstąpienia po raz pierwszy do służby (w komórce C4) i rodzaj służby (w komórce D4) ;</a:t>
          </a:r>
          <a:endParaRPr lang="pl-PL">
            <a:effectLst/>
          </a:endParaRPr>
        </a:p>
        <a:p>
          <a:pPr eaLnBrk="1" fontAlgn="auto" latinLnBrk="0" hangingPunct="1"/>
          <a:r>
            <a:rPr lang="pl-PL" sz="1100" baseline="0">
              <a:solidFill>
                <a:schemeClr val="dk1"/>
              </a:solidFill>
              <a:effectLst/>
              <a:latin typeface="+mn-lt"/>
              <a:ea typeface="+mn-ea"/>
              <a:cs typeface="+mn-cs"/>
            </a:rPr>
            <a:t>    -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endParaRPr lang="pl-PL">
            <a:effectLst/>
          </a:endParaRPr>
        </a:p>
        <a:p>
          <a:r>
            <a:rPr lang="pl-PL" sz="1100">
              <a:solidFill>
                <a:schemeClr val="dk1"/>
              </a:solidFill>
              <a:effectLst/>
              <a:latin typeface="+mn-lt"/>
              <a:ea typeface="+mn-ea"/>
              <a:cs typeface="+mn-cs"/>
            </a:rPr>
            <a:t>    -</a:t>
          </a:r>
          <a:r>
            <a:rPr lang="pl-PL" sz="1100" baseline="0">
              <a:solidFill>
                <a:schemeClr val="dk1"/>
              </a:solidFill>
              <a:effectLst/>
              <a:latin typeface="+mn-lt"/>
              <a:ea typeface="+mn-ea"/>
              <a:cs typeface="+mn-cs"/>
            </a:rPr>
            <a:t> Data zwolnienia ze służby, r</a:t>
          </a:r>
          <a:r>
            <a:rPr lang="pl-PL" sz="1100">
              <a:solidFill>
                <a:schemeClr val="dk1"/>
              </a:solidFill>
              <a:effectLst/>
              <a:latin typeface="+mn-lt"/>
              <a:ea typeface="+mn-ea"/>
              <a:cs typeface="+mn-cs"/>
            </a:rPr>
            <a:t>odzaj służby,</a:t>
          </a:r>
          <a:r>
            <a:rPr lang="pl-PL" sz="1100" baseline="0">
              <a:solidFill>
                <a:schemeClr val="dk1"/>
              </a:solidFill>
              <a:effectLst/>
              <a:latin typeface="+mn-lt"/>
              <a:ea typeface="+mn-ea"/>
              <a:cs typeface="+mn-cs"/>
            </a:rPr>
            <a:t> </a:t>
          </a:r>
          <a:r>
            <a:rPr lang="pl-PL" sz="1100">
              <a:solidFill>
                <a:schemeClr val="dk1"/>
              </a:solidFill>
              <a:effectLst/>
              <a:latin typeface="+mn-lt"/>
              <a:ea typeface="+mn-ea"/>
              <a:cs typeface="+mn-cs"/>
            </a:rPr>
            <a:t>kwota podstawy wymiaru z 10 lat oraz wskaźnik WWPW pobierane są automatycznie z zakładki </a:t>
          </a:r>
        </a:p>
        <a:p>
          <a:r>
            <a:rPr lang="pl-PL" sz="1100" b="1">
              <a:solidFill>
                <a:schemeClr val="dk1"/>
              </a:solidFill>
              <a:effectLst/>
              <a:latin typeface="+mn-lt"/>
              <a:ea typeface="+mn-ea"/>
              <a:cs typeface="+mn-cs"/>
            </a:rPr>
            <a:t>      "Podstawa wymiaru 10 lat";</a:t>
          </a:r>
          <a:endParaRPr lang="pl-PL">
            <a:effectLst/>
          </a:endParaRPr>
        </a:p>
        <a:p>
          <a:r>
            <a:rPr lang="pl-PL" sz="1100" baseline="0">
              <a:solidFill>
                <a:schemeClr val="dk1"/>
              </a:solidFill>
              <a:effectLst/>
              <a:latin typeface="+mn-lt"/>
              <a:ea typeface="+mn-ea"/>
              <a:cs typeface="+mn-cs"/>
            </a:rPr>
            <a:t>    -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34" zoomScaleNormal="100" workbookViewId="0">
      <selection activeCell="S46" sqref="S46"/>
    </sheetView>
  </sheetViews>
  <sheetFormatPr defaultRowHeight="14.4" x14ac:dyDescent="0.3"/>
  <cols>
    <col min="1" max="1" width="9.33203125" customWidth="1"/>
    <col min="2" max="2" width="9" customWidth="1"/>
    <col min="3" max="12" width="9.33203125" customWidth="1"/>
    <col min="13" max="13" width="14.44140625" customWidth="1"/>
    <col min="14" max="14" width="7.6640625" customWidth="1"/>
    <col min="15" max="15" width="8.88671875" customWidth="1"/>
    <col min="16" max="16" width="4.44140625" customWidth="1"/>
    <col min="17" max="18" width="9.33203125" customWidth="1"/>
    <col min="19" max="19" width="15.6640625" customWidth="1"/>
    <col min="20" max="20" width="9.33203125" customWidth="1"/>
  </cols>
  <sheetData>
    <row r="2" spans="1:13" x14ac:dyDescent="0.3">
      <c r="A2" s="106"/>
      <c r="B2" s="106"/>
      <c r="C2" s="106"/>
      <c r="D2" s="106"/>
      <c r="E2" s="106"/>
      <c r="F2" s="106"/>
      <c r="G2" s="106"/>
      <c r="H2" s="106"/>
    </row>
    <row r="4" spans="1:13" ht="14.4" customHeight="1" x14ac:dyDescent="0.3">
      <c r="A4" s="108" t="s">
        <v>63</v>
      </c>
      <c r="B4" s="107"/>
      <c r="C4" s="107"/>
      <c r="D4" s="107"/>
      <c r="E4" s="107"/>
      <c r="F4" s="107"/>
      <c r="G4" s="107"/>
      <c r="H4" s="107"/>
      <c r="I4" s="107"/>
      <c r="J4" s="107"/>
      <c r="K4" s="107"/>
      <c r="L4" s="107"/>
      <c r="M4" s="107"/>
    </row>
    <row r="5" spans="1:13" x14ac:dyDescent="0.3">
      <c r="A5" s="107"/>
      <c r="B5" s="107"/>
      <c r="C5" s="107"/>
      <c r="D5" s="107"/>
      <c r="E5" s="107"/>
      <c r="F5" s="107"/>
      <c r="G5" s="107"/>
      <c r="H5" s="107"/>
      <c r="I5" s="107"/>
      <c r="J5" s="107"/>
      <c r="K5" s="107"/>
      <c r="L5" s="107"/>
      <c r="M5" s="107"/>
    </row>
    <row r="6" spans="1:13" x14ac:dyDescent="0.3">
      <c r="A6" s="107"/>
      <c r="B6" s="107"/>
      <c r="C6" s="107"/>
      <c r="D6" s="107"/>
      <c r="E6" s="107"/>
      <c r="F6" s="107"/>
      <c r="G6" s="107"/>
      <c r="H6" s="107"/>
      <c r="I6" s="107"/>
      <c r="J6" s="107"/>
      <c r="K6" s="107"/>
      <c r="L6" s="107"/>
      <c r="M6" s="107"/>
    </row>
    <row r="7" spans="1:13" x14ac:dyDescent="0.3">
      <c r="A7" s="107"/>
      <c r="B7" s="107"/>
      <c r="C7" s="107"/>
      <c r="D7" s="107"/>
      <c r="E7" s="107"/>
      <c r="F7" s="107"/>
      <c r="G7" s="107"/>
      <c r="H7" s="107"/>
      <c r="I7" s="107"/>
      <c r="J7" s="107"/>
      <c r="K7" s="107"/>
      <c r="L7" s="107"/>
      <c r="M7" s="107"/>
    </row>
    <row r="8" spans="1:13" x14ac:dyDescent="0.3">
      <c r="A8" s="107"/>
      <c r="B8" s="107"/>
      <c r="C8" s="107"/>
      <c r="D8" s="107"/>
      <c r="E8" s="107"/>
      <c r="F8" s="107"/>
      <c r="G8" s="107"/>
      <c r="H8" s="107"/>
      <c r="I8" s="107"/>
      <c r="J8" s="107"/>
      <c r="K8" s="107"/>
      <c r="L8" s="107"/>
      <c r="M8" s="107"/>
    </row>
    <row r="9" spans="1:13" x14ac:dyDescent="0.3">
      <c r="A9" s="107"/>
      <c r="B9" s="107"/>
      <c r="C9" s="107"/>
      <c r="D9" s="107"/>
      <c r="E9" s="107"/>
      <c r="F9" s="107"/>
      <c r="G9" s="107"/>
      <c r="H9" s="107"/>
      <c r="I9" s="107"/>
      <c r="J9" s="107"/>
      <c r="K9" s="107"/>
      <c r="L9" s="107"/>
      <c r="M9" s="107"/>
    </row>
    <row r="10" spans="1:13" x14ac:dyDescent="0.3">
      <c r="A10" s="107"/>
      <c r="B10" s="107"/>
      <c r="C10" s="107"/>
      <c r="D10" s="107"/>
      <c r="E10" s="107"/>
      <c r="F10" s="107"/>
      <c r="G10" s="107"/>
      <c r="H10" s="107"/>
      <c r="I10" s="107"/>
      <c r="J10" s="107"/>
      <c r="K10" s="107"/>
      <c r="L10" s="107"/>
      <c r="M10" s="107"/>
    </row>
    <row r="11" spans="1:13" x14ac:dyDescent="0.3">
      <c r="A11" s="107"/>
      <c r="B11" s="107"/>
      <c r="C11" s="107"/>
      <c r="D11" s="107"/>
      <c r="E11" s="107"/>
      <c r="F11" s="107"/>
      <c r="G11" s="107"/>
      <c r="H11" s="107"/>
      <c r="I11" s="107"/>
      <c r="J11" s="107"/>
      <c r="K11" s="107"/>
      <c r="L11" s="107"/>
      <c r="M11" s="107"/>
    </row>
    <row r="12" spans="1:13" x14ac:dyDescent="0.3">
      <c r="A12" s="107"/>
      <c r="B12" s="107"/>
      <c r="C12" s="107"/>
      <c r="D12" s="107"/>
      <c r="E12" s="107"/>
      <c r="F12" s="107"/>
      <c r="G12" s="107"/>
      <c r="H12" s="107"/>
      <c r="I12" s="107"/>
      <c r="J12" s="107"/>
      <c r="K12" s="107"/>
      <c r="L12" s="107"/>
      <c r="M12" s="107"/>
    </row>
    <row r="13" spans="1:13" x14ac:dyDescent="0.3">
      <c r="A13" s="107"/>
      <c r="B13" s="107"/>
      <c r="C13" s="107"/>
      <c r="D13" s="107"/>
      <c r="E13" s="107"/>
      <c r="F13" s="107"/>
      <c r="G13" s="107"/>
      <c r="H13" s="107"/>
      <c r="I13" s="107"/>
      <c r="J13" s="107"/>
      <c r="K13" s="107"/>
      <c r="L13" s="107"/>
      <c r="M13" s="107"/>
    </row>
    <row r="14" spans="1:13" x14ac:dyDescent="0.3">
      <c r="A14" s="107"/>
      <c r="B14" s="107"/>
      <c r="C14" s="107"/>
      <c r="D14" s="107"/>
      <c r="E14" s="107"/>
      <c r="F14" s="107"/>
      <c r="G14" s="107"/>
      <c r="H14" s="107"/>
      <c r="I14" s="107"/>
      <c r="J14" s="107"/>
      <c r="K14" s="107"/>
      <c r="L14" s="107"/>
      <c r="M14" s="107"/>
    </row>
    <row r="15" spans="1:13" x14ac:dyDescent="0.3">
      <c r="A15" s="107"/>
      <c r="B15" s="107"/>
      <c r="C15" s="107"/>
      <c r="D15" s="107"/>
      <c r="E15" s="107"/>
      <c r="F15" s="107"/>
      <c r="G15" s="107"/>
      <c r="H15" s="107"/>
      <c r="I15" s="107"/>
      <c r="J15" s="107"/>
      <c r="K15" s="107"/>
      <c r="L15" s="107"/>
      <c r="M15" s="107"/>
    </row>
    <row r="16" spans="1:13" x14ac:dyDescent="0.3">
      <c r="A16" s="107"/>
      <c r="B16" s="107"/>
      <c r="C16" s="107"/>
      <c r="D16" s="107"/>
      <c r="E16" s="107"/>
      <c r="F16" s="107"/>
      <c r="G16" s="107"/>
      <c r="H16" s="107"/>
      <c r="I16" s="107"/>
      <c r="J16" s="107"/>
      <c r="K16" s="107"/>
      <c r="L16" s="107"/>
      <c r="M16" s="107"/>
    </row>
    <row r="17" spans="1:13" x14ac:dyDescent="0.3">
      <c r="A17" s="107"/>
      <c r="B17" s="107"/>
      <c r="C17" s="107"/>
      <c r="D17" s="107"/>
      <c r="E17" s="107"/>
      <c r="F17" s="107"/>
      <c r="G17" s="107"/>
      <c r="H17" s="107"/>
      <c r="I17" s="107"/>
      <c r="J17" s="107"/>
      <c r="K17" s="107"/>
      <c r="L17" s="107"/>
      <c r="M17" s="107"/>
    </row>
    <row r="18" spans="1:13" x14ac:dyDescent="0.3">
      <c r="A18" s="107"/>
      <c r="B18" s="107"/>
      <c r="C18" s="107"/>
      <c r="D18" s="107"/>
      <c r="E18" s="107"/>
      <c r="F18" s="107"/>
      <c r="G18" s="107"/>
      <c r="H18" s="107"/>
      <c r="I18" s="107"/>
      <c r="J18" s="107"/>
      <c r="K18" s="107"/>
      <c r="L18" s="107"/>
      <c r="M18" s="107"/>
    </row>
    <row r="19" spans="1:13" x14ac:dyDescent="0.3">
      <c r="A19" s="107"/>
      <c r="B19" s="107"/>
      <c r="C19" s="107"/>
      <c r="D19" s="107"/>
      <c r="E19" s="107"/>
      <c r="F19" s="107"/>
      <c r="G19" s="107"/>
      <c r="H19" s="107"/>
      <c r="I19" s="107"/>
      <c r="J19" s="107"/>
      <c r="K19" s="107"/>
      <c r="L19" s="107"/>
      <c r="M19" s="107"/>
    </row>
    <row r="20" spans="1:13" x14ac:dyDescent="0.3">
      <c r="A20" s="107"/>
      <c r="B20" s="107"/>
      <c r="C20" s="107"/>
      <c r="D20" s="107"/>
      <c r="E20" s="107"/>
      <c r="F20" s="107"/>
      <c r="G20" s="107"/>
      <c r="H20" s="107"/>
      <c r="I20" s="107"/>
      <c r="J20" s="107"/>
      <c r="K20" s="107"/>
      <c r="L20" s="107"/>
      <c r="M20" s="107"/>
    </row>
    <row r="21" spans="1:13" x14ac:dyDescent="0.3">
      <c r="A21" s="107"/>
      <c r="B21" s="107"/>
      <c r="C21" s="107"/>
      <c r="D21" s="107"/>
      <c r="E21" s="107"/>
      <c r="F21" s="107"/>
      <c r="G21" s="107"/>
      <c r="H21" s="107"/>
      <c r="I21" s="107"/>
      <c r="J21" s="107"/>
      <c r="K21" s="107"/>
      <c r="L21" s="107"/>
      <c r="M21" s="107"/>
    </row>
    <row r="22" spans="1:13" x14ac:dyDescent="0.3">
      <c r="A22" s="107"/>
      <c r="B22" s="107"/>
      <c r="C22" s="107"/>
      <c r="D22" s="107"/>
      <c r="E22" s="107"/>
      <c r="F22" s="107"/>
      <c r="G22" s="107"/>
      <c r="H22" s="107"/>
      <c r="I22" s="107"/>
      <c r="J22" s="107"/>
      <c r="K22" s="107"/>
      <c r="L22" s="107"/>
      <c r="M22" s="107"/>
    </row>
    <row r="23" spans="1:13" x14ac:dyDescent="0.3">
      <c r="A23" s="107"/>
      <c r="B23" s="107"/>
      <c r="C23" s="107"/>
      <c r="D23" s="107"/>
      <c r="E23" s="107"/>
      <c r="F23" s="107"/>
      <c r="G23" s="107"/>
      <c r="H23" s="107"/>
      <c r="I23" s="107"/>
      <c r="J23" s="107"/>
      <c r="K23" s="107"/>
      <c r="L23" s="107"/>
      <c r="M23" s="107"/>
    </row>
    <row r="24" spans="1:13" x14ac:dyDescent="0.3">
      <c r="A24" s="107"/>
      <c r="B24" s="107"/>
      <c r="C24" s="107"/>
      <c r="D24" s="107"/>
      <c r="E24" s="107"/>
      <c r="F24" s="107"/>
      <c r="G24" s="107"/>
      <c r="H24" s="107"/>
      <c r="I24" s="107"/>
      <c r="J24" s="107"/>
      <c r="K24" s="107"/>
      <c r="L24" s="107"/>
      <c r="M24" s="107"/>
    </row>
    <row r="25" spans="1:13" x14ac:dyDescent="0.3">
      <c r="A25" s="107"/>
      <c r="B25" s="107"/>
      <c r="C25" s="107"/>
      <c r="D25" s="107"/>
      <c r="E25" s="107"/>
      <c r="F25" s="107"/>
      <c r="G25" s="107"/>
      <c r="H25" s="107"/>
      <c r="I25" s="107"/>
      <c r="J25" s="107"/>
      <c r="K25" s="107"/>
      <c r="L25" s="107"/>
      <c r="M25" s="107"/>
    </row>
    <row r="26" spans="1:13" x14ac:dyDescent="0.3">
      <c r="A26" s="107"/>
      <c r="B26" s="107"/>
      <c r="C26" s="107"/>
      <c r="D26" s="107"/>
      <c r="E26" s="107"/>
      <c r="F26" s="107"/>
      <c r="G26" s="107"/>
      <c r="H26" s="107"/>
      <c r="I26" s="107"/>
      <c r="J26" s="107"/>
      <c r="K26" s="107"/>
      <c r="L26" s="107"/>
      <c r="M26" s="107"/>
    </row>
    <row r="27" spans="1:13" x14ac:dyDescent="0.3">
      <c r="A27" s="107"/>
      <c r="B27" s="107"/>
      <c r="C27" s="107"/>
      <c r="D27" s="107"/>
      <c r="E27" s="107"/>
      <c r="F27" s="107"/>
      <c r="G27" s="107"/>
      <c r="H27" s="107"/>
      <c r="I27" s="107"/>
      <c r="J27" s="107"/>
      <c r="K27" s="107"/>
      <c r="L27" s="107"/>
      <c r="M27" s="107"/>
    </row>
    <row r="28" spans="1:13" x14ac:dyDescent="0.3">
      <c r="A28" s="107"/>
      <c r="B28" s="107"/>
      <c r="C28" s="107"/>
      <c r="D28" s="107"/>
      <c r="E28" s="107"/>
      <c r="F28" s="107"/>
      <c r="G28" s="107"/>
      <c r="H28" s="107"/>
      <c r="I28" s="107"/>
      <c r="J28" s="107"/>
      <c r="K28" s="107"/>
      <c r="L28" s="107"/>
      <c r="M28" s="107"/>
    </row>
  </sheetData>
  <sheetProtection algorithmName="SHA-512" hashValue="21SAi6CgUBDUM0K3fZ5WAfL2eb+HDvC63i9in4Op4elGq3COvSC97JwcxAHOz7CgHiuxydu1xHhWlk9QMYodag==" saltValue="vrNBopc6FzfbLn6a8nVQoQ==" spinCount="100000" sheet="1" objects="1" scenarios="1"/>
  <pageMargins left="0.39370078740157483" right="0.39370078740157483" top="0.43307086614173229" bottom="0.35433070866141736" header="0.31496062992125984" footer="0.31496062992125984"/>
  <pageSetup paperSize="9" scale="66" fitToWidth="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A102"/>
  <sheetViews>
    <sheetView showGridLines="0" workbookViewId="0">
      <selection activeCell="A10" sqref="A10:B10"/>
    </sheetView>
  </sheetViews>
  <sheetFormatPr defaultColWidth="8.88671875" defaultRowHeight="14.4" x14ac:dyDescent="0.3"/>
  <cols>
    <col min="1" max="1" width="20" style="2" customWidth="1"/>
    <col min="2" max="2" width="20.33203125" style="2" customWidth="1"/>
    <col min="3" max="3" width="12.88671875" style="2" customWidth="1"/>
    <col min="4" max="4" width="11.88671875" style="2" customWidth="1"/>
    <col min="5" max="5" width="14.88671875" style="2" customWidth="1"/>
    <col min="6" max="6" width="5.6640625" style="2" customWidth="1"/>
    <col min="7" max="7" width="62.5546875" style="2" customWidth="1"/>
    <col min="8" max="8" width="11.33203125" style="49" customWidth="1"/>
    <col min="9" max="9" width="10.44140625" style="49" customWidth="1"/>
    <col min="10" max="10" width="9.6640625" style="49" customWidth="1"/>
    <col min="11" max="11" width="13.109375" style="2" customWidth="1"/>
    <col min="12" max="12" width="21" style="2" customWidth="1"/>
    <col min="13" max="13" width="10.88671875" style="2" customWidth="1"/>
    <col min="14" max="14" width="12.6640625" style="2" customWidth="1"/>
    <col min="15" max="15" width="11.44140625" style="2" customWidth="1"/>
    <col min="16" max="16" width="11.5546875" style="2" customWidth="1"/>
    <col min="17" max="16384" width="8.88671875" style="2"/>
  </cols>
  <sheetData>
    <row r="1" spans="1:27" ht="19.95" customHeight="1" x14ac:dyDescent="0.35">
      <c r="A1" s="473" t="s">
        <v>89</v>
      </c>
      <c r="B1" s="473"/>
      <c r="C1" s="473"/>
      <c r="D1" s="473"/>
      <c r="E1" s="473"/>
      <c r="F1" s="126"/>
      <c r="H1" s="128"/>
      <c r="I1" s="128"/>
      <c r="J1" s="128"/>
      <c r="K1" s="128"/>
      <c r="M1" s="114">
        <v>36161</v>
      </c>
      <c r="N1" s="114">
        <v>36162</v>
      </c>
      <c r="O1" s="114">
        <v>37895</v>
      </c>
      <c r="P1" s="114">
        <v>41275</v>
      </c>
      <c r="Q1" s="123"/>
      <c r="R1" s="124">
        <v>0.09</v>
      </c>
      <c r="S1" s="124">
        <v>0.12</v>
      </c>
      <c r="T1" s="125">
        <v>300</v>
      </c>
      <c r="U1" s="123"/>
      <c r="V1" s="123"/>
      <c r="W1" s="123"/>
      <c r="X1" s="123"/>
      <c r="Y1" s="123"/>
      <c r="Z1" s="123"/>
      <c r="AA1" s="123"/>
    </row>
    <row r="2" spans="1:27" ht="20.399999999999999" customHeight="1" thickBot="1" x14ac:dyDescent="0.35">
      <c r="A2" s="473"/>
      <c r="B2" s="473"/>
      <c r="C2" s="473"/>
      <c r="D2" s="473"/>
      <c r="E2" s="473"/>
      <c r="F2" s="126"/>
      <c r="G2" s="465" t="s">
        <v>84</v>
      </c>
      <c r="H2" s="465"/>
      <c r="I2" s="465"/>
      <c r="J2" s="465"/>
      <c r="K2" s="465"/>
      <c r="M2" s="114"/>
      <c r="N2" s="114"/>
      <c r="O2" s="114"/>
      <c r="P2" s="114"/>
      <c r="Q2" s="123"/>
      <c r="R2" s="124"/>
      <c r="S2" s="124"/>
      <c r="T2" s="125"/>
      <c r="U2" s="123"/>
      <c r="V2" s="123"/>
      <c r="W2" s="123"/>
      <c r="X2" s="123"/>
      <c r="Y2" s="123"/>
      <c r="Z2" s="123"/>
      <c r="AA2" s="123"/>
    </row>
    <row r="3" spans="1:27" ht="31.2" customHeight="1" thickBot="1" x14ac:dyDescent="0.35">
      <c r="A3" s="476" t="s">
        <v>75</v>
      </c>
      <c r="B3" s="477"/>
      <c r="C3" s="136" t="s">
        <v>79</v>
      </c>
      <c r="D3" s="133" t="s">
        <v>0</v>
      </c>
      <c r="E3" s="135" t="s">
        <v>32</v>
      </c>
      <c r="F3" s="126"/>
      <c r="G3" s="129" t="s">
        <v>87</v>
      </c>
      <c r="H3" s="20" t="s">
        <v>16</v>
      </c>
      <c r="I3" s="21" t="s">
        <v>17</v>
      </c>
      <c r="J3" s="22" t="s">
        <v>18</v>
      </c>
      <c r="K3" s="23" t="s">
        <v>26</v>
      </c>
      <c r="L3" s="24"/>
      <c r="M3" s="131"/>
      <c r="N3" s="114"/>
      <c r="O3" s="114"/>
      <c r="P3" s="114"/>
      <c r="Q3" s="123"/>
      <c r="R3" s="124"/>
      <c r="S3" s="124"/>
      <c r="T3" s="125"/>
      <c r="U3" s="123"/>
      <c r="V3" s="123"/>
      <c r="W3" s="123"/>
      <c r="X3" s="123"/>
      <c r="Y3" s="123"/>
      <c r="Z3" s="123"/>
      <c r="AA3" s="123"/>
    </row>
    <row r="4" spans="1:27" ht="31.2" customHeight="1" thickBot="1" x14ac:dyDescent="0.35">
      <c r="A4" s="478" t="s">
        <v>81</v>
      </c>
      <c r="B4" s="479"/>
      <c r="C4" s="138"/>
      <c r="D4" s="137"/>
      <c r="E4" s="482" t="str">
        <f>IF(AND($C$4&lt;$N$1,$C$4&lt;&gt;""),"art. 15",IF(AND($C$4&gt;$M$1,$C$4&lt;$P$1,$C$4&lt;&gt;""),"art. 15a",IF($C$4="","proszę obowiązkowo wprowadzić do komórki C4 datę wstąpienia po raz pierwszy do służby","poza zakresem")))</f>
        <v>proszę obowiązkowo wprowadzić do komórki C4 datę wstąpienia po raz pierwszy do służby</v>
      </c>
      <c r="F4" s="126"/>
      <c r="G4" s="25" t="s">
        <v>33</v>
      </c>
      <c r="H4" s="26">
        <f>C97</f>
        <v>0</v>
      </c>
      <c r="I4" s="27">
        <f>D97</f>
        <v>0</v>
      </c>
      <c r="J4" s="28">
        <f>E97</f>
        <v>0</v>
      </c>
      <c r="K4" s="4" t="str">
        <f>IF(C102&lt;15,"brak prawa",IF(AND(H5&lt;3,(J4+J5)&gt;30),ROUND(0.4+(H4-15)*0.026+(I4+1)*0.026/12,4),ROUND(0.4+(H4-15)*0.026+I4*0.026/12,4)))</f>
        <v>brak prawa</v>
      </c>
      <c r="L4" s="1" t="str">
        <f>IF(AND(H5&lt;3,(J4+J5)&gt;30),"+1 mies. po 2,6% za sumę dni","")</f>
        <v/>
      </c>
      <c r="M4" s="29"/>
      <c r="N4" s="114"/>
      <c r="O4" s="114"/>
      <c r="P4" s="114"/>
      <c r="Q4" s="123"/>
      <c r="R4" s="124"/>
      <c r="S4" s="124"/>
      <c r="T4" s="125"/>
      <c r="U4" s="123"/>
      <c r="V4" s="123"/>
      <c r="W4" s="123"/>
      <c r="X4" s="123"/>
      <c r="Y4" s="123"/>
      <c r="Z4" s="123"/>
      <c r="AA4" s="123"/>
    </row>
    <row r="5" spans="1:27" ht="31.2" customHeight="1" thickBot="1" x14ac:dyDescent="0.35">
      <c r="A5" s="487" t="s">
        <v>14</v>
      </c>
      <c r="B5" s="488"/>
      <c r="C5" s="265"/>
      <c r="D5" s="134"/>
      <c r="E5" s="483"/>
      <c r="F5" s="126"/>
      <c r="G5" s="30" t="s">
        <v>20</v>
      </c>
      <c r="H5" s="31">
        <f>IF(AND($C$4&lt;$N$1,$C$4&lt;&gt;""),C41,0)</f>
        <v>0</v>
      </c>
      <c r="I5" s="32">
        <f>IF(AND($C$4&lt;$N$1,$C$4&lt;&gt;""),D41,0)</f>
        <v>0</v>
      </c>
      <c r="J5" s="33">
        <f>IF(AND($C$4&lt;$N$1,$C$4&lt;&gt;""),E41,0)</f>
        <v>0</v>
      </c>
      <c r="K5" s="34">
        <f>IF(H5&lt;3,ROUND(H5*0.026+I5*0.026/12,4),ROUND(0.078+(H5-3)*0.013+I5*0.013/12,4))</f>
        <v>0</v>
      </c>
      <c r="L5" s="122" t="str">
        <f>IF($E$4="art. 15a","nie dolicza się - art. 15a","")</f>
        <v/>
      </c>
      <c r="M5" s="121"/>
      <c r="N5" s="114"/>
      <c r="O5" s="114"/>
      <c r="P5" s="114"/>
      <c r="Q5" s="123"/>
      <c r="R5" s="124"/>
      <c r="S5" s="124"/>
      <c r="T5" s="125"/>
      <c r="U5" s="123"/>
      <c r="V5" s="123"/>
      <c r="W5" s="123"/>
      <c r="X5" s="123"/>
      <c r="Y5" s="123"/>
      <c r="Z5" s="123"/>
      <c r="AA5" s="123"/>
    </row>
    <row r="6" spans="1:27" ht="31.2" customHeight="1" thickBot="1" x14ac:dyDescent="0.35">
      <c r="A6" s="127"/>
      <c r="B6" s="127"/>
      <c r="C6" s="127"/>
      <c r="D6" s="127"/>
      <c r="E6" s="127"/>
      <c r="F6" s="126"/>
      <c r="G6" s="35" t="s">
        <v>21</v>
      </c>
      <c r="H6" s="36">
        <f>IF(AND($C$4&lt;$N$1,$C$4&lt;&gt;""),C56,0)</f>
        <v>0</v>
      </c>
      <c r="I6" s="37">
        <f>IF(AND($C$4&lt;$N$1,$C$4&lt;&gt;""),D56,0)</f>
        <v>0</v>
      </c>
      <c r="J6" s="38">
        <f>IF(AND($C$4&lt;$N$1,$C$4&lt;&gt;""),E56,0)</f>
        <v>0</v>
      </c>
      <c r="K6" s="5">
        <f>ROUND(H6*0.007+I6*0.007/12,4)</f>
        <v>0</v>
      </c>
      <c r="L6" s="122" t="str">
        <f>IF($E$4="art. 15a","nie dolicza się - art. 15a","")</f>
        <v/>
      </c>
      <c r="M6" s="121"/>
      <c r="N6" s="114"/>
      <c r="O6" s="114"/>
      <c r="P6" s="114"/>
      <c r="Q6" s="123"/>
      <c r="R6" s="124"/>
      <c r="S6" s="124"/>
      <c r="T6" s="125"/>
      <c r="U6" s="123"/>
      <c r="V6" s="123"/>
      <c r="W6" s="123"/>
      <c r="X6" s="123"/>
      <c r="Y6" s="123"/>
      <c r="Z6" s="123"/>
      <c r="AA6" s="123"/>
    </row>
    <row r="7" spans="1:27" ht="31.2" customHeight="1" thickBot="1" x14ac:dyDescent="0.35">
      <c r="A7" s="466" t="s">
        <v>88</v>
      </c>
      <c r="B7" s="466"/>
      <c r="C7" s="466"/>
      <c r="D7" s="466"/>
      <c r="E7" s="466"/>
      <c r="G7" s="40"/>
      <c r="H7" s="435" t="s">
        <v>85</v>
      </c>
      <c r="I7" s="436"/>
      <c r="J7" s="437"/>
      <c r="K7" s="115">
        <f>MIN(SUM(K4:K6),0.75)</f>
        <v>0</v>
      </c>
      <c r="L7" s="39"/>
      <c r="M7" s="39"/>
      <c r="N7" s="114"/>
      <c r="O7" s="114"/>
      <c r="P7" s="114"/>
      <c r="Q7" s="123"/>
      <c r="R7" s="124"/>
      <c r="S7" s="124"/>
      <c r="T7" s="125"/>
      <c r="U7" s="123"/>
      <c r="V7" s="123"/>
      <c r="W7" s="123"/>
      <c r="X7" s="123"/>
      <c r="Y7" s="123"/>
      <c r="Z7" s="123"/>
      <c r="AA7" s="123"/>
    </row>
    <row r="8" spans="1:27" ht="22.95" customHeight="1" thickBot="1" x14ac:dyDescent="0.35">
      <c r="A8" s="484" t="s">
        <v>47</v>
      </c>
      <c r="B8" s="485"/>
      <c r="C8" s="485"/>
      <c r="D8" s="485"/>
      <c r="E8" s="486"/>
      <c r="K8" s="42"/>
      <c r="L8" s="39"/>
      <c r="M8" s="39"/>
    </row>
    <row r="9" spans="1:27" ht="22.95" customHeight="1" thickBot="1" x14ac:dyDescent="0.35">
      <c r="A9" s="374" t="s">
        <v>30</v>
      </c>
      <c r="B9" s="375" t="s">
        <v>31</v>
      </c>
      <c r="C9" s="9" t="s">
        <v>25</v>
      </c>
      <c r="D9" s="11" t="s">
        <v>27</v>
      </c>
      <c r="E9" s="10" t="s">
        <v>18</v>
      </c>
      <c r="G9" s="467" t="s">
        <v>71</v>
      </c>
      <c r="H9" s="109" t="s">
        <v>16</v>
      </c>
      <c r="I9" s="21" t="s">
        <v>17</v>
      </c>
      <c r="J9" s="110" t="s">
        <v>18</v>
      </c>
      <c r="K9" s="42"/>
    </row>
    <row r="10" spans="1:27" ht="22.95" customHeight="1" thickBot="1" x14ac:dyDescent="0.35">
      <c r="A10" s="376"/>
      <c r="B10" s="377"/>
      <c r="C10" s="371">
        <f>IF((ISBLANK(A10)=TRUE),0,DATEDIF(A10,B10+1,"Y"))</f>
        <v>0</v>
      </c>
      <c r="D10" s="13">
        <f>IF((ISBLANK(A10)=TRUE),0,DATEDIF(A10,B10+1,"YM"))</f>
        <v>0</v>
      </c>
      <c r="E10" s="14">
        <f>IF((ISBLANK(A10)=TRUE),0,DATEDIF(A10,B10+1,"MD"))</f>
        <v>0</v>
      </c>
      <c r="G10" s="468"/>
      <c r="H10" s="111">
        <f>IF($E$4="art. 15",SUM(H4:H6)+INT((SUM(I4:I6)+INT(SUM(J4:J6)/30))/12),IF($E$4="art. 15a",SUM(H4:H4)+INT((SUM(I4:I4)+INT(SUM(J4:J4)/30))/12),0))</f>
        <v>0</v>
      </c>
      <c r="I10" s="111">
        <f>IF($E$4="art. 15",MOD(SUM(I4:I6)+INT(SUM(J4:J6)/30),12),IF($E$4="art. 15a",MOD(SUM(I4:I4)+INT(SUM(J4:J4)/30),12),0))</f>
        <v>0</v>
      </c>
      <c r="J10" s="112">
        <f>IF($E$4="art. 15",MOD(SUM(J4:J6),30),IF($E$4="art. 15a",MOD(SUM(J4:J4),30),0))</f>
        <v>0</v>
      </c>
    </row>
    <row r="11" spans="1:27" ht="22.95" customHeight="1" x14ac:dyDescent="0.3">
      <c r="A11" s="378"/>
      <c r="B11" s="379"/>
      <c r="C11" s="372">
        <f>IF((ISBLANK(A11)=TRUE),0,DATEDIF(A11,B11+1,"Y"))</f>
        <v>0</v>
      </c>
      <c r="D11" s="17">
        <f>IF((ISBLANK(A11)=TRUE),0,DATEDIF(A11,B11+1,"YM"))</f>
        <v>0</v>
      </c>
      <c r="E11" s="18">
        <f>IF((ISBLANK(A11)=TRUE),0,DATEDIF(A11,B11+1,"MD"))</f>
        <v>0</v>
      </c>
    </row>
    <row r="12" spans="1:27" ht="22.95" customHeight="1" thickBot="1" x14ac:dyDescent="0.35">
      <c r="A12" s="378"/>
      <c r="B12" s="379"/>
      <c r="C12" s="372">
        <f>IF((ISBLANK(A12)=TRUE),0,DATEDIF(A12,B12+1,"Y"))</f>
        <v>0</v>
      </c>
      <c r="D12" s="17">
        <f>IF((ISBLANK(A12)=TRUE),0,DATEDIF(A12,B12+1,"YM"))</f>
        <v>0</v>
      </c>
      <c r="E12" s="18">
        <f>IF((ISBLANK(A12)=TRUE),0,DATEDIF(A12,B12+1,"MD"))</f>
        <v>0</v>
      </c>
      <c r="G12" s="469" t="str">
        <f>IF($E$4="art. 15","Obliczenie wysokości emerytury na podstawie art. 15 ustawy",IF($E$4="art. 15a","Obliczenie wysokości emerytury na podstawie art. 15a ustawy",""))</f>
        <v/>
      </c>
      <c r="H12" s="469"/>
      <c r="I12" s="469"/>
      <c r="J12" s="469"/>
      <c r="K12" s="6"/>
    </row>
    <row r="13" spans="1:27" ht="22.95" customHeight="1" thickBot="1" x14ac:dyDescent="0.35">
      <c r="A13" s="378"/>
      <c r="B13" s="379"/>
      <c r="C13" s="372">
        <f t="shared" ref="C13:C20" si="0">IF((ISBLANK(A13)=TRUE),0,DATEDIF(A13,B13+1,"Y"))</f>
        <v>0</v>
      </c>
      <c r="D13" s="17">
        <f t="shared" ref="D13:D20" si="1">IF((ISBLANK(A13)=TRUE),0,DATEDIF(A13,B13+1,"YM"))</f>
        <v>0</v>
      </c>
      <c r="E13" s="18">
        <f t="shared" ref="E13:E20" si="2">IF((ISBLANK(A13)=TRUE),0,DATEDIF(A13,B13+1,"MD"))</f>
        <v>0</v>
      </c>
      <c r="G13" s="438" t="s">
        <v>77</v>
      </c>
      <c r="H13" s="439"/>
      <c r="I13" s="439"/>
      <c r="J13" s="440"/>
      <c r="K13" s="3"/>
    </row>
    <row r="14" spans="1:27" ht="22.95" customHeight="1" thickBot="1" x14ac:dyDescent="0.35">
      <c r="A14" s="378"/>
      <c r="B14" s="379"/>
      <c r="C14" s="372">
        <f t="shared" si="0"/>
        <v>0</v>
      </c>
      <c r="D14" s="17">
        <f t="shared" si="1"/>
        <v>0</v>
      </c>
      <c r="E14" s="18">
        <f t="shared" si="2"/>
        <v>0</v>
      </c>
      <c r="G14" s="441" t="s">
        <v>78</v>
      </c>
      <c r="H14" s="442"/>
      <c r="I14" s="442"/>
      <c r="J14" s="443"/>
      <c r="K14" s="120"/>
      <c r="L14" s="132" t="str">
        <f>IF($H$10&lt;32,"wysługa (H10) &lt;32 lata","")</f>
        <v>wysługa (H10) &lt;32 lata</v>
      </c>
    </row>
    <row r="15" spans="1:27" ht="22.95" customHeight="1" thickBot="1" x14ac:dyDescent="0.35">
      <c r="A15" s="378"/>
      <c r="B15" s="379"/>
      <c r="C15" s="372">
        <f t="shared" si="0"/>
        <v>0</v>
      </c>
      <c r="D15" s="17">
        <f t="shared" si="1"/>
        <v>0</v>
      </c>
      <c r="E15" s="18">
        <f t="shared" si="2"/>
        <v>0</v>
      </c>
      <c r="G15" s="444" t="s">
        <v>76</v>
      </c>
      <c r="H15" s="445"/>
      <c r="I15" s="445"/>
      <c r="J15" s="446"/>
      <c r="K15" s="118">
        <f>K13+K14</f>
        <v>0</v>
      </c>
    </row>
    <row r="16" spans="1:27" ht="22.95" customHeight="1" thickBot="1" x14ac:dyDescent="0.35">
      <c r="A16" s="378"/>
      <c r="B16" s="379"/>
      <c r="C16" s="372">
        <f t="shared" si="0"/>
        <v>0</v>
      </c>
      <c r="D16" s="17">
        <f>IF((ISBLANK(A16)=TRUE),0,DATEDIF(A16,B16+1,"YM"))</f>
        <v>0</v>
      </c>
      <c r="E16" s="18">
        <f>IF((ISBLANK(A16)=TRUE),0,DATEDIF(A16,B16+1,"MD"))</f>
        <v>0</v>
      </c>
      <c r="G16" s="447" t="s">
        <v>24</v>
      </c>
      <c r="H16" s="448"/>
      <c r="I16" s="448"/>
      <c r="J16" s="449"/>
      <c r="K16" s="46">
        <f>K7</f>
        <v>0</v>
      </c>
    </row>
    <row r="17" spans="1:14" ht="22.95" customHeight="1" thickBot="1" x14ac:dyDescent="0.35">
      <c r="A17" s="378"/>
      <c r="B17" s="379"/>
      <c r="C17" s="372">
        <f t="shared" si="0"/>
        <v>0</v>
      </c>
      <c r="D17" s="17">
        <f>IF((ISBLANK(A17)=TRUE),0,DATEDIF(A17,B17+1,"YM"))</f>
        <v>0</v>
      </c>
      <c r="E17" s="18">
        <f>IF((ISBLANK(A17)=TRUE),0,DATEDIF(A17,B17+1,"MD"))</f>
        <v>0</v>
      </c>
      <c r="G17" s="413" t="s">
        <v>59</v>
      </c>
      <c r="H17" s="414"/>
      <c r="I17" s="414"/>
      <c r="J17" s="415"/>
      <c r="K17" s="117">
        <f>ROUND(K15*K16,2)</f>
        <v>0</v>
      </c>
    </row>
    <row r="18" spans="1:14" ht="22.95" customHeight="1" x14ac:dyDescent="0.3">
      <c r="A18" s="378"/>
      <c r="B18" s="379"/>
      <c r="C18" s="372">
        <f t="shared" si="0"/>
        <v>0</v>
      </c>
      <c r="D18" s="17">
        <f t="shared" si="1"/>
        <v>0</v>
      </c>
      <c r="E18" s="18">
        <f t="shared" si="2"/>
        <v>0</v>
      </c>
      <c r="G18" s="470" t="s">
        <v>61</v>
      </c>
      <c r="H18" s="471"/>
      <c r="I18" s="471"/>
      <c r="J18" s="472"/>
      <c r="K18" s="50">
        <f>MAX(ROUND(K17*$R$1,2),0)</f>
        <v>0</v>
      </c>
      <c r="L18" s="49"/>
      <c r="N18" s="39"/>
    </row>
    <row r="19" spans="1:14" ht="22.95" customHeight="1" thickBot="1" x14ac:dyDescent="0.35">
      <c r="A19" s="378"/>
      <c r="B19" s="379"/>
      <c r="C19" s="372">
        <f t="shared" si="0"/>
        <v>0</v>
      </c>
      <c r="D19" s="17">
        <f t="shared" si="1"/>
        <v>0</v>
      </c>
      <c r="E19" s="18">
        <f t="shared" si="2"/>
        <v>0</v>
      </c>
      <c r="G19" s="416" t="s">
        <v>62</v>
      </c>
      <c r="H19" s="417"/>
      <c r="I19" s="417"/>
      <c r="J19" s="418"/>
      <c r="K19" s="51">
        <f>MAX(ROUND(ROUND(K17,0)*$S$1-$T$1,0),0)</f>
        <v>0</v>
      </c>
      <c r="L19" s="49"/>
      <c r="N19" s="39"/>
    </row>
    <row r="20" spans="1:14" ht="22.95" customHeight="1" thickBot="1" x14ac:dyDescent="0.35">
      <c r="A20" s="380"/>
      <c r="B20" s="381"/>
      <c r="C20" s="373">
        <f t="shared" si="0"/>
        <v>0</v>
      </c>
      <c r="D20" s="44">
        <f t="shared" si="1"/>
        <v>0</v>
      </c>
      <c r="E20" s="45">
        <f t="shared" si="2"/>
        <v>0</v>
      </c>
      <c r="G20" s="460" t="s">
        <v>58</v>
      </c>
      <c r="H20" s="461"/>
      <c r="I20" s="461"/>
      <c r="J20" s="462"/>
      <c r="K20" s="56">
        <f>K17-K18-K19</f>
        <v>0</v>
      </c>
      <c r="L20" s="57"/>
      <c r="M20" s="15"/>
      <c r="N20" s="39"/>
    </row>
    <row r="21" spans="1:14" ht="22.95" customHeight="1" thickBot="1" x14ac:dyDescent="0.35">
      <c r="A21" s="480" t="s">
        <v>28</v>
      </c>
      <c r="B21" s="481"/>
      <c r="C21" s="47">
        <f>SUM(C10:C20)+INT((SUM(D10:D20)+INT(SUM(E10:E20)/30))/12)</f>
        <v>0</v>
      </c>
      <c r="D21" s="47">
        <f>MOD(SUM(D10:D20)+INT(SUM(E10:E20)/30),12)</f>
        <v>0</v>
      </c>
      <c r="E21" s="48">
        <f>MOD(SUM(E10:E20),30)</f>
        <v>0</v>
      </c>
      <c r="L21" s="57"/>
      <c r="M21" s="58"/>
      <c r="N21" s="39"/>
    </row>
    <row r="22" spans="1:14" ht="19.95" customHeight="1" thickBot="1" x14ac:dyDescent="0.35">
      <c r="A22" s="49"/>
      <c r="B22" s="49"/>
      <c r="C22" s="49"/>
      <c r="D22" s="49"/>
      <c r="E22" s="49"/>
      <c r="G22" s="463" t="s">
        <v>86</v>
      </c>
      <c r="H22" s="463"/>
      <c r="I22" s="463"/>
      <c r="J22" s="463"/>
      <c r="K22" s="463"/>
    </row>
    <row r="23" spans="1:14" ht="19.95" customHeight="1" thickBot="1" x14ac:dyDescent="0.35">
      <c r="A23" s="452" t="s">
        <v>48</v>
      </c>
      <c r="B23" s="474"/>
      <c r="C23" s="474"/>
      <c r="D23" s="474"/>
      <c r="E23" s="475"/>
      <c r="G23" s="463"/>
      <c r="H23" s="463"/>
      <c r="I23" s="463"/>
      <c r="J23" s="463"/>
      <c r="K23" s="463"/>
    </row>
    <row r="24" spans="1:14" ht="22.2" customHeight="1" thickBot="1" x14ac:dyDescent="0.35">
      <c r="A24" s="52" t="s">
        <v>30</v>
      </c>
      <c r="B24" s="53" t="s">
        <v>31</v>
      </c>
      <c r="C24" s="52" t="s">
        <v>25</v>
      </c>
      <c r="D24" s="54" t="s">
        <v>27</v>
      </c>
      <c r="E24" s="55" t="s">
        <v>18</v>
      </c>
      <c r="G24" s="463"/>
      <c r="H24" s="463"/>
      <c r="I24" s="463"/>
      <c r="J24" s="463"/>
      <c r="K24" s="463"/>
    </row>
    <row r="25" spans="1:14" ht="19.95" customHeight="1" x14ac:dyDescent="0.3">
      <c r="A25" s="376"/>
      <c r="B25" s="377"/>
      <c r="C25" s="12">
        <f>IF((ISBLANK(A25)=TRUE),0,DATEDIF(A25,B25+1,"Y"))</f>
        <v>0</v>
      </c>
      <c r="D25" s="13">
        <f t="shared" ref="D25:D34" si="3">IF((ISBLANK(A25)=TRUE),0,DATEDIF(A25,B25+1,"YM"))</f>
        <v>0</v>
      </c>
      <c r="E25" s="14">
        <f t="shared" ref="E25:E34" si="4">IF((ISBLANK(A25)=TRUE),0,DATEDIF(A25,B25+1,"MD"))</f>
        <v>0</v>
      </c>
    </row>
    <row r="26" spans="1:14" ht="19.95" customHeight="1" x14ac:dyDescent="0.3">
      <c r="A26" s="378"/>
      <c r="B26" s="379"/>
      <c r="C26" s="16">
        <f>IF((ISBLANK(A26)=TRUE),0,DATEDIF(A26,B26+1,"Y"))</f>
        <v>0</v>
      </c>
      <c r="D26" s="17">
        <f t="shared" si="3"/>
        <v>0</v>
      </c>
      <c r="E26" s="18">
        <f t="shared" si="4"/>
        <v>0</v>
      </c>
      <c r="G26" s="464" t="s">
        <v>64</v>
      </c>
      <c r="H26" s="464"/>
      <c r="I26" s="464"/>
      <c r="J26" s="464"/>
      <c r="K26" s="464"/>
    </row>
    <row r="27" spans="1:14" ht="19.95" customHeight="1" x14ac:dyDescent="0.3">
      <c r="A27" s="378"/>
      <c r="B27" s="379"/>
      <c r="C27" s="16">
        <f>IF((ISBLANK(A27)=TRUE),0,DATEDIF(A27,B27+1,"Y"))</f>
        <v>0</v>
      </c>
      <c r="D27" s="17">
        <f t="shared" si="3"/>
        <v>0</v>
      </c>
      <c r="E27" s="18">
        <f t="shared" si="4"/>
        <v>0</v>
      </c>
      <c r="G27" s="464"/>
      <c r="H27" s="464"/>
      <c r="I27" s="464"/>
      <c r="J27" s="464"/>
      <c r="K27" s="464"/>
    </row>
    <row r="28" spans="1:14" ht="19.95" customHeight="1" x14ac:dyDescent="0.3">
      <c r="A28" s="378"/>
      <c r="B28" s="379"/>
      <c r="C28" s="16">
        <f t="shared" ref="C28:C34" si="5">IF((ISBLANK(A28)=TRUE),0,DATEDIF(A28,B28+1,"Y"))</f>
        <v>0</v>
      </c>
      <c r="D28" s="17">
        <f t="shared" si="3"/>
        <v>0</v>
      </c>
      <c r="E28" s="18">
        <f t="shared" si="4"/>
        <v>0</v>
      </c>
      <c r="G28" s="464"/>
      <c r="H28" s="464"/>
      <c r="I28" s="464"/>
      <c r="J28" s="464"/>
      <c r="K28" s="464"/>
    </row>
    <row r="29" spans="1:14" ht="19.95" customHeight="1" x14ac:dyDescent="0.3">
      <c r="A29" s="378"/>
      <c r="B29" s="379"/>
      <c r="C29" s="16">
        <f t="shared" si="5"/>
        <v>0</v>
      </c>
      <c r="D29" s="17">
        <f t="shared" si="3"/>
        <v>0</v>
      </c>
      <c r="E29" s="18">
        <f t="shared" si="4"/>
        <v>0</v>
      </c>
      <c r="H29" s="2"/>
      <c r="I29" s="2"/>
      <c r="J29" s="2"/>
      <c r="N29" s="58"/>
    </row>
    <row r="30" spans="1:14" ht="19.95" customHeight="1" x14ac:dyDescent="0.3">
      <c r="A30" s="378"/>
      <c r="B30" s="379"/>
      <c r="C30" s="16">
        <f t="shared" si="5"/>
        <v>0</v>
      </c>
      <c r="D30" s="17">
        <f t="shared" si="3"/>
        <v>0</v>
      </c>
      <c r="E30" s="18">
        <f t="shared" si="4"/>
        <v>0</v>
      </c>
      <c r="H30" s="2"/>
      <c r="I30" s="2"/>
      <c r="J30" s="2"/>
      <c r="N30" s="15"/>
    </row>
    <row r="31" spans="1:14" ht="19.95" customHeight="1" x14ac:dyDescent="0.3">
      <c r="A31" s="378"/>
      <c r="B31" s="379"/>
      <c r="C31" s="16">
        <f t="shared" si="5"/>
        <v>0</v>
      </c>
      <c r="D31" s="17">
        <f t="shared" si="3"/>
        <v>0</v>
      </c>
      <c r="E31" s="18">
        <f t="shared" si="4"/>
        <v>0</v>
      </c>
      <c r="H31" s="2"/>
      <c r="I31" s="2"/>
      <c r="J31" s="2"/>
    </row>
    <row r="32" spans="1:14" ht="19.95" customHeight="1" x14ac:dyDescent="0.3">
      <c r="A32" s="378"/>
      <c r="B32" s="379"/>
      <c r="C32" s="16">
        <f t="shared" si="5"/>
        <v>0</v>
      </c>
      <c r="D32" s="17">
        <f t="shared" si="3"/>
        <v>0</v>
      </c>
      <c r="E32" s="18">
        <f t="shared" si="4"/>
        <v>0</v>
      </c>
      <c r="H32" s="2"/>
      <c r="I32" s="2"/>
      <c r="J32" s="2"/>
    </row>
    <row r="33" spans="1:11" ht="19.95" customHeight="1" x14ac:dyDescent="0.3">
      <c r="A33" s="378"/>
      <c r="B33" s="379"/>
      <c r="C33" s="16">
        <f t="shared" si="5"/>
        <v>0</v>
      </c>
      <c r="D33" s="17">
        <f t="shared" si="3"/>
        <v>0</v>
      </c>
      <c r="E33" s="18">
        <f t="shared" si="4"/>
        <v>0</v>
      </c>
      <c r="H33" s="2"/>
      <c r="I33" s="2"/>
      <c r="J33" s="2"/>
    </row>
    <row r="34" spans="1:11" ht="19.95" customHeight="1" x14ac:dyDescent="0.3">
      <c r="A34" s="378"/>
      <c r="B34" s="379"/>
      <c r="C34" s="16">
        <f t="shared" si="5"/>
        <v>0</v>
      </c>
      <c r="D34" s="17">
        <f t="shared" si="3"/>
        <v>0</v>
      </c>
      <c r="E34" s="18">
        <f t="shared" si="4"/>
        <v>0</v>
      </c>
      <c r="H34" s="2"/>
      <c r="I34" s="2"/>
      <c r="J34" s="2"/>
    </row>
    <row r="35" spans="1:11" ht="19.95" customHeight="1" x14ac:dyDescent="0.3">
      <c r="A35" s="378"/>
      <c r="B35" s="379"/>
      <c r="C35" s="16">
        <f t="shared" ref="C35:C40" si="6">IF((ISBLANK(A35)=TRUE),0,DATEDIF(A35,B35+1,"Y"))</f>
        <v>0</v>
      </c>
      <c r="D35" s="17">
        <f t="shared" ref="D35:D40" si="7">IF((ISBLANK(A35)=TRUE),0,DATEDIF(A35,B35+1,"YM"))</f>
        <v>0</v>
      </c>
      <c r="E35" s="18">
        <f t="shared" ref="E35:E40" si="8">IF((ISBLANK(A35)=TRUE),0,DATEDIF(A35,B35+1,"MD"))</f>
        <v>0</v>
      </c>
      <c r="H35" s="2"/>
      <c r="I35" s="2"/>
      <c r="J35" s="2"/>
    </row>
    <row r="36" spans="1:11" ht="19.95" customHeight="1" x14ac:dyDescent="0.3">
      <c r="A36" s="378"/>
      <c r="B36" s="379"/>
      <c r="C36" s="16">
        <f t="shared" si="6"/>
        <v>0</v>
      </c>
      <c r="D36" s="17">
        <f t="shared" si="7"/>
        <v>0</v>
      </c>
      <c r="E36" s="18">
        <f t="shared" si="8"/>
        <v>0</v>
      </c>
      <c r="H36" s="2"/>
      <c r="I36" s="2"/>
      <c r="J36" s="2"/>
    </row>
    <row r="37" spans="1:11" ht="19.95" customHeight="1" x14ac:dyDescent="0.3">
      <c r="A37" s="378"/>
      <c r="B37" s="379"/>
      <c r="C37" s="16">
        <f t="shared" si="6"/>
        <v>0</v>
      </c>
      <c r="D37" s="17">
        <f t="shared" si="7"/>
        <v>0</v>
      </c>
      <c r="E37" s="18">
        <f t="shared" si="8"/>
        <v>0</v>
      </c>
      <c r="H37" s="2"/>
      <c r="I37" s="2"/>
      <c r="J37" s="2"/>
    </row>
    <row r="38" spans="1:11" ht="19.95" customHeight="1" x14ac:dyDescent="0.3">
      <c r="A38" s="378"/>
      <c r="B38" s="379"/>
      <c r="C38" s="16">
        <f t="shared" si="6"/>
        <v>0</v>
      </c>
      <c r="D38" s="17">
        <f t="shared" si="7"/>
        <v>0</v>
      </c>
      <c r="E38" s="18">
        <f t="shared" si="8"/>
        <v>0</v>
      </c>
      <c r="H38" s="2"/>
      <c r="I38" s="2"/>
      <c r="J38" s="2"/>
    </row>
    <row r="39" spans="1:11" ht="19.95" customHeight="1" x14ac:dyDescent="0.3">
      <c r="A39" s="378"/>
      <c r="B39" s="379"/>
      <c r="C39" s="16">
        <f t="shared" si="6"/>
        <v>0</v>
      </c>
      <c r="D39" s="17">
        <f t="shared" si="7"/>
        <v>0</v>
      </c>
      <c r="E39" s="18">
        <f t="shared" si="8"/>
        <v>0</v>
      </c>
      <c r="H39" s="2"/>
      <c r="I39" s="2"/>
      <c r="J39" s="2"/>
    </row>
    <row r="40" spans="1:11" ht="19.95" customHeight="1" thickBot="1" x14ac:dyDescent="0.35">
      <c r="A40" s="380"/>
      <c r="B40" s="381"/>
      <c r="C40" s="16">
        <f t="shared" si="6"/>
        <v>0</v>
      </c>
      <c r="D40" s="17">
        <f t="shared" si="7"/>
        <v>0</v>
      </c>
      <c r="E40" s="18">
        <f t="shared" si="8"/>
        <v>0</v>
      </c>
      <c r="H40" s="2"/>
      <c r="I40" s="2"/>
      <c r="J40" s="2"/>
    </row>
    <row r="41" spans="1:11" ht="19.95" customHeight="1" thickBot="1" x14ac:dyDescent="0.35">
      <c r="A41" s="452" t="s">
        <v>28</v>
      </c>
      <c r="B41" s="453"/>
      <c r="C41" s="59">
        <f>SUM(C25:C40)+INT((SUM(D25:D40)+INT(SUM(E25:E40)/30))/12)</f>
        <v>0</v>
      </c>
      <c r="D41" s="60">
        <f>MOD(SUM(D25:D40)+INT(SUM(E25:E40)/30),12)</f>
        <v>0</v>
      </c>
      <c r="E41" s="61">
        <f>MOD(SUM(E25:E40),30)</f>
        <v>0</v>
      </c>
      <c r="H41" s="2"/>
      <c r="I41" s="2"/>
      <c r="J41" s="2"/>
    </row>
    <row r="42" spans="1:11" ht="19.95" customHeight="1" thickBot="1" x14ac:dyDescent="0.35">
      <c r="A42" s="63"/>
      <c r="B42" s="63"/>
      <c r="C42" s="64"/>
      <c r="D42" s="64"/>
      <c r="E42" s="64"/>
      <c r="H42" s="2"/>
      <c r="I42" s="2"/>
      <c r="J42" s="2"/>
    </row>
    <row r="43" spans="1:11" ht="19.95" customHeight="1" thickBot="1" x14ac:dyDescent="0.35">
      <c r="A43" s="454" t="s">
        <v>49</v>
      </c>
      <c r="B43" s="458"/>
      <c r="C43" s="458"/>
      <c r="D43" s="458"/>
      <c r="E43" s="459"/>
      <c r="G43" s="58"/>
      <c r="H43" s="41"/>
      <c r="I43" s="41"/>
      <c r="J43" s="41"/>
      <c r="K43" s="58"/>
    </row>
    <row r="44" spans="1:11" ht="19.95" customHeight="1" thickBot="1" x14ac:dyDescent="0.35">
      <c r="A44" s="65" t="s">
        <v>30</v>
      </c>
      <c r="B44" s="66" t="s">
        <v>31</v>
      </c>
      <c r="C44" s="65" t="s">
        <v>25</v>
      </c>
      <c r="D44" s="67" t="s">
        <v>27</v>
      </c>
      <c r="E44" s="68" t="s">
        <v>18</v>
      </c>
      <c r="G44" s="58"/>
      <c r="H44" s="41"/>
      <c r="I44" s="41"/>
      <c r="J44" s="41"/>
      <c r="K44" s="58"/>
    </row>
    <row r="45" spans="1:11" ht="19.95" customHeight="1" x14ac:dyDescent="0.3">
      <c r="A45" s="376"/>
      <c r="B45" s="377"/>
      <c r="C45" s="12">
        <f>IF((ISBLANK(A45)=TRUE),0,DATEDIF(A45,B45+1,"Y"))</f>
        <v>0</v>
      </c>
      <c r="D45" s="13">
        <f t="shared" ref="D45:D55" si="9">IF((ISBLANK(A45)=TRUE),0,DATEDIF(A45,B45+1,"YM"))</f>
        <v>0</v>
      </c>
      <c r="E45" s="14">
        <f t="shared" ref="E45:E55" si="10">IF((ISBLANK(A45)=TRUE),0,DATEDIF(A45,B45+1,"MD"))</f>
        <v>0</v>
      </c>
      <c r="G45" s="58"/>
      <c r="H45" s="41"/>
      <c r="I45" s="41"/>
      <c r="J45" s="41"/>
      <c r="K45" s="58"/>
    </row>
    <row r="46" spans="1:11" ht="19.95" customHeight="1" x14ac:dyDescent="0.3">
      <c r="A46" s="378"/>
      <c r="B46" s="379"/>
      <c r="C46" s="16">
        <f>IF((ISBLANK(A46)=TRUE),0,DATEDIF(A46,B46+1,"Y"))</f>
        <v>0</v>
      </c>
      <c r="D46" s="17">
        <f t="shared" si="9"/>
        <v>0</v>
      </c>
      <c r="E46" s="18">
        <f t="shared" si="10"/>
        <v>0</v>
      </c>
      <c r="G46" s="434"/>
      <c r="H46" s="434"/>
      <c r="I46" s="41"/>
      <c r="J46" s="41"/>
      <c r="K46" s="58"/>
    </row>
    <row r="47" spans="1:11" ht="19.95" customHeight="1" x14ac:dyDescent="0.3">
      <c r="A47" s="378"/>
      <c r="B47" s="379"/>
      <c r="C47" s="16">
        <f>IF((ISBLANK(A47)=TRUE),0,DATEDIF(A47,B47+1,"Y"))</f>
        <v>0</v>
      </c>
      <c r="D47" s="17">
        <f t="shared" si="9"/>
        <v>0</v>
      </c>
      <c r="E47" s="18">
        <f t="shared" si="10"/>
        <v>0</v>
      </c>
      <c r="G47" s="58"/>
      <c r="H47" s="41"/>
      <c r="I47" s="41"/>
      <c r="J47" s="41"/>
      <c r="K47" s="58"/>
    </row>
    <row r="48" spans="1:11" ht="19.95" customHeight="1" x14ac:dyDescent="0.3">
      <c r="A48" s="378"/>
      <c r="B48" s="379"/>
      <c r="C48" s="16">
        <f t="shared" ref="C48:C55" si="11">IF((ISBLANK(A48)=TRUE),0,DATEDIF(A48,B48+1,"Y"))</f>
        <v>0</v>
      </c>
      <c r="D48" s="17">
        <f t="shared" si="9"/>
        <v>0</v>
      </c>
      <c r="E48" s="18">
        <f t="shared" si="10"/>
        <v>0</v>
      </c>
      <c r="G48" s="450"/>
      <c r="H48" s="450"/>
      <c r="I48" s="450"/>
      <c r="J48" s="450"/>
      <c r="K48" s="58"/>
    </row>
    <row r="49" spans="1:11" ht="19.95" customHeight="1" x14ac:dyDescent="0.3">
      <c r="A49" s="378"/>
      <c r="B49" s="379"/>
      <c r="C49" s="16">
        <f t="shared" si="11"/>
        <v>0</v>
      </c>
      <c r="D49" s="17">
        <f t="shared" si="9"/>
        <v>0</v>
      </c>
      <c r="E49" s="18">
        <f t="shared" si="10"/>
        <v>0</v>
      </c>
      <c r="G49" s="451"/>
      <c r="H49" s="451"/>
      <c r="I49" s="451"/>
      <c r="J49" s="451"/>
      <c r="K49" s="58"/>
    </row>
    <row r="50" spans="1:11" ht="19.95" customHeight="1" x14ac:dyDescent="0.3">
      <c r="A50" s="378"/>
      <c r="B50" s="379"/>
      <c r="C50" s="16">
        <f t="shared" si="11"/>
        <v>0</v>
      </c>
      <c r="D50" s="17">
        <f t="shared" si="9"/>
        <v>0</v>
      </c>
      <c r="E50" s="18">
        <f t="shared" si="10"/>
        <v>0</v>
      </c>
      <c r="G50" s="456"/>
      <c r="H50" s="456"/>
      <c r="I50" s="456"/>
      <c r="J50" s="456"/>
      <c r="K50" s="58"/>
    </row>
    <row r="51" spans="1:11" ht="19.95" customHeight="1" x14ac:dyDescent="0.3">
      <c r="A51" s="378"/>
      <c r="B51" s="379"/>
      <c r="C51" s="16">
        <f t="shared" si="11"/>
        <v>0</v>
      </c>
      <c r="D51" s="17">
        <f t="shared" si="9"/>
        <v>0</v>
      </c>
      <c r="E51" s="18">
        <f t="shared" si="10"/>
        <v>0</v>
      </c>
      <c r="G51" s="457"/>
      <c r="H51" s="457"/>
      <c r="I51" s="457"/>
      <c r="J51" s="457"/>
      <c r="K51" s="58"/>
    </row>
    <row r="52" spans="1:11" ht="19.95" customHeight="1" x14ac:dyDescent="0.3">
      <c r="A52" s="378"/>
      <c r="B52" s="379"/>
      <c r="C52" s="16">
        <f t="shared" si="11"/>
        <v>0</v>
      </c>
      <c r="D52" s="17">
        <f t="shared" si="9"/>
        <v>0</v>
      </c>
      <c r="E52" s="18">
        <f t="shared" si="10"/>
        <v>0</v>
      </c>
      <c r="G52" s="457"/>
      <c r="H52" s="457"/>
      <c r="I52" s="457"/>
      <c r="J52" s="457"/>
      <c r="K52" s="58"/>
    </row>
    <row r="53" spans="1:11" ht="19.95" customHeight="1" x14ac:dyDescent="0.3">
      <c r="A53" s="378"/>
      <c r="B53" s="379"/>
      <c r="C53" s="16">
        <f t="shared" si="11"/>
        <v>0</v>
      </c>
      <c r="D53" s="17">
        <f t="shared" si="9"/>
        <v>0</v>
      </c>
      <c r="E53" s="18">
        <f t="shared" si="10"/>
        <v>0</v>
      </c>
      <c r="G53" s="457"/>
      <c r="H53" s="457"/>
      <c r="I53" s="457"/>
      <c r="J53" s="457"/>
      <c r="K53" s="58"/>
    </row>
    <row r="54" spans="1:11" ht="19.95" customHeight="1" x14ac:dyDescent="0.3">
      <c r="A54" s="378"/>
      <c r="B54" s="379"/>
      <c r="C54" s="16">
        <f t="shared" si="11"/>
        <v>0</v>
      </c>
      <c r="D54" s="17">
        <f t="shared" si="9"/>
        <v>0</v>
      </c>
      <c r="E54" s="18">
        <f t="shared" si="10"/>
        <v>0</v>
      </c>
      <c r="G54" s="457"/>
      <c r="H54" s="457"/>
      <c r="I54" s="457"/>
      <c r="J54" s="457"/>
      <c r="K54" s="58"/>
    </row>
    <row r="55" spans="1:11" ht="19.95" customHeight="1" thickBot="1" x14ac:dyDescent="0.35">
      <c r="A55" s="380"/>
      <c r="B55" s="381"/>
      <c r="C55" s="43">
        <f t="shared" si="11"/>
        <v>0</v>
      </c>
      <c r="D55" s="44">
        <f t="shared" si="9"/>
        <v>0</v>
      </c>
      <c r="E55" s="45">
        <f t="shared" si="10"/>
        <v>0</v>
      </c>
      <c r="G55" s="457"/>
      <c r="H55" s="457"/>
      <c r="I55" s="457"/>
      <c r="J55" s="457"/>
      <c r="K55" s="58"/>
    </row>
    <row r="56" spans="1:11" ht="19.95" customHeight="1" thickBot="1" x14ac:dyDescent="0.35">
      <c r="A56" s="454" t="s">
        <v>28</v>
      </c>
      <c r="B56" s="455"/>
      <c r="C56" s="69">
        <f>SUM(C45:C55)+INT((SUM(D45:D55)+INT(SUM(E45:E55)/30))/12)</f>
        <v>0</v>
      </c>
      <c r="D56" s="70">
        <f>MOD(SUM(D45:D55)+INT(SUM(E45:E55)/30),12)</f>
        <v>0</v>
      </c>
      <c r="E56" s="71">
        <f>MOD(SUM(E45:E55),30)</f>
        <v>0</v>
      </c>
      <c r="G56" s="58"/>
      <c r="H56" s="41"/>
      <c r="I56" s="41"/>
      <c r="J56" s="41"/>
      <c r="K56" s="58"/>
    </row>
    <row r="57" spans="1:11" ht="19.95" customHeight="1" thickBot="1" x14ac:dyDescent="0.35">
      <c r="A57" s="63"/>
      <c r="B57" s="63"/>
      <c r="C57" s="64"/>
      <c r="D57" s="64"/>
      <c r="E57" s="64"/>
      <c r="G57" s="419"/>
      <c r="H57" s="419"/>
      <c r="I57" s="419"/>
      <c r="J57" s="419"/>
      <c r="K57" s="58"/>
    </row>
    <row r="58" spans="1:11" ht="33.6" customHeight="1" thickBot="1" x14ac:dyDescent="0.35">
      <c r="A58" s="425" t="s">
        <v>91</v>
      </c>
      <c r="B58" s="432"/>
      <c r="C58" s="432"/>
      <c r="D58" s="432"/>
      <c r="E58" s="433"/>
      <c r="G58" s="419"/>
      <c r="H58" s="419"/>
      <c r="I58" s="419"/>
      <c r="J58" s="419"/>
      <c r="K58" s="58"/>
    </row>
    <row r="59" spans="1:11" ht="19.95" customHeight="1" thickBot="1" x14ac:dyDescent="0.35">
      <c r="A59" s="73" t="s">
        <v>30</v>
      </c>
      <c r="B59" s="74" t="s">
        <v>31</v>
      </c>
      <c r="C59" s="73" t="s">
        <v>25</v>
      </c>
      <c r="D59" s="75" t="s">
        <v>27</v>
      </c>
      <c r="E59" s="76" t="s">
        <v>18</v>
      </c>
      <c r="G59" s="58"/>
      <c r="H59" s="58"/>
      <c r="I59" s="58"/>
      <c r="J59" s="58"/>
      <c r="K59" s="58"/>
    </row>
    <row r="60" spans="1:11" ht="19.95" customHeight="1" x14ac:dyDescent="0.3">
      <c r="A60" s="376"/>
      <c r="B60" s="377"/>
      <c r="C60" s="12">
        <f>IF( B60&gt;$B$93,"błąd",IF((ISBLANK(A60)=TRUE),0,DATEDIF(A60,B60+1,"Y")))</f>
        <v>0</v>
      </c>
      <c r="D60" s="13">
        <f>IF(B60&gt;$B$93, "błąd",IF((ISBLANK(A60)=TRUE),0,DATEDIF(A60,B60+1,"YM")))</f>
        <v>0</v>
      </c>
      <c r="E60" s="14">
        <f>IF(B60&gt;$B$93,"błąd",IF((ISBLANK(A60)=TRUE),0,DATEDIF(A60,B60+1,"MD")))</f>
        <v>0</v>
      </c>
      <c r="G60" s="58"/>
      <c r="H60" s="58"/>
      <c r="I60" s="58"/>
      <c r="J60" s="58"/>
      <c r="K60" s="58"/>
    </row>
    <row r="61" spans="1:11" ht="19.95" customHeight="1" x14ac:dyDescent="0.3">
      <c r="A61" s="378"/>
      <c r="B61" s="379"/>
      <c r="C61" s="77">
        <f>IF( B61&gt;$B$93,"błąd",IF((ISBLANK(A61)=TRUE),0,DATEDIF(A61,B61+1,"Y")))</f>
        <v>0</v>
      </c>
      <c r="D61" s="78">
        <f>IF(B61&gt;$B$93, "błąd",IF((ISBLANK(A61)=TRUE),0,DATEDIF(A61,B61+1,"YM")))</f>
        <v>0</v>
      </c>
      <c r="E61" s="79">
        <f>IF(B61&gt;$B$93,"błąd",IF((ISBLANK(A61)=TRUE),0,DATEDIF(A61,B61+1,"MD")))</f>
        <v>0</v>
      </c>
      <c r="G61" s="58"/>
      <c r="H61" s="58"/>
      <c r="I61" s="58"/>
      <c r="J61" s="58"/>
      <c r="K61" s="58"/>
    </row>
    <row r="62" spans="1:11" ht="19.95" customHeight="1" x14ac:dyDescent="0.3">
      <c r="A62" s="378"/>
      <c r="B62" s="379"/>
      <c r="C62" s="77">
        <f t="shared" ref="C62:C88" si="12">IF( B62&gt;$B$93,"błąd",IF((ISBLANK(A62)=TRUE),0,DATEDIF(A62,B62+1,"Y")))</f>
        <v>0</v>
      </c>
      <c r="D62" s="78">
        <f t="shared" ref="D62:D88" si="13">IF(B62&gt;$B$93, "błąd",IF((ISBLANK(A62)=TRUE),0,DATEDIF(A62,B62+1,"YM")))</f>
        <v>0</v>
      </c>
      <c r="E62" s="79">
        <f t="shared" ref="E62:E88" si="14">IF(B62&gt;$B$93,"błąd",IF((ISBLANK(A62)=TRUE),0,DATEDIF(A62,B62+1,"MD")))</f>
        <v>0</v>
      </c>
      <c r="G62" s="58"/>
      <c r="H62" s="58"/>
      <c r="I62" s="58"/>
      <c r="J62" s="58"/>
      <c r="K62" s="58"/>
    </row>
    <row r="63" spans="1:11" ht="19.95" customHeight="1" x14ac:dyDescent="0.3">
      <c r="A63" s="378"/>
      <c r="B63" s="379"/>
      <c r="C63" s="77">
        <f t="shared" si="12"/>
        <v>0</v>
      </c>
      <c r="D63" s="78">
        <f t="shared" si="13"/>
        <v>0</v>
      </c>
      <c r="E63" s="79">
        <f t="shared" si="14"/>
        <v>0</v>
      </c>
      <c r="G63" s="58"/>
      <c r="H63" s="58"/>
      <c r="I63" s="58"/>
      <c r="J63" s="58"/>
      <c r="K63" s="58"/>
    </row>
    <row r="64" spans="1:11" ht="19.95" customHeight="1" x14ac:dyDescent="0.3">
      <c r="A64" s="378"/>
      <c r="B64" s="379"/>
      <c r="C64" s="77">
        <f t="shared" si="12"/>
        <v>0</v>
      </c>
      <c r="D64" s="78">
        <f t="shared" si="13"/>
        <v>0</v>
      </c>
      <c r="E64" s="79">
        <f t="shared" si="14"/>
        <v>0</v>
      </c>
      <c r="G64" s="58"/>
      <c r="H64" s="58"/>
      <c r="I64" s="58"/>
      <c r="J64" s="58"/>
      <c r="K64" s="58"/>
    </row>
    <row r="65" spans="1:11" ht="19.95" customHeight="1" x14ac:dyDescent="0.3">
      <c r="A65" s="378"/>
      <c r="B65" s="379"/>
      <c r="C65" s="77">
        <f t="shared" si="12"/>
        <v>0</v>
      </c>
      <c r="D65" s="78">
        <f t="shared" si="13"/>
        <v>0</v>
      </c>
      <c r="E65" s="79">
        <f t="shared" si="14"/>
        <v>0</v>
      </c>
      <c r="G65" s="58"/>
      <c r="H65" s="58"/>
      <c r="I65" s="58"/>
      <c r="J65" s="58"/>
      <c r="K65" s="58"/>
    </row>
    <row r="66" spans="1:11" ht="19.95" customHeight="1" x14ac:dyDescent="0.3">
      <c r="A66" s="378"/>
      <c r="B66" s="379"/>
      <c r="C66" s="77">
        <f t="shared" si="12"/>
        <v>0</v>
      </c>
      <c r="D66" s="78">
        <f t="shared" si="13"/>
        <v>0</v>
      </c>
      <c r="E66" s="79">
        <f t="shared" si="14"/>
        <v>0</v>
      </c>
      <c r="G66" s="58"/>
      <c r="H66" s="58"/>
      <c r="I66" s="58"/>
      <c r="J66" s="58"/>
      <c r="K66" s="58"/>
    </row>
    <row r="67" spans="1:11" ht="19.95" customHeight="1" x14ac:dyDescent="0.3">
      <c r="A67" s="378"/>
      <c r="B67" s="379"/>
      <c r="C67" s="77">
        <f t="shared" si="12"/>
        <v>0</v>
      </c>
      <c r="D67" s="78">
        <f t="shared" si="13"/>
        <v>0</v>
      </c>
      <c r="E67" s="79">
        <f t="shared" si="14"/>
        <v>0</v>
      </c>
      <c r="G67" s="58"/>
      <c r="H67" s="58"/>
      <c r="I67" s="58"/>
      <c r="J67" s="58"/>
      <c r="K67" s="58"/>
    </row>
    <row r="68" spans="1:11" ht="19.95" customHeight="1" x14ac:dyDescent="0.3">
      <c r="A68" s="378"/>
      <c r="B68" s="379"/>
      <c r="C68" s="77">
        <f t="shared" si="12"/>
        <v>0</v>
      </c>
      <c r="D68" s="78">
        <f t="shared" si="13"/>
        <v>0</v>
      </c>
      <c r="E68" s="79">
        <f t="shared" si="14"/>
        <v>0</v>
      </c>
      <c r="G68" s="58"/>
      <c r="H68" s="58"/>
      <c r="I68" s="58"/>
      <c r="J68" s="58"/>
      <c r="K68" s="58"/>
    </row>
    <row r="69" spans="1:11" ht="19.95" customHeight="1" x14ac:dyDescent="0.3">
      <c r="A69" s="378"/>
      <c r="B69" s="379"/>
      <c r="C69" s="77">
        <f t="shared" si="12"/>
        <v>0</v>
      </c>
      <c r="D69" s="78">
        <f t="shared" si="13"/>
        <v>0</v>
      </c>
      <c r="E69" s="79">
        <f t="shared" si="14"/>
        <v>0</v>
      </c>
      <c r="G69" s="58"/>
      <c r="H69" s="58"/>
      <c r="I69" s="58"/>
      <c r="J69" s="58"/>
      <c r="K69" s="58"/>
    </row>
    <row r="70" spans="1:11" ht="19.95" customHeight="1" x14ac:dyDescent="0.3">
      <c r="A70" s="378"/>
      <c r="B70" s="379"/>
      <c r="C70" s="77">
        <f t="shared" si="12"/>
        <v>0</v>
      </c>
      <c r="D70" s="78">
        <f t="shared" si="13"/>
        <v>0</v>
      </c>
      <c r="E70" s="79">
        <f t="shared" si="14"/>
        <v>0</v>
      </c>
      <c r="G70" s="58"/>
      <c r="H70" s="58"/>
      <c r="I70" s="58"/>
      <c r="J70" s="58"/>
      <c r="K70" s="58"/>
    </row>
    <row r="71" spans="1:11" ht="19.95" customHeight="1" x14ac:dyDescent="0.3">
      <c r="A71" s="378"/>
      <c r="B71" s="379"/>
      <c r="C71" s="77">
        <f t="shared" si="12"/>
        <v>0</v>
      </c>
      <c r="D71" s="78">
        <f t="shared" si="13"/>
        <v>0</v>
      </c>
      <c r="E71" s="79">
        <f t="shared" si="14"/>
        <v>0</v>
      </c>
      <c r="G71" s="58"/>
      <c r="H71" s="58"/>
      <c r="I71" s="58"/>
      <c r="J71" s="58"/>
      <c r="K71" s="58"/>
    </row>
    <row r="72" spans="1:11" ht="19.95" customHeight="1" x14ac:dyDescent="0.3">
      <c r="A72" s="378"/>
      <c r="B72" s="379"/>
      <c r="C72" s="77">
        <f t="shared" si="12"/>
        <v>0</v>
      </c>
      <c r="D72" s="78">
        <f t="shared" si="13"/>
        <v>0</v>
      </c>
      <c r="E72" s="79">
        <f t="shared" si="14"/>
        <v>0</v>
      </c>
      <c r="G72" s="58"/>
      <c r="H72" s="58"/>
      <c r="I72" s="58"/>
      <c r="J72" s="58"/>
      <c r="K72" s="58"/>
    </row>
    <row r="73" spans="1:11" ht="19.95" customHeight="1" x14ac:dyDescent="0.3">
      <c r="A73" s="378"/>
      <c r="B73" s="379"/>
      <c r="C73" s="77">
        <f t="shared" si="12"/>
        <v>0</v>
      </c>
      <c r="D73" s="78">
        <f t="shared" si="13"/>
        <v>0</v>
      </c>
      <c r="E73" s="79">
        <f t="shared" si="14"/>
        <v>0</v>
      </c>
      <c r="G73" s="58"/>
      <c r="H73" s="58"/>
      <c r="I73" s="58"/>
      <c r="J73" s="58"/>
      <c r="K73" s="58"/>
    </row>
    <row r="74" spans="1:11" ht="19.95" customHeight="1" x14ac:dyDescent="0.3">
      <c r="A74" s="378"/>
      <c r="B74" s="379"/>
      <c r="C74" s="77">
        <f t="shared" si="12"/>
        <v>0</v>
      </c>
      <c r="D74" s="78">
        <f t="shared" si="13"/>
        <v>0</v>
      </c>
      <c r="E74" s="79">
        <f t="shared" si="14"/>
        <v>0</v>
      </c>
      <c r="G74" s="58"/>
      <c r="H74" s="58"/>
      <c r="I74" s="58"/>
      <c r="J74" s="58"/>
      <c r="K74" s="58"/>
    </row>
    <row r="75" spans="1:11" ht="19.95" customHeight="1" x14ac:dyDescent="0.3">
      <c r="A75" s="378"/>
      <c r="B75" s="379"/>
      <c r="C75" s="77">
        <f t="shared" si="12"/>
        <v>0</v>
      </c>
      <c r="D75" s="78">
        <f t="shared" si="13"/>
        <v>0</v>
      </c>
      <c r="E75" s="79">
        <f t="shared" si="14"/>
        <v>0</v>
      </c>
      <c r="G75" s="58"/>
      <c r="H75" s="58"/>
      <c r="I75" s="58"/>
      <c r="J75" s="58"/>
      <c r="K75" s="58"/>
    </row>
    <row r="76" spans="1:11" ht="19.95" customHeight="1" x14ac:dyDescent="0.3">
      <c r="A76" s="378"/>
      <c r="B76" s="379"/>
      <c r="C76" s="77">
        <f t="shared" si="12"/>
        <v>0</v>
      </c>
      <c r="D76" s="78">
        <f t="shared" si="13"/>
        <v>0</v>
      </c>
      <c r="E76" s="79">
        <f t="shared" si="14"/>
        <v>0</v>
      </c>
      <c r="G76" s="58"/>
      <c r="H76" s="58"/>
      <c r="I76" s="58"/>
      <c r="J76" s="58"/>
      <c r="K76" s="58"/>
    </row>
    <row r="77" spans="1:11" ht="19.95" customHeight="1" x14ac:dyDescent="0.3">
      <c r="A77" s="378"/>
      <c r="B77" s="379"/>
      <c r="C77" s="77">
        <f t="shared" si="12"/>
        <v>0</v>
      </c>
      <c r="D77" s="78">
        <f t="shared" si="13"/>
        <v>0</v>
      </c>
      <c r="E77" s="79">
        <f t="shared" si="14"/>
        <v>0</v>
      </c>
      <c r="G77" s="58"/>
      <c r="H77" s="58"/>
      <c r="I77" s="58"/>
      <c r="J77" s="58"/>
      <c r="K77" s="58"/>
    </row>
    <row r="78" spans="1:11" ht="19.95" customHeight="1" x14ac:dyDescent="0.3">
      <c r="A78" s="378"/>
      <c r="B78" s="379"/>
      <c r="C78" s="77">
        <f t="shared" si="12"/>
        <v>0</v>
      </c>
      <c r="D78" s="78">
        <f t="shared" si="13"/>
        <v>0</v>
      </c>
      <c r="E78" s="79">
        <f t="shared" si="14"/>
        <v>0</v>
      </c>
      <c r="G78" s="58"/>
      <c r="H78" s="58"/>
      <c r="I78" s="58"/>
      <c r="J78" s="58"/>
      <c r="K78" s="58"/>
    </row>
    <row r="79" spans="1:11" ht="19.95" customHeight="1" x14ac:dyDescent="0.3">
      <c r="A79" s="378"/>
      <c r="B79" s="379"/>
      <c r="C79" s="77">
        <f t="shared" si="12"/>
        <v>0</v>
      </c>
      <c r="D79" s="78">
        <f t="shared" si="13"/>
        <v>0</v>
      </c>
      <c r="E79" s="79">
        <f t="shared" si="14"/>
        <v>0</v>
      </c>
      <c r="G79" s="58"/>
      <c r="H79" s="58"/>
      <c r="I79" s="58"/>
      <c r="J79" s="58"/>
      <c r="K79" s="58"/>
    </row>
    <row r="80" spans="1:11" ht="19.95" customHeight="1" x14ac:dyDescent="0.3">
      <c r="A80" s="378"/>
      <c r="B80" s="379"/>
      <c r="C80" s="77">
        <f t="shared" si="12"/>
        <v>0</v>
      </c>
      <c r="D80" s="78">
        <f t="shared" si="13"/>
        <v>0</v>
      </c>
      <c r="E80" s="79">
        <f t="shared" si="14"/>
        <v>0</v>
      </c>
      <c r="G80" s="58"/>
      <c r="H80" s="58"/>
      <c r="I80" s="58"/>
      <c r="J80" s="58"/>
      <c r="K80" s="58"/>
    </row>
    <row r="81" spans="1:11" ht="19.95" customHeight="1" x14ac:dyDescent="0.3">
      <c r="A81" s="378"/>
      <c r="B81" s="379"/>
      <c r="C81" s="77">
        <f t="shared" si="12"/>
        <v>0</v>
      </c>
      <c r="D81" s="78">
        <f t="shared" si="13"/>
        <v>0</v>
      </c>
      <c r="E81" s="79">
        <f t="shared" si="14"/>
        <v>0</v>
      </c>
      <c r="G81" s="58"/>
      <c r="H81" s="58"/>
      <c r="I81" s="58"/>
      <c r="J81" s="58"/>
      <c r="K81" s="58"/>
    </row>
    <row r="82" spans="1:11" ht="19.95" customHeight="1" x14ac:dyDescent="0.3">
      <c r="A82" s="378"/>
      <c r="B82" s="379"/>
      <c r="C82" s="77">
        <f t="shared" si="12"/>
        <v>0</v>
      </c>
      <c r="D82" s="78">
        <f t="shared" si="13"/>
        <v>0</v>
      </c>
      <c r="E82" s="79">
        <f t="shared" si="14"/>
        <v>0</v>
      </c>
      <c r="G82" s="58"/>
      <c r="H82" s="58"/>
      <c r="I82" s="58"/>
      <c r="J82" s="58"/>
      <c r="K82" s="58"/>
    </row>
    <row r="83" spans="1:11" ht="19.95" customHeight="1" x14ac:dyDescent="0.3">
      <c r="A83" s="378"/>
      <c r="B83" s="379"/>
      <c r="C83" s="77">
        <f t="shared" si="12"/>
        <v>0</v>
      </c>
      <c r="D83" s="78">
        <f t="shared" si="13"/>
        <v>0</v>
      </c>
      <c r="E83" s="79">
        <f t="shared" si="14"/>
        <v>0</v>
      </c>
      <c r="G83" s="58"/>
      <c r="H83" s="58"/>
      <c r="I83" s="58"/>
      <c r="J83" s="58"/>
      <c r="K83" s="58"/>
    </row>
    <row r="84" spans="1:11" ht="19.95" customHeight="1" x14ac:dyDescent="0.3">
      <c r="A84" s="378"/>
      <c r="B84" s="379"/>
      <c r="C84" s="77">
        <f t="shared" si="12"/>
        <v>0</v>
      </c>
      <c r="D84" s="78">
        <f t="shared" si="13"/>
        <v>0</v>
      </c>
      <c r="E84" s="79">
        <f t="shared" si="14"/>
        <v>0</v>
      </c>
      <c r="G84" s="58"/>
      <c r="H84" s="58"/>
      <c r="I84" s="58"/>
      <c r="J84" s="58"/>
      <c r="K84" s="58"/>
    </row>
    <row r="85" spans="1:11" ht="19.95" customHeight="1" x14ac:dyDescent="0.3">
      <c r="A85" s="378"/>
      <c r="B85" s="379"/>
      <c r="C85" s="77">
        <f t="shared" si="12"/>
        <v>0</v>
      </c>
      <c r="D85" s="78">
        <f t="shared" si="13"/>
        <v>0</v>
      </c>
      <c r="E85" s="79">
        <f t="shared" si="14"/>
        <v>0</v>
      </c>
      <c r="G85" s="58"/>
      <c r="H85" s="58"/>
      <c r="I85" s="58"/>
      <c r="J85" s="58"/>
      <c r="K85" s="58"/>
    </row>
    <row r="86" spans="1:11" ht="19.95" customHeight="1" x14ac:dyDescent="0.3">
      <c r="A86" s="378"/>
      <c r="B86" s="379"/>
      <c r="C86" s="77">
        <f t="shared" si="12"/>
        <v>0</v>
      </c>
      <c r="D86" s="78">
        <f t="shared" si="13"/>
        <v>0</v>
      </c>
      <c r="E86" s="79">
        <f t="shared" si="14"/>
        <v>0</v>
      </c>
      <c r="G86" s="58"/>
      <c r="H86" s="58"/>
      <c r="I86" s="58"/>
      <c r="J86" s="58"/>
      <c r="K86" s="58"/>
    </row>
    <row r="87" spans="1:11" ht="19.95" customHeight="1" x14ac:dyDescent="0.3">
      <c r="A87" s="378"/>
      <c r="B87" s="379"/>
      <c r="C87" s="77">
        <f t="shared" si="12"/>
        <v>0</v>
      </c>
      <c r="D87" s="78">
        <f t="shared" si="13"/>
        <v>0</v>
      </c>
      <c r="E87" s="79">
        <f t="shared" si="14"/>
        <v>0</v>
      </c>
      <c r="G87" s="58"/>
      <c r="H87" s="58"/>
      <c r="I87" s="58"/>
      <c r="J87" s="58"/>
      <c r="K87" s="58"/>
    </row>
    <row r="88" spans="1:11" ht="19.95" customHeight="1" x14ac:dyDescent="0.3">
      <c r="A88" s="378"/>
      <c r="B88" s="379"/>
      <c r="C88" s="77">
        <f t="shared" si="12"/>
        <v>0</v>
      </c>
      <c r="D88" s="78">
        <f t="shared" si="13"/>
        <v>0</v>
      </c>
      <c r="E88" s="79">
        <f t="shared" si="14"/>
        <v>0</v>
      </c>
      <c r="G88" s="58"/>
      <c r="H88" s="58"/>
      <c r="I88" s="58"/>
      <c r="J88" s="58"/>
      <c r="K88" s="58"/>
    </row>
    <row r="89" spans="1:11" ht="19.95" customHeight="1" x14ac:dyDescent="0.3">
      <c r="A89" s="378"/>
      <c r="B89" s="379"/>
      <c r="C89" s="77">
        <f>IF( B89&gt;$B$93,"błąd",IF((ISBLANK(A89)=TRUE),0,DATEDIF(A89,B89+1,"Y")))</f>
        <v>0</v>
      </c>
      <c r="D89" s="78">
        <f>IF(B89&gt;$B$93, "błąd",IF((ISBLANK(A89)=TRUE),0,DATEDIF(A89,B89+1,"YM")))</f>
        <v>0</v>
      </c>
      <c r="E89" s="79">
        <f>IF(B89&gt;$B$93,"błąd",IF((ISBLANK(A89)=TRUE),0,DATEDIF(A89,B89+1,"MD")))</f>
        <v>0</v>
      </c>
      <c r="G89" s="58"/>
      <c r="H89" s="58"/>
      <c r="I89" s="58"/>
      <c r="J89" s="58"/>
      <c r="K89" s="58"/>
    </row>
    <row r="90" spans="1:11" ht="19.95" customHeight="1" thickBot="1" x14ac:dyDescent="0.35">
      <c r="A90" s="380"/>
      <c r="B90" s="381"/>
      <c r="C90" s="77">
        <f>IF( B90&gt;$B$93,"błąd",IF((ISBLANK(A90)=TRUE),0,DATEDIF(A90,B90+1,"Y")))</f>
        <v>0</v>
      </c>
      <c r="D90" s="78">
        <f>IF(B90&gt;$B$93, "błąd",IF((ISBLANK(A90)=TRUE),0,DATEDIF(A90,B90+1,"YM")))</f>
        <v>0</v>
      </c>
      <c r="E90" s="79">
        <f>IF(B90&gt;$B$93,"błąd",IF((ISBLANK(A90)=TRUE),0,DATEDIF(A90,B90+1,"MD")))</f>
        <v>0</v>
      </c>
      <c r="G90" s="58"/>
      <c r="H90" s="58"/>
      <c r="I90" s="58"/>
      <c r="J90" s="58"/>
      <c r="K90" s="58"/>
    </row>
    <row r="91" spans="1:11" ht="19.95" customHeight="1" thickBot="1" x14ac:dyDescent="0.35">
      <c r="A91" s="431" t="s">
        <v>92</v>
      </c>
      <c r="B91" s="426"/>
      <c r="C91" s="80">
        <f>SUM(C60:C90)+INT((SUM(D60:D90)+INT(SUM(E60:E90)/30))/12)</f>
        <v>0</v>
      </c>
      <c r="D91" s="80">
        <f>MOD(SUM(D60:D90)+INT(SUM(E60:E90)/30),12)</f>
        <v>0</v>
      </c>
      <c r="E91" s="81">
        <f>MOD(SUM(E60:E90),30)</f>
        <v>0</v>
      </c>
      <c r="G91" s="58"/>
      <c r="H91" s="58"/>
      <c r="I91" s="58"/>
      <c r="J91" s="58"/>
    </row>
    <row r="92" spans="1:11" ht="19.95" customHeight="1" thickBot="1" x14ac:dyDescent="0.35">
      <c r="A92" s="429" t="s">
        <v>93</v>
      </c>
      <c r="B92" s="430"/>
      <c r="C92" s="82">
        <f>INT(C91*1.5)+INT((D91+IF(MOD(C91*1.5,1)=0.5,6,0))/12)</f>
        <v>0</v>
      </c>
      <c r="D92" s="83">
        <f>MOD((D91+IF(MOD(C91*1.5,1)=0.5,6,0)),12)</f>
        <v>0</v>
      </c>
      <c r="E92" s="84">
        <f>E91</f>
        <v>0</v>
      </c>
    </row>
    <row r="93" spans="1:11" ht="19.95" customHeight="1" x14ac:dyDescent="0.3">
      <c r="A93" s="6"/>
      <c r="B93" s="85">
        <v>41274</v>
      </c>
      <c r="C93" s="86"/>
      <c r="D93" s="86"/>
      <c r="E93" s="86"/>
    </row>
    <row r="94" spans="1:11" ht="25.95" customHeight="1" thickBot="1" x14ac:dyDescent="0.35">
      <c r="A94" s="422" t="s">
        <v>50</v>
      </c>
      <c r="B94" s="422"/>
      <c r="C94" s="422"/>
      <c r="D94" s="422"/>
      <c r="E94" s="422"/>
    </row>
    <row r="95" spans="1:11" ht="22.95" customHeight="1" thickBot="1" x14ac:dyDescent="0.35">
      <c r="A95" s="423" t="s">
        <v>51</v>
      </c>
      <c r="B95" s="424"/>
      <c r="C95" s="87">
        <f>C21</f>
        <v>0</v>
      </c>
      <c r="D95" s="88">
        <f>D21</f>
        <v>0</v>
      </c>
      <c r="E95" s="7">
        <f>E21</f>
        <v>0</v>
      </c>
    </row>
    <row r="96" spans="1:11" ht="25.2" customHeight="1" thickBot="1" x14ac:dyDescent="0.35">
      <c r="A96" s="427" t="s">
        <v>52</v>
      </c>
      <c r="B96" s="428"/>
      <c r="C96" s="89">
        <f>C92</f>
        <v>0</v>
      </c>
      <c r="D96" s="90">
        <f>D92</f>
        <v>0</v>
      </c>
      <c r="E96" s="91">
        <f>E92</f>
        <v>0</v>
      </c>
    </row>
    <row r="97" spans="1:5" ht="28.95" customHeight="1" thickBot="1" x14ac:dyDescent="0.35">
      <c r="A97" s="420" t="s">
        <v>66</v>
      </c>
      <c r="B97" s="421"/>
      <c r="C97" s="92">
        <f>SUM(C95:C96)+INT((SUM(D95:D96)+INT(SUM(E95:E96)/30))/12)</f>
        <v>0</v>
      </c>
      <c r="D97" s="93">
        <f>MOD((D95+D96)+INT((E95+E96)/30),12)</f>
        <v>0</v>
      </c>
      <c r="E97" s="94">
        <f>MOD((E95+E96),30)</f>
        <v>0</v>
      </c>
    </row>
    <row r="99" spans="1:5" ht="21.6" customHeight="1" thickBot="1" x14ac:dyDescent="0.35">
      <c r="A99" s="422" t="s">
        <v>65</v>
      </c>
      <c r="B99" s="422"/>
      <c r="C99" s="422"/>
      <c r="D99" s="422"/>
      <c r="E99" s="422"/>
    </row>
    <row r="100" spans="1:5" ht="30.6" customHeight="1" thickBot="1" x14ac:dyDescent="0.35">
      <c r="A100" s="423" t="s">
        <v>51</v>
      </c>
      <c r="B100" s="424"/>
      <c r="C100" s="88">
        <f>C21</f>
        <v>0</v>
      </c>
      <c r="D100" s="88">
        <f t="shared" ref="D100:E100" si="15">D21</f>
        <v>0</v>
      </c>
      <c r="E100" s="7">
        <f t="shared" si="15"/>
        <v>0</v>
      </c>
    </row>
    <row r="101" spans="1:5" ht="32.4" customHeight="1" thickBot="1" x14ac:dyDescent="0.35">
      <c r="A101" s="425" t="s">
        <v>53</v>
      </c>
      <c r="B101" s="426"/>
      <c r="C101" s="90">
        <f>C91</f>
        <v>0</v>
      </c>
      <c r="D101" s="90">
        <f t="shared" ref="D101:E101" si="16">D91</f>
        <v>0</v>
      </c>
      <c r="E101" s="91">
        <f t="shared" si="16"/>
        <v>0</v>
      </c>
    </row>
    <row r="102" spans="1:5" ht="48.6" customHeight="1" thickBot="1" x14ac:dyDescent="0.35">
      <c r="A102" s="420" t="s">
        <v>67</v>
      </c>
      <c r="B102" s="421"/>
      <c r="C102" s="92">
        <f>SUM(C100:C101)+INT((SUM(D100:D101)+INT(SUM(E100:E101)/30))/12)</f>
        <v>0</v>
      </c>
      <c r="D102" s="93">
        <f>MOD((D100+D101)+INT((E100+E101)/30),12)</f>
        <v>0</v>
      </c>
      <c r="E102" s="94">
        <f>MOD((E100+E101),30)</f>
        <v>0</v>
      </c>
    </row>
  </sheetData>
  <sheetProtection algorithmName="SHA-512" hashValue="C+DyMQ69tIOBKEVlxDBMFqbJofAdecobY0p4Tf5jf5LMb1rsn+9s9//k/9f6ksjnj/z+ES7dV8ow0TxhZvUs2g==" saltValue="lNQ9+kEJfiXOMSK9eqYdbQ==" spinCount="100000" sheet="1" objects="1" scenarios="1"/>
  <mergeCells count="48">
    <mergeCell ref="G20:J20"/>
    <mergeCell ref="G22:K24"/>
    <mergeCell ref="G26:K28"/>
    <mergeCell ref="G2:K2"/>
    <mergeCell ref="A7:E7"/>
    <mergeCell ref="G9:G10"/>
    <mergeCell ref="G12:J12"/>
    <mergeCell ref="G18:J18"/>
    <mergeCell ref="A1:E2"/>
    <mergeCell ref="A23:E23"/>
    <mergeCell ref="A3:B3"/>
    <mergeCell ref="A4:B4"/>
    <mergeCell ref="A21:B21"/>
    <mergeCell ref="E4:E5"/>
    <mergeCell ref="A8:E8"/>
    <mergeCell ref="A5:B5"/>
    <mergeCell ref="G48:J48"/>
    <mergeCell ref="G49:J49"/>
    <mergeCell ref="A41:B41"/>
    <mergeCell ref="A56:B56"/>
    <mergeCell ref="G50:J50"/>
    <mergeCell ref="G51:J51"/>
    <mergeCell ref="G52:J52"/>
    <mergeCell ref="G53:J53"/>
    <mergeCell ref="G54:J54"/>
    <mergeCell ref="G55:J55"/>
    <mergeCell ref="A43:E43"/>
    <mergeCell ref="H7:J7"/>
    <mergeCell ref="G13:J13"/>
    <mergeCell ref="G14:J14"/>
    <mergeCell ref="G15:J15"/>
    <mergeCell ref="G16:J16"/>
    <mergeCell ref="G17:J17"/>
    <mergeCell ref="G19:J19"/>
    <mergeCell ref="G57:J57"/>
    <mergeCell ref="G58:J58"/>
    <mergeCell ref="A102:B102"/>
    <mergeCell ref="A94:E94"/>
    <mergeCell ref="A99:E99"/>
    <mergeCell ref="A100:B100"/>
    <mergeCell ref="A101:B101"/>
    <mergeCell ref="A95:B95"/>
    <mergeCell ref="A96:B96"/>
    <mergeCell ref="A97:B97"/>
    <mergeCell ref="A92:B92"/>
    <mergeCell ref="A91:B91"/>
    <mergeCell ref="A58:E58"/>
    <mergeCell ref="G46:H46"/>
  </mergeCells>
  <conditionalFormatting sqref="K14">
    <cfRule type="expression" dxfId="37" priority="1">
      <formula>$H$10&lt;32</formula>
    </cfRule>
  </conditionalFormatting>
  <dataValidations xWindow="456" yWindow="501" count="4">
    <dataValidation type="date" allowBlank="1" showErrorMessage="1" error="Data musi być wcześniejsza od 2013-01-01" prompt="_x000a_" sqref="C4">
      <formula1>1</formula1>
      <formula2>41274</formula2>
    </dataValidation>
    <dataValidation type="date" allowBlank="1" showInputMessage="1" showErrorMessage="1" error="Data musi być wcześniejsza od 2013-01-01" prompt="Proszę wypenić pole w formacie daty, _x000a_tj.: RRRR-MM-DD, gdzie:_x000a_RRRR - rok_x000a_MM - miesiąc_x000a_DD - dzień_x000a_" sqref="C5">
      <formula1>1</formula1>
      <formula2>402133</formula2>
    </dataValidation>
    <dataValidation type="date" allowBlank="1" showInputMessage="1" showErrorMessage="1" error="Data w formacie RRRR-MM-DD" sqref="A10:A20 A25:A40 A45:A55 A60:A90">
      <formula1>1</formula1>
      <formula2>402133</formula2>
    </dataValidation>
    <dataValidation type="date" allowBlank="1" showInputMessage="1" showErrorMessage="1" error="Data w formacie RRRR-MM-DD" sqref="B10:B20 B25:B40 B45:B55 B60:B90">
      <formula1>1</formula1>
      <formula2>402133</formula2>
    </dataValidation>
  </dataValidations>
  <pageMargins left="0.70866141732283472" right="0.70866141732283472" top="0.39370078740157483" bottom="0.15748031496062992" header="0.15748031496062992" footer="0.15748031496062992"/>
  <pageSetup paperSize="9" scale="95"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456" yWindow="501" count="2">
        <x14:dataValidation type="list" allowBlank="1" showInputMessage="1" showErrorMessage="1">
          <x14:formula1>
            <xm:f>Roboczy!$A$1:$A$17</xm:f>
          </x14:formula1>
          <xm:sqref>D4</xm:sqref>
        </x14:dataValidation>
        <x14:dataValidation type="list" allowBlank="1" showInputMessage="1" showErrorMessage="1">
          <x14:formula1>
            <xm:f>Roboczy!$C$23:$C$28</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89"/>
  <sheetViews>
    <sheetView showGridLines="0" workbookViewId="0">
      <selection activeCell="G6" sqref="G6"/>
    </sheetView>
  </sheetViews>
  <sheetFormatPr defaultColWidth="8.88671875" defaultRowHeight="14.4" x14ac:dyDescent="0.3"/>
  <cols>
    <col min="1" max="1" width="19.88671875" style="2" customWidth="1"/>
    <col min="2" max="2" width="20.109375" style="2" customWidth="1"/>
    <col min="3" max="3" width="12.6640625" style="2" customWidth="1"/>
    <col min="4" max="4" width="12.44140625" style="2" customWidth="1"/>
    <col min="5" max="5" width="15.109375" style="2" customWidth="1"/>
    <col min="6" max="6" width="6.33203125" style="2" customWidth="1"/>
    <col min="7" max="7" width="64.88671875" style="49" customWidth="1"/>
    <col min="8" max="8" width="10.44140625" style="49" customWidth="1"/>
    <col min="9" max="9" width="9.33203125" style="49" customWidth="1"/>
    <col min="10" max="10" width="9.5546875" style="2" customWidth="1"/>
    <col min="11" max="11" width="21" style="2" customWidth="1"/>
    <col min="12" max="12" width="22.88671875" style="2" customWidth="1"/>
    <col min="13" max="13" width="12.6640625" style="2" customWidth="1"/>
    <col min="14" max="14" width="11.44140625" style="2" customWidth="1"/>
    <col min="15" max="15" width="11.5546875" style="2" customWidth="1"/>
    <col min="16" max="16" width="15.109375" style="2" customWidth="1"/>
    <col min="17" max="16384" width="8.88671875" style="2"/>
  </cols>
  <sheetData>
    <row r="1" spans="1:26" ht="18" customHeight="1" x14ac:dyDescent="0.3">
      <c r="A1" s="473" t="s">
        <v>89</v>
      </c>
      <c r="B1" s="473"/>
      <c r="C1" s="473"/>
      <c r="D1" s="473"/>
      <c r="E1" s="473"/>
      <c r="F1" s="126"/>
      <c r="G1" s="498" t="s">
        <v>83</v>
      </c>
      <c r="H1" s="498"/>
      <c r="I1" s="498"/>
      <c r="J1" s="498"/>
      <c r="K1" s="498"/>
      <c r="L1" s="114">
        <v>36161</v>
      </c>
      <c r="M1" s="114">
        <v>36161</v>
      </c>
      <c r="N1" s="114">
        <v>36162</v>
      </c>
      <c r="O1" s="114">
        <v>37895</v>
      </c>
      <c r="P1" s="114">
        <v>41275</v>
      </c>
      <c r="Q1" s="123"/>
      <c r="R1" s="124">
        <v>0.09</v>
      </c>
      <c r="S1" s="124">
        <v>0.12</v>
      </c>
      <c r="T1" s="125">
        <v>300</v>
      </c>
      <c r="U1" s="123"/>
      <c r="V1" s="130"/>
      <c r="W1" s="130"/>
      <c r="X1" s="123"/>
      <c r="Y1" s="123"/>
      <c r="Z1" s="116"/>
    </row>
    <row r="2" spans="1:26" ht="18.600000000000001" customHeight="1" thickBot="1" x14ac:dyDescent="0.35">
      <c r="A2" s="473"/>
      <c r="B2" s="473"/>
      <c r="C2" s="473"/>
      <c r="D2" s="473"/>
      <c r="E2" s="473"/>
      <c r="F2" s="126"/>
      <c r="G2" s="499"/>
      <c r="H2" s="499"/>
      <c r="I2" s="499"/>
      <c r="J2" s="499"/>
      <c r="K2" s="499"/>
      <c r="L2" s="114"/>
      <c r="M2" s="114"/>
      <c r="N2" s="114"/>
      <c r="O2" s="114"/>
      <c r="P2" s="114"/>
      <c r="Q2" s="123"/>
      <c r="R2" s="124"/>
      <c r="S2" s="124"/>
      <c r="T2" s="125"/>
      <c r="U2" s="123"/>
      <c r="V2" s="123"/>
      <c r="W2" s="123"/>
      <c r="X2" s="123"/>
      <c r="Y2" s="123"/>
      <c r="Z2" s="116"/>
    </row>
    <row r="3" spans="1:26" ht="31.2" customHeight="1" thickBot="1" x14ac:dyDescent="0.35">
      <c r="A3" s="494" t="s">
        <v>72</v>
      </c>
      <c r="B3" s="495"/>
      <c r="C3" s="136" t="s">
        <v>15</v>
      </c>
      <c r="D3" s="133" t="s">
        <v>0</v>
      </c>
      <c r="E3" s="135" t="s">
        <v>32</v>
      </c>
      <c r="F3" s="126"/>
      <c r="G3" s="129" t="s">
        <v>87</v>
      </c>
      <c r="H3" s="20" t="s">
        <v>16</v>
      </c>
      <c r="I3" s="21" t="s">
        <v>17</v>
      </c>
      <c r="J3" s="22" t="s">
        <v>18</v>
      </c>
      <c r="K3" s="23" t="s">
        <v>26</v>
      </c>
      <c r="L3" s="114"/>
      <c r="M3" s="114"/>
      <c r="N3" s="114"/>
      <c r="O3" s="114"/>
      <c r="P3" s="114"/>
      <c r="Q3" s="123"/>
      <c r="R3" s="124"/>
      <c r="S3" s="124"/>
      <c r="T3" s="125"/>
      <c r="U3" s="123"/>
      <c r="V3" s="123"/>
      <c r="W3" s="123"/>
      <c r="X3" s="123"/>
      <c r="Y3" s="123"/>
      <c r="Z3" s="116"/>
    </row>
    <row r="4" spans="1:26" ht="31.2" customHeight="1" thickBot="1" x14ac:dyDescent="0.35">
      <c r="A4" s="478" t="s">
        <v>81</v>
      </c>
      <c r="B4" s="479"/>
      <c r="C4" s="138"/>
      <c r="D4" s="137"/>
      <c r="E4" s="482" t="str">
        <f>IF(AND($C$4&lt;$O$1,$C$4&gt;$M$1),"art. 15aa",IF($C$4="","proszę obowiązkowo wprowadzić do komórki C4 datę wstąpienia po raz pierwszy do służby","poza zakresem"))</f>
        <v>proszę obowiązkowo wprowadzić do komórki C4 datę wstąpienia po raz pierwszy do służby</v>
      </c>
      <c r="F4" s="126"/>
      <c r="G4" s="25" t="s">
        <v>149</v>
      </c>
      <c r="H4" s="365">
        <f>$C$84</f>
        <v>0</v>
      </c>
      <c r="I4" s="366">
        <f>$D$84</f>
        <v>0</v>
      </c>
      <c r="J4" s="367">
        <f>$E$84</f>
        <v>0</v>
      </c>
      <c r="K4" s="370">
        <f>IF($C$89=0,0,IF($C$89&lt;25, "brak prawa do doliczenia okesów składkowych;
(C89)&lt;25 lat",ROUND(0.4+(H4-15)*0.026+I4*0.026/12,4)))</f>
        <v>0</v>
      </c>
      <c r="L4" s="497" t="str">
        <f>IF($C$89=0,"",IF($C$89&lt;25," (C89)&lt;25 lat;
brak 25 lat służby ustalonej
 w wymiarze pojedynczym liczonej wraz z okresami równorzędnymi ze służbą
",""))</f>
        <v/>
      </c>
      <c r="M4" s="114"/>
      <c r="N4" s="114"/>
      <c r="O4" s="114"/>
      <c r="P4" s="114"/>
      <c r="Q4" s="123"/>
      <c r="R4" s="124"/>
      <c r="S4" s="124"/>
      <c r="T4" s="125"/>
      <c r="U4" s="123"/>
      <c r="V4" s="123"/>
      <c r="W4" s="123"/>
      <c r="X4" s="123"/>
      <c r="Y4" s="123"/>
      <c r="Z4" s="116"/>
    </row>
    <row r="5" spans="1:26" ht="35.25" customHeight="1" thickBot="1" x14ac:dyDescent="0.35">
      <c r="A5" s="492" t="s">
        <v>14</v>
      </c>
      <c r="B5" s="493"/>
      <c r="C5" s="265"/>
      <c r="D5" s="134"/>
      <c r="E5" s="483"/>
      <c r="F5" s="126"/>
      <c r="G5" s="95" t="s">
        <v>34</v>
      </c>
      <c r="H5" s="368">
        <f>IF(AND($C$89&gt;=25,$C$4&gt;$M$1,$C$4&lt;$O$1),C41,0)</f>
        <v>0</v>
      </c>
      <c r="I5" s="368">
        <f>IF(AND($C$89&gt;=25,$C$4&gt;$M$1,$C$4&lt;$O$1),D41,0)</f>
        <v>0</v>
      </c>
      <c r="J5" s="368">
        <f>IF(AND($C$89&gt;=25,$C$4&gt;$M$1,$C$4&lt;$O$1),E41,0)</f>
        <v>0</v>
      </c>
      <c r="K5" s="369">
        <f>IF($C$89&lt;25,0,ROUND(H5*0.013+I5*0.013/12,4))</f>
        <v>0</v>
      </c>
      <c r="L5" s="497"/>
      <c r="M5" s="114"/>
      <c r="N5" s="114"/>
      <c r="O5" s="114"/>
      <c r="P5" s="114"/>
      <c r="Q5" s="123"/>
      <c r="R5" s="124"/>
      <c r="S5" s="124"/>
      <c r="T5" s="125"/>
      <c r="U5" s="123"/>
      <c r="V5" s="123"/>
      <c r="W5" s="123"/>
      <c r="X5" s="123"/>
      <c r="Y5" s="123"/>
      <c r="Z5" s="116"/>
    </row>
    <row r="6" spans="1:26" ht="32.25" customHeight="1" thickBot="1" x14ac:dyDescent="0.35">
      <c r="F6" s="126"/>
      <c r="G6" s="40"/>
      <c r="H6" s="435" t="s">
        <v>85</v>
      </c>
      <c r="I6" s="436"/>
      <c r="J6" s="437"/>
      <c r="K6" s="115">
        <f>MIN(SUM(K4:K5),0.75)</f>
        <v>0</v>
      </c>
      <c r="L6" s="497"/>
      <c r="M6" s="114"/>
      <c r="N6" s="114"/>
      <c r="O6" s="114"/>
      <c r="P6" s="114"/>
      <c r="Q6" s="123"/>
      <c r="R6" s="124"/>
      <c r="S6" s="124"/>
      <c r="T6" s="125"/>
      <c r="U6" s="123"/>
      <c r="V6" s="123"/>
      <c r="W6" s="123"/>
      <c r="X6" s="123"/>
      <c r="Y6" s="123"/>
      <c r="Z6" s="116"/>
    </row>
    <row r="7" spans="1:26" ht="31.2" customHeight="1" thickBot="1" x14ac:dyDescent="0.35">
      <c r="A7" s="466" t="s">
        <v>88</v>
      </c>
      <c r="B7" s="466"/>
      <c r="C7" s="466"/>
      <c r="D7" s="466"/>
      <c r="E7" s="466"/>
      <c r="G7" s="40"/>
      <c r="H7" s="41"/>
      <c r="I7" s="41"/>
      <c r="J7" s="41"/>
      <c r="K7" s="42"/>
      <c r="L7" s="114"/>
      <c r="M7" s="114"/>
      <c r="N7" s="114"/>
      <c r="O7" s="114"/>
      <c r="P7" s="114"/>
      <c r="Q7" s="123"/>
      <c r="R7" s="124"/>
      <c r="S7" s="124"/>
      <c r="T7" s="125"/>
      <c r="U7" s="123"/>
      <c r="V7" s="123"/>
      <c r="W7" s="123"/>
      <c r="X7" s="123"/>
      <c r="Y7" s="123"/>
      <c r="Z7" s="116"/>
    </row>
    <row r="8" spans="1:26" ht="22.95" customHeight="1" thickBot="1" x14ac:dyDescent="0.35">
      <c r="A8" s="484" t="s">
        <v>47</v>
      </c>
      <c r="B8" s="485"/>
      <c r="C8" s="485"/>
      <c r="D8" s="485"/>
      <c r="E8" s="486"/>
      <c r="G8" s="467" t="s">
        <v>71</v>
      </c>
      <c r="H8" s="109" t="s">
        <v>16</v>
      </c>
      <c r="I8" s="21" t="s">
        <v>17</v>
      </c>
      <c r="J8" s="110" t="s">
        <v>18</v>
      </c>
      <c r="K8" s="42"/>
      <c r="L8" s="8"/>
      <c r="M8" s="116"/>
      <c r="N8" s="116"/>
      <c r="O8" s="116"/>
      <c r="P8" s="116"/>
      <c r="Q8" s="116"/>
      <c r="R8" s="116"/>
      <c r="S8" s="116"/>
      <c r="T8" s="116"/>
      <c r="U8" s="116"/>
      <c r="V8" s="116"/>
      <c r="W8" s="116"/>
      <c r="X8" s="116"/>
      <c r="Y8" s="116"/>
      <c r="Z8" s="116"/>
    </row>
    <row r="9" spans="1:26" ht="22.95" customHeight="1" thickBot="1" x14ac:dyDescent="0.35">
      <c r="A9" s="9" t="s">
        <v>30</v>
      </c>
      <c r="B9" s="10" t="s">
        <v>31</v>
      </c>
      <c r="C9" s="9" t="s">
        <v>25</v>
      </c>
      <c r="D9" s="11" t="s">
        <v>27</v>
      </c>
      <c r="E9" s="10" t="s">
        <v>18</v>
      </c>
      <c r="G9" s="468"/>
      <c r="H9" s="111">
        <f>IF($H$4&gt;=25,SUM(H4:H5)+INT((SUM(I4:I5)+INT(SUM(J4:J5)/30))/12),$H$4)</f>
        <v>0</v>
      </c>
      <c r="I9" s="111">
        <f>IF($H$4&gt;=25,MOD(SUM(I4:I5)+INT(SUM(J4:J5)/30),12),$I$4)</f>
        <v>0</v>
      </c>
      <c r="J9" s="112">
        <f>IF($H$4&gt;=25,MOD(SUM(J4:J5),30),$J$4)</f>
        <v>0</v>
      </c>
      <c r="L9" s="8"/>
    </row>
    <row r="10" spans="1:26" ht="22.95" customHeight="1" x14ac:dyDescent="0.3">
      <c r="A10" s="376"/>
      <c r="B10" s="377"/>
      <c r="C10" s="12">
        <f>IF((ISBLANK(A10)=TRUE),0,DATEDIF(A10,B10+1,"Y"))</f>
        <v>0</v>
      </c>
      <c r="D10" s="13">
        <f>IF((ISBLANK(A10)=TRUE),0,DATEDIF(A10,B10+1,"YM"))</f>
        <v>0</v>
      </c>
      <c r="E10" s="14">
        <f>IF((ISBLANK(A10)=TRUE),0,DATEDIF(A10,B10+1,"MD"))</f>
        <v>0</v>
      </c>
      <c r="L10" s="8"/>
    </row>
    <row r="11" spans="1:26" ht="22.95" customHeight="1" thickBot="1" x14ac:dyDescent="0.35">
      <c r="A11" s="378"/>
      <c r="B11" s="379"/>
      <c r="C11" s="16">
        <f>IF((ISBLANK(A11)=TRUE),0,DATEDIF(A11,B11+1,"Y"))</f>
        <v>0</v>
      </c>
      <c r="D11" s="17">
        <f>IF((ISBLANK(A11)=TRUE),0,DATEDIF(A11,B11+1,"YM"))</f>
        <v>0</v>
      </c>
      <c r="E11" s="18">
        <f>IF((ISBLANK(A11)=TRUE),0,DATEDIF(A11,B11+1,"MD"))</f>
        <v>0</v>
      </c>
      <c r="G11" s="469" t="str">
        <f>IF($E$4="art. 15aa","Obliczenie wysokości emerytury na podstawie art. 15aa ustawy","")</f>
        <v/>
      </c>
      <c r="H11" s="469"/>
      <c r="I11" s="469"/>
      <c r="J11" s="469"/>
      <c r="L11" s="8"/>
    </row>
    <row r="12" spans="1:26" ht="22.95" customHeight="1" thickBot="1" x14ac:dyDescent="0.35">
      <c r="A12" s="378"/>
      <c r="B12" s="379"/>
      <c r="C12" s="16">
        <f>IF((ISBLANK(A12)=TRUE),0,DATEDIF(A12,B12+1,"Y"))</f>
        <v>0</v>
      </c>
      <c r="D12" s="17">
        <f>IF((ISBLANK(A12)=TRUE),0,DATEDIF(A12,B12+1,"YM"))</f>
        <v>0</v>
      </c>
      <c r="E12" s="18">
        <f>IF((ISBLANK(A12)=TRUE),0,DATEDIF(A12,B12+1,"MD"))</f>
        <v>0</v>
      </c>
      <c r="G12" s="438" t="s">
        <v>77</v>
      </c>
      <c r="H12" s="439"/>
      <c r="I12" s="439"/>
      <c r="J12" s="440"/>
      <c r="K12" s="3"/>
      <c r="L12" s="24"/>
    </row>
    <row r="13" spans="1:26" ht="22.95" customHeight="1" thickBot="1" x14ac:dyDescent="0.35">
      <c r="A13" s="378"/>
      <c r="B13" s="379"/>
      <c r="C13" s="16">
        <f t="shared" ref="C13:C20" si="0">IF((ISBLANK(A13)=TRUE),0,DATEDIF(A13,B13+1,"Y"))</f>
        <v>0</v>
      </c>
      <c r="D13" s="17">
        <f t="shared" ref="D13:D20" si="1">IF((ISBLANK(A13)=TRUE),0,DATEDIF(A13,B13+1,"YM"))</f>
        <v>0</v>
      </c>
      <c r="E13" s="18">
        <f t="shared" ref="E13:E20" si="2">IF((ISBLANK(A13)=TRUE),0,DATEDIF(A13,B13+1,"MD"))</f>
        <v>0</v>
      </c>
      <c r="G13" s="441" t="s">
        <v>78</v>
      </c>
      <c r="H13" s="442"/>
      <c r="I13" s="442"/>
      <c r="J13" s="443"/>
      <c r="K13" s="120"/>
      <c r="L13" s="132" t="str">
        <f>IF($H$9&lt;32,"wysługa (H9) &lt;32 lata","")</f>
        <v>wysługa (H9) &lt;32 lata</v>
      </c>
    </row>
    <row r="14" spans="1:26" ht="22.95" customHeight="1" thickBot="1" x14ac:dyDescent="0.35">
      <c r="A14" s="378"/>
      <c r="B14" s="379"/>
      <c r="C14" s="16">
        <f t="shared" si="0"/>
        <v>0</v>
      </c>
      <c r="D14" s="17">
        <f t="shared" si="1"/>
        <v>0</v>
      </c>
      <c r="E14" s="18">
        <f t="shared" si="2"/>
        <v>0</v>
      </c>
      <c r="G14" s="444" t="s">
        <v>76</v>
      </c>
      <c r="H14" s="445"/>
      <c r="I14" s="445"/>
      <c r="J14" s="446"/>
      <c r="K14" s="118">
        <f>K12+K13</f>
        <v>0</v>
      </c>
    </row>
    <row r="15" spans="1:26" ht="22.95" customHeight="1" thickBot="1" x14ac:dyDescent="0.35">
      <c r="A15" s="378"/>
      <c r="B15" s="379"/>
      <c r="C15" s="16">
        <f t="shared" si="0"/>
        <v>0</v>
      </c>
      <c r="D15" s="17">
        <f t="shared" si="1"/>
        <v>0</v>
      </c>
      <c r="E15" s="18">
        <f t="shared" si="2"/>
        <v>0</v>
      </c>
      <c r="G15" s="447" t="s">
        <v>24</v>
      </c>
      <c r="H15" s="448"/>
      <c r="I15" s="448"/>
      <c r="J15" s="449"/>
      <c r="K15" s="46">
        <f>K6</f>
        <v>0</v>
      </c>
      <c r="L15" s="39"/>
    </row>
    <row r="16" spans="1:26" ht="22.95" customHeight="1" thickBot="1" x14ac:dyDescent="0.35">
      <c r="A16" s="378"/>
      <c r="B16" s="379"/>
      <c r="C16" s="16">
        <f t="shared" si="0"/>
        <v>0</v>
      </c>
      <c r="D16" s="17">
        <f>IF((ISBLANK(A16)=TRUE),0,DATEDIF(A16,B16+1,"YM"))</f>
        <v>0</v>
      </c>
      <c r="E16" s="18">
        <f>IF((ISBLANK(A16)=TRUE),0,DATEDIF(A16,B16+1,"MD"))</f>
        <v>0</v>
      </c>
      <c r="G16" s="489" t="s">
        <v>59</v>
      </c>
      <c r="H16" s="490"/>
      <c r="I16" s="490"/>
      <c r="J16" s="491"/>
      <c r="K16" s="117">
        <f>ROUND(K14*K15,2)</f>
        <v>0</v>
      </c>
      <c r="L16" s="39"/>
    </row>
    <row r="17" spans="1:13" ht="22.95" customHeight="1" x14ac:dyDescent="0.3">
      <c r="A17" s="378"/>
      <c r="B17" s="379"/>
      <c r="C17" s="16">
        <f t="shared" si="0"/>
        <v>0</v>
      </c>
      <c r="D17" s="17">
        <f>IF((ISBLANK(A17)=TRUE),0,DATEDIF(A17,B17+1,"YM"))</f>
        <v>0</v>
      </c>
      <c r="E17" s="18">
        <f>IF((ISBLANK(A17)=TRUE),0,DATEDIF(A17,B17+1,"MD"))</f>
        <v>0</v>
      </c>
      <c r="G17" s="470" t="s">
        <v>61</v>
      </c>
      <c r="H17" s="471"/>
      <c r="I17" s="471"/>
      <c r="J17" s="472"/>
      <c r="K17" s="96">
        <f>MAX(ROUND(K16*$R$1,2),0)</f>
        <v>0</v>
      </c>
      <c r="L17" s="39"/>
    </row>
    <row r="18" spans="1:13" ht="22.95" customHeight="1" thickBot="1" x14ac:dyDescent="0.35">
      <c r="A18" s="378"/>
      <c r="B18" s="379"/>
      <c r="C18" s="16">
        <f t="shared" si="0"/>
        <v>0</v>
      </c>
      <c r="D18" s="17">
        <f t="shared" si="1"/>
        <v>0</v>
      </c>
      <c r="E18" s="18">
        <f t="shared" si="2"/>
        <v>0</v>
      </c>
      <c r="G18" s="416" t="s">
        <v>62</v>
      </c>
      <c r="H18" s="417"/>
      <c r="I18" s="417"/>
      <c r="J18" s="418"/>
      <c r="K18" s="51">
        <f>MAX(ROUND(ROUND(K16,0)*$S$1-$T$1,0),0)</f>
        <v>0</v>
      </c>
      <c r="M18" s="39"/>
    </row>
    <row r="19" spans="1:13" ht="22.95" customHeight="1" thickBot="1" x14ac:dyDescent="0.35">
      <c r="A19" s="378"/>
      <c r="B19" s="379"/>
      <c r="C19" s="16">
        <f t="shared" si="0"/>
        <v>0</v>
      </c>
      <c r="D19" s="17">
        <f t="shared" si="1"/>
        <v>0</v>
      </c>
      <c r="E19" s="18">
        <f t="shared" si="2"/>
        <v>0</v>
      </c>
      <c r="G19" s="460" t="s">
        <v>58</v>
      </c>
      <c r="H19" s="461"/>
      <c r="I19" s="461"/>
      <c r="J19" s="462"/>
      <c r="K19" s="56">
        <f>K16-K17-K18</f>
        <v>0</v>
      </c>
      <c r="M19" s="39"/>
    </row>
    <row r="20" spans="1:13" ht="19.95" customHeight="1" thickBot="1" x14ac:dyDescent="0.35">
      <c r="A20" s="380"/>
      <c r="B20" s="381"/>
      <c r="C20" s="43">
        <f t="shared" si="0"/>
        <v>0</v>
      </c>
      <c r="D20" s="44">
        <f t="shared" si="1"/>
        <v>0</v>
      </c>
      <c r="E20" s="45">
        <f t="shared" si="2"/>
        <v>0</v>
      </c>
      <c r="M20" s="39"/>
    </row>
    <row r="21" spans="1:13" ht="19.95" customHeight="1" thickBot="1" x14ac:dyDescent="0.35">
      <c r="A21" s="484" t="s">
        <v>28</v>
      </c>
      <c r="B21" s="496"/>
      <c r="C21" s="47">
        <f>SUM(C10:C20)+INT((SUM(D10:D20)+INT(SUM(E10:E20)/30))/12)</f>
        <v>0</v>
      </c>
      <c r="D21" s="47">
        <f>MOD(SUM(D10:D20)+INT(SUM(E10:E20)/30),12)</f>
        <v>0</v>
      </c>
      <c r="E21" s="48">
        <f>MOD(SUM(E10:E20),30)</f>
        <v>0</v>
      </c>
      <c r="G21" s="463" t="s">
        <v>80</v>
      </c>
      <c r="H21" s="463"/>
      <c r="I21" s="463"/>
      <c r="J21" s="463"/>
      <c r="K21" s="463"/>
      <c r="M21" s="39"/>
    </row>
    <row r="22" spans="1:13" ht="19.95" customHeight="1" thickBot="1" x14ac:dyDescent="0.35">
      <c r="A22" s="49"/>
      <c r="B22" s="49"/>
      <c r="C22" s="49"/>
      <c r="D22" s="49"/>
      <c r="E22" s="49"/>
      <c r="G22" s="463"/>
      <c r="H22" s="463"/>
      <c r="I22" s="463"/>
      <c r="J22" s="463"/>
      <c r="K22" s="463"/>
    </row>
    <row r="23" spans="1:13" ht="19.95" customHeight="1" thickBot="1" x14ac:dyDescent="0.35">
      <c r="A23" s="452" t="s">
        <v>48</v>
      </c>
      <c r="B23" s="474"/>
      <c r="C23" s="474"/>
      <c r="D23" s="474"/>
      <c r="E23" s="475"/>
      <c r="G23" s="463"/>
      <c r="H23" s="463"/>
      <c r="I23" s="463"/>
      <c r="J23" s="463"/>
      <c r="K23" s="463"/>
    </row>
    <row r="24" spans="1:13" ht="19.95" customHeight="1" thickBot="1" x14ac:dyDescent="0.35">
      <c r="A24" s="52" t="s">
        <v>30</v>
      </c>
      <c r="B24" s="53" t="s">
        <v>31</v>
      </c>
      <c r="C24" s="52" t="s">
        <v>25</v>
      </c>
      <c r="D24" s="54" t="s">
        <v>27</v>
      </c>
      <c r="E24" s="55" t="s">
        <v>18</v>
      </c>
      <c r="G24" s="2"/>
      <c r="J24" s="49"/>
    </row>
    <row r="25" spans="1:13" ht="19.95" customHeight="1" x14ac:dyDescent="0.3">
      <c r="A25" s="376"/>
      <c r="B25" s="377"/>
      <c r="C25" s="12">
        <f>IF((ISBLANK(A25)=TRUE),0,DATEDIF(A25,B25+1,"Y"))</f>
        <v>0</v>
      </c>
      <c r="D25" s="13">
        <f t="shared" ref="D25:D40" si="3">IF((ISBLANK(A25)=TRUE),0,DATEDIF(A25,B25+1,"YM"))</f>
        <v>0</v>
      </c>
      <c r="E25" s="14">
        <f t="shared" ref="E25:E40" si="4">IF((ISBLANK(A25)=TRUE),0,DATEDIF(A25,B25+1,"MD"))</f>
        <v>0</v>
      </c>
      <c r="G25" s="464" t="s">
        <v>64</v>
      </c>
      <c r="H25" s="464"/>
      <c r="I25" s="464"/>
      <c r="J25" s="464"/>
      <c r="K25" s="464"/>
    </row>
    <row r="26" spans="1:13" ht="19.95" customHeight="1" x14ac:dyDescent="0.3">
      <c r="A26" s="378"/>
      <c r="B26" s="379"/>
      <c r="C26" s="16">
        <f>IF((ISBLANK(A26)=TRUE),0,DATEDIF(A26,B26+1,"Y"))</f>
        <v>0</v>
      </c>
      <c r="D26" s="17">
        <f t="shared" si="3"/>
        <v>0</v>
      </c>
      <c r="E26" s="18">
        <f t="shared" si="4"/>
        <v>0</v>
      </c>
      <c r="G26" s="464"/>
      <c r="H26" s="464"/>
      <c r="I26" s="464"/>
      <c r="J26" s="464"/>
      <c r="K26" s="464"/>
    </row>
    <row r="27" spans="1:13" ht="19.95" customHeight="1" x14ac:dyDescent="0.3">
      <c r="A27" s="378"/>
      <c r="B27" s="379"/>
      <c r="C27" s="16">
        <f>IF((ISBLANK(A27)=TRUE),0,DATEDIF(A27,B27+1,"Y"))</f>
        <v>0</v>
      </c>
      <c r="D27" s="17">
        <f t="shared" si="3"/>
        <v>0</v>
      </c>
      <c r="E27" s="18">
        <f t="shared" si="4"/>
        <v>0</v>
      </c>
      <c r="G27" s="464"/>
      <c r="H27" s="464"/>
      <c r="I27" s="464"/>
      <c r="J27" s="464"/>
      <c r="K27" s="464"/>
    </row>
    <row r="28" spans="1:13" ht="19.95" customHeight="1" x14ac:dyDescent="0.3">
      <c r="A28" s="378"/>
      <c r="B28" s="379"/>
      <c r="C28" s="16">
        <f t="shared" ref="C28:C40" si="5">IF((ISBLANK(A28)=TRUE),0,DATEDIF(A28,B28+1,"Y"))</f>
        <v>0</v>
      </c>
      <c r="D28" s="17">
        <f t="shared" si="3"/>
        <v>0</v>
      </c>
      <c r="E28" s="18">
        <f t="shared" si="4"/>
        <v>0</v>
      </c>
      <c r="G28" s="2"/>
      <c r="H28" s="2"/>
      <c r="I28" s="2"/>
    </row>
    <row r="29" spans="1:13" ht="19.95" customHeight="1" x14ac:dyDescent="0.3">
      <c r="A29" s="378"/>
      <c r="B29" s="379"/>
      <c r="C29" s="16">
        <f t="shared" si="5"/>
        <v>0</v>
      </c>
      <c r="D29" s="17">
        <f t="shared" si="3"/>
        <v>0</v>
      </c>
      <c r="E29" s="18">
        <f t="shared" si="4"/>
        <v>0</v>
      </c>
      <c r="G29" s="2"/>
      <c r="H29" s="2"/>
      <c r="I29" s="2"/>
      <c r="L29" s="15"/>
      <c r="M29" s="58"/>
    </row>
    <row r="30" spans="1:13" ht="19.95" customHeight="1" x14ac:dyDescent="0.3">
      <c r="A30" s="378"/>
      <c r="B30" s="379"/>
      <c r="C30" s="16">
        <f t="shared" si="5"/>
        <v>0</v>
      </c>
      <c r="D30" s="17">
        <f t="shared" si="3"/>
        <v>0</v>
      </c>
      <c r="E30" s="18">
        <f t="shared" si="4"/>
        <v>0</v>
      </c>
      <c r="G30" s="2"/>
      <c r="H30" s="2"/>
      <c r="I30" s="2"/>
      <c r="L30" s="58"/>
      <c r="M30" s="15"/>
    </row>
    <row r="31" spans="1:13" ht="19.95" customHeight="1" x14ac:dyDescent="0.3">
      <c r="A31" s="378"/>
      <c r="B31" s="379"/>
      <c r="C31" s="16">
        <f t="shared" si="5"/>
        <v>0</v>
      </c>
      <c r="D31" s="17">
        <f t="shared" si="3"/>
        <v>0</v>
      </c>
      <c r="E31" s="18">
        <f t="shared" si="4"/>
        <v>0</v>
      </c>
      <c r="G31" s="2"/>
      <c r="H31" s="2"/>
      <c r="I31" s="2"/>
    </row>
    <row r="32" spans="1:13" ht="19.95" customHeight="1" x14ac:dyDescent="0.3">
      <c r="A32" s="378"/>
      <c r="B32" s="379"/>
      <c r="C32" s="16">
        <f t="shared" ref="C32:C36" si="6">IF((ISBLANK(A32)=TRUE),0,DATEDIF(A32,B32+1,"Y"))</f>
        <v>0</v>
      </c>
      <c r="D32" s="17">
        <f t="shared" ref="D32:D36" si="7">IF((ISBLANK(A32)=TRUE),0,DATEDIF(A32,B32+1,"YM"))</f>
        <v>0</v>
      </c>
      <c r="E32" s="18">
        <f t="shared" ref="E32:E36" si="8">IF((ISBLANK(A32)=TRUE),0,DATEDIF(A32,B32+1,"MD"))</f>
        <v>0</v>
      </c>
      <c r="G32" s="2"/>
      <c r="H32" s="2"/>
      <c r="I32" s="2"/>
    </row>
    <row r="33" spans="1:10" ht="19.95" customHeight="1" x14ac:dyDescent="0.3">
      <c r="A33" s="378"/>
      <c r="B33" s="379"/>
      <c r="C33" s="16">
        <f t="shared" si="6"/>
        <v>0</v>
      </c>
      <c r="D33" s="17">
        <f t="shared" si="7"/>
        <v>0</v>
      </c>
      <c r="E33" s="18">
        <f t="shared" si="8"/>
        <v>0</v>
      </c>
      <c r="G33" s="2"/>
      <c r="H33" s="2"/>
      <c r="I33" s="2"/>
    </row>
    <row r="34" spans="1:10" ht="19.95" customHeight="1" x14ac:dyDescent="0.3">
      <c r="A34" s="378"/>
      <c r="B34" s="379"/>
      <c r="C34" s="16">
        <f t="shared" si="6"/>
        <v>0</v>
      </c>
      <c r="D34" s="17">
        <f t="shared" si="7"/>
        <v>0</v>
      </c>
      <c r="E34" s="18">
        <f t="shared" si="8"/>
        <v>0</v>
      </c>
      <c r="G34" s="2"/>
      <c r="H34" s="2"/>
      <c r="I34" s="2"/>
    </row>
    <row r="35" spans="1:10" ht="19.95" customHeight="1" x14ac:dyDescent="0.3">
      <c r="A35" s="378"/>
      <c r="B35" s="379"/>
      <c r="C35" s="16">
        <f t="shared" si="6"/>
        <v>0</v>
      </c>
      <c r="D35" s="17">
        <f t="shared" si="7"/>
        <v>0</v>
      </c>
      <c r="E35" s="18">
        <f t="shared" si="8"/>
        <v>0</v>
      </c>
      <c r="G35" s="2"/>
      <c r="H35" s="2"/>
      <c r="I35" s="2"/>
    </row>
    <row r="36" spans="1:10" ht="19.95" customHeight="1" x14ac:dyDescent="0.3">
      <c r="A36" s="378"/>
      <c r="B36" s="379"/>
      <c r="C36" s="16">
        <f t="shared" si="6"/>
        <v>0</v>
      </c>
      <c r="D36" s="17">
        <f t="shared" si="7"/>
        <v>0</v>
      </c>
      <c r="E36" s="18">
        <f t="shared" si="8"/>
        <v>0</v>
      </c>
      <c r="G36" s="2"/>
      <c r="H36" s="2"/>
      <c r="I36" s="2"/>
    </row>
    <row r="37" spans="1:10" ht="19.95" customHeight="1" x14ac:dyDescent="0.3">
      <c r="A37" s="378"/>
      <c r="B37" s="379"/>
      <c r="C37" s="16">
        <f t="shared" si="5"/>
        <v>0</v>
      </c>
      <c r="D37" s="17">
        <f t="shared" si="3"/>
        <v>0</v>
      </c>
      <c r="E37" s="18">
        <f t="shared" si="4"/>
        <v>0</v>
      </c>
      <c r="G37" s="2"/>
      <c r="H37" s="2"/>
      <c r="I37" s="2"/>
    </row>
    <row r="38" spans="1:10" ht="19.95" customHeight="1" x14ac:dyDescent="0.3">
      <c r="A38" s="378"/>
      <c r="B38" s="379"/>
      <c r="C38" s="16">
        <f t="shared" si="5"/>
        <v>0</v>
      </c>
      <c r="D38" s="17">
        <f t="shared" si="3"/>
        <v>0</v>
      </c>
      <c r="E38" s="18">
        <f t="shared" si="4"/>
        <v>0</v>
      </c>
      <c r="G38" s="2"/>
      <c r="H38" s="2"/>
      <c r="I38" s="2"/>
    </row>
    <row r="39" spans="1:10" ht="19.95" customHeight="1" x14ac:dyDescent="0.3">
      <c r="A39" s="378"/>
      <c r="B39" s="379"/>
      <c r="C39" s="16">
        <f t="shared" si="5"/>
        <v>0</v>
      </c>
      <c r="D39" s="17">
        <f t="shared" si="3"/>
        <v>0</v>
      </c>
      <c r="E39" s="18">
        <f t="shared" si="4"/>
        <v>0</v>
      </c>
      <c r="G39" s="2"/>
      <c r="H39" s="2"/>
      <c r="I39" s="2"/>
    </row>
    <row r="40" spans="1:10" ht="19.95" customHeight="1" thickBot="1" x14ac:dyDescent="0.35">
      <c r="A40" s="380"/>
      <c r="B40" s="381"/>
      <c r="C40" s="43">
        <f t="shared" si="5"/>
        <v>0</v>
      </c>
      <c r="D40" s="44">
        <f t="shared" si="3"/>
        <v>0</v>
      </c>
      <c r="E40" s="45">
        <f t="shared" si="4"/>
        <v>0</v>
      </c>
      <c r="G40" s="2"/>
      <c r="H40" s="2"/>
      <c r="I40" s="2"/>
    </row>
    <row r="41" spans="1:10" ht="19.95" customHeight="1" thickBot="1" x14ac:dyDescent="0.35">
      <c r="A41" s="452" t="s">
        <v>28</v>
      </c>
      <c r="B41" s="453"/>
      <c r="C41" s="59">
        <f>SUM(C25:C40)+INT((SUM(D25:D40)+INT(SUM(E25:E40)/30))/12)</f>
        <v>0</v>
      </c>
      <c r="D41" s="60">
        <f>MOD(SUM(D25:D40)+INT(SUM(E25:E40)/30),12)</f>
        <v>0</v>
      </c>
      <c r="E41" s="61">
        <f>MOD(SUM(E25:E40),30)</f>
        <v>0</v>
      </c>
      <c r="G41" s="62"/>
    </row>
    <row r="42" spans="1:10" ht="19.95" customHeight="1" x14ac:dyDescent="0.3">
      <c r="A42" s="63"/>
      <c r="B42" s="63"/>
      <c r="C42" s="64"/>
      <c r="D42" s="64"/>
      <c r="E42" s="64"/>
    </row>
    <row r="43" spans="1:10" ht="19.95" customHeight="1" thickBot="1" x14ac:dyDescent="0.35">
      <c r="A43" s="63"/>
      <c r="B43" s="63"/>
      <c r="C43" s="64"/>
      <c r="D43" s="64"/>
      <c r="E43" s="64"/>
    </row>
    <row r="44" spans="1:10" ht="39" customHeight="1" thickBot="1" x14ac:dyDescent="0.35">
      <c r="A44" s="425" t="s">
        <v>90</v>
      </c>
      <c r="B44" s="432"/>
      <c r="C44" s="432"/>
      <c r="D44" s="432"/>
      <c r="E44" s="433"/>
      <c r="G44" s="58"/>
      <c r="H44" s="58"/>
      <c r="I44" s="58"/>
      <c r="J44" s="58"/>
    </row>
    <row r="45" spans="1:10" ht="19.95" customHeight="1" thickBot="1" x14ac:dyDescent="0.35">
      <c r="A45" s="73" t="s">
        <v>30</v>
      </c>
      <c r="B45" s="74" t="s">
        <v>31</v>
      </c>
      <c r="C45" s="73" t="s">
        <v>25</v>
      </c>
      <c r="D45" s="75" t="s">
        <v>27</v>
      </c>
      <c r="E45" s="76" t="s">
        <v>18</v>
      </c>
      <c r="G45" s="72"/>
      <c r="H45" s="72"/>
      <c r="I45" s="72"/>
      <c r="J45" s="58"/>
    </row>
    <row r="46" spans="1:10" ht="19.95" customHeight="1" x14ac:dyDescent="0.3">
      <c r="A46" s="378"/>
      <c r="B46" s="379"/>
      <c r="C46" s="12">
        <f>IF( B46&gt;$B$79,"błąd",IF((ISBLANK(A46)=TRUE),0,DATEDIF(A46,B46+1,"Y")))</f>
        <v>0</v>
      </c>
      <c r="D46" s="13">
        <f>IF(B46&gt;$B$79, "błąd",IF((ISBLANK(A46)=TRUE),0,DATEDIF(A46,B46+1,"YM")))</f>
        <v>0</v>
      </c>
      <c r="E46" s="14">
        <f>IF(B46&gt;$B$79,"błąd",IF((ISBLANK(A46)=TRUE),0,DATEDIF(A46,B46+1,"MD")))</f>
        <v>0</v>
      </c>
      <c r="G46" s="97"/>
      <c r="H46" s="97"/>
      <c r="I46" s="97"/>
      <c r="J46" s="58"/>
    </row>
    <row r="47" spans="1:10" ht="19.95" customHeight="1" x14ac:dyDescent="0.3">
      <c r="A47" s="378"/>
      <c r="B47" s="379"/>
      <c r="C47" s="77">
        <f t="shared" ref="C47" si="9">IF( B47&gt;$B$79,"błąd",IF((ISBLANK(A47)=TRUE),0,DATEDIF(A47,B47+1,"Y")))</f>
        <v>0</v>
      </c>
      <c r="D47" s="78">
        <f t="shared" ref="D47" si="10">IF(B47&gt;$B$79, "błąd",IF((ISBLANK(A47)=TRUE),0,DATEDIF(A47,B47+1,"YM")))</f>
        <v>0</v>
      </c>
      <c r="E47" s="79">
        <f t="shared" ref="E47" si="11">IF(B47&gt;$B$79,"błąd",IF((ISBLANK(A47)=TRUE),0,DATEDIF(A47,B47+1,"MD")))</f>
        <v>0</v>
      </c>
      <c r="G47" s="19"/>
      <c r="H47" s="19"/>
      <c r="I47" s="19"/>
      <c r="J47" s="58"/>
    </row>
    <row r="48" spans="1:10" ht="19.95" customHeight="1" x14ac:dyDescent="0.3">
      <c r="A48" s="378"/>
      <c r="B48" s="379"/>
      <c r="C48" s="77">
        <f t="shared" ref="C48:C73" si="12">IF( B48&gt;$B$79,"błąd",IF((ISBLANK(A48)=TRUE),0,DATEDIF(A48,B48+1,"Y")))</f>
        <v>0</v>
      </c>
      <c r="D48" s="78">
        <f t="shared" ref="D48:D73" si="13">IF(B48&gt;$B$79, "błąd",IF((ISBLANK(A48)=TRUE),0,DATEDIF(A48,B48+1,"YM")))</f>
        <v>0</v>
      </c>
      <c r="E48" s="79">
        <f t="shared" ref="E48:E73" si="14">IF(B48&gt;$B$79,"błąd",IF((ISBLANK(A48)=TRUE),0,DATEDIF(A48,B48+1,"MD")))</f>
        <v>0</v>
      </c>
      <c r="G48" s="98"/>
      <c r="H48" s="98"/>
      <c r="I48" s="98"/>
      <c r="J48" s="58"/>
    </row>
    <row r="49" spans="1:10" ht="19.95" customHeight="1" x14ac:dyDescent="0.3">
      <c r="A49" s="378"/>
      <c r="B49" s="379"/>
      <c r="C49" s="77">
        <f t="shared" si="12"/>
        <v>0</v>
      </c>
      <c r="D49" s="78">
        <f t="shared" si="13"/>
        <v>0</v>
      </c>
      <c r="E49" s="79">
        <f t="shared" si="14"/>
        <v>0</v>
      </c>
      <c r="G49" s="98"/>
      <c r="H49" s="98"/>
      <c r="I49" s="98"/>
      <c r="J49" s="58"/>
    </row>
    <row r="50" spans="1:10" ht="19.95" customHeight="1" x14ac:dyDescent="0.3">
      <c r="A50" s="378"/>
      <c r="B50" s="379"/>
      <c r="C50" s="77">
        <f t="shared" si="12"/>
        <v>0</v>
      </c>
      <c r="D50" s="78">
        <f t="shared" si="13"/>
        <v>0</v>
      </c>
      <c r="E50" s="79">
        <f t="shared" si="14"/>
        <v>0</v>
      </c>
      <c r="G50" s="41"/>
      <c r="H50" s="41"/>
      <c r="I50" s="41"/>
      <c r="J50" s="58"/>
    </row>
    <row r="51" spans="1:10" ht="19.95" customHeight="1" x14ac:dyDescent="0.3">
      <c r="A51" s="378"/>
      <c r="B51" s="379"/>
      <c r="C51" s="77">
        <f t="shared" si="12"/>
        <v>0</v>
      </c>
      <c r="D51" s="78">
        <f t="shared" si="13"/>
        <v>0</v>
      </c>
      <c r="E51" s="79">
        <f t="shared" si="14"/>
        <v>0</v>
      </c>
      <c r="G51" s="41"/>
      <c r="H51" s="41"/>
      <c r="I51" s="41"/>
      <c r="J51" s="58"/>
    </row>
    <row r="52" spans="1:10" ht="19.95" customHeight="1" x14ac:dyDescent="0.3">
      <c r="A52" s="378"/>
      <c r="B52" s="379"/>
      <c r="C52" s="77">
        <f t="shared" si="12"/>
        <v>0</v>
      </c>
      <c r="D52" s="78">
        <f t="shared" si="13"/>
        <v>0</v>
      </c>
      <c r="E52" s="79">
        <f t="shared" si="14"/>
        <v>0</v>
      </c>
      <c r="G52" s="41"/>
      <c r="H52" s="41"/>
      <c r="I52" s="41"/>
      <c r="J52" s="58"/>
    </row>
    <row r="53" spans="1:10" ht="19.95" customHeight="1" x14ac:dyDescent="0.3">
      <c r="A53" s="378"/>
      <c r="B53" s="379"/>
      <c r="C53" s="77">
        <f t="shared" si="12"/>
        <v>0</v>
      </c>
      <c r="D53" s="78">
        <f t="shared" si="13"/>
        <v>0</v>
      </c>
      <c r="E53" s="79">
        <f t="shared" si="14"/>
        <v>0</v>
      </c>
      <c r="G53" s="41"/>
      <c r="H53" s="41"/>
      <c r="I53" s="41"/>
      <c r="J53" s="58"/>
    </row>
    <row r="54" spans="1:10" ht="19.95" customHeight="1" x14ac:dyDescent="0.3">
      <c r="A54" s="378"/>
      <c r="B54" s="379"/>
      <c r="C54" s="77">
        <f t="shared" si="12"/>
        <v>0</v>
      </c>
      <c r="D54" s="78">
        <f t="shared" si="13"/>
        <v>0</v>
      </c>
      <c r="E54" s="79">
        <f t="shared" si="14"/>
        <v>0</v>
      </c>
      <c r="G54" s="41"/>
      <c r="H54" s="41"/>
      <c r="I54" s="41"/>
      <c r="J54" s="58"/>
    </row>
    <row r="55" spans="1:10" ht="19.95" customHeight="1" x14ac:dyDescent="0.3">
      <c r="A55" s="378"/>
      <c r="B55" s="379"/>
      <c r="C55" s="77">
        <f t="shared" si="12"/>
        <v>0</v>
      </c>
      <c r="D55" s="78">
        <f t="shared" si="13"/>
        <v>0</v>
      </c>
      <c r="E55" s="79">
        <f t="shared" si="14"/>
        <v>0</v>
      </c>
      <c r="G55" s="41"/>
      <c r="H55" s="41"/>
      <c r="I55" s="41"/>
      <c r="J55" s="58"/>
    </row>
    <row r="56" spans="1:10" ht="19.95" customHeight="1" x14ac:dyDescent="0.3">
      <c r="A56" s="378"/>
      <c r="B56" s="379"/>
      <c r="C56" s="77">
        <f t="shared" si="12"/>
        <v>0</v>
      </c>
      <c r="D56" s="78">
        <f t="shared" si="13"/>
        <v>0</v>
      </c>
      <c r="E56" s="79">
        <f t="shared" si="14"/>
        <v>0</v>
      </c>
      <c r="G56" s="41"/>
      <c r="H56" s="41"/>
      <c r="I56" s="41"/>
      <c r="J56" s="58"/>
    </row>
    <row r="57" spans="1:10" ht="19.95" customHeight="1" x14ac:dyDescent="0.3">
      <c r="A57" s="378"/>
      <c r="B57" s="379"/>
      <c r="C57" s="77">
        <f t="shared" si="12"/>
        <v>0</v>
      </c>
      <c r="D57" s="78">
        <f t="shared" si="13"/>
        <v>0</v>
      </c>
      <c r="E57" s="79">
        <f t="shared" si="14"/>
        <v>0</v>
      </c>
      <c r="G57" s="41"/>
      <c r="H57" s="41"/>
      <c r="I57" s="41"/>
      <c r="J57" s="58"/>
    </row>
    <row r="58" spans="1:10" ht="19.95" customHeight="1" x14ac:dyDescent="0.3">
      <c r="A58" s="378"/>
      <c r="B58" s="379"/>
      <c r="C58" s="77">
        <f t="shared" si="12"/>
        <v>0</v>
      </c>
      <c r="D58" s="78">
        <f t="shared" si="13"/>
        <v>0</v>
      </c>
      <c r="E58" s="79">
        <f t="shared" si="14"/>
        <v>0</v>
      </c>
      <c r="G58" s="41"/>
      <c r="H58" s="41"/>
      <c r="I58" s="41"/>
      <c r="J58" s="58"/>
    </row>
    <row r="59" spans="1:10" ht="19.95" customHeight="1" x14ac:dyDescent="0.3">
      <c r="A59" s="378"/>
      <c r="B59" s="379"/>
      <c r="C59" s="77">
        <f t="shared" si="12"/>
        <v>0</v>
      </c>
      <c r="D59" s="78">
        <f t="shared" si="13"/>
        <v>0</v>
      </c>
      <c r="E59" s="79">
        <f t="shared" si="14"/>
        <v>0</v>
      </c>
      <c r="G59" s="41"/>
      <c r="H59" s="41"/>
      <c r="I59" s="41"/>
      <c r="J59" s="58"/>
    </row>
    <row r="60" spans="1:10" ht="19.95" customHeight="1" x14ac:dyDescent="0.3">
      <c r="A60" s="378"/>
      <c r="B60" s="379"/>
      <c r="C60" s="77">
        <f t="shared" si="12"/>
        <v>0</v>
      </c>
      <c r="D60" s="78">
        <f t="shared" si="13"/>
        <v>0</v>
      </c>
      <c r="E60" s="79">
        <f t="shared" si="14"/>
        <v>0</v>
      </c>
      <c r="G60" s="41"/>
      <c r="H60" s="41"/>
      <c r="I60" s="41"/>
      <c r="J60" s="58"/>
    </row>
    <row r="61" spans="1:10" ht="19.95" customHeight="1" x14ac:dyDescent="0.3">
      <c r="A61" s="378"/>
      <c r="B61" s="379"/>
      <c r="C61" s="77">
        <f t="shared" si="12"/>
        <v>0</v>
      </c>
      <c r="D61" s="78">
        <f t="shared" si="13"/>
        <v>0</v>
      </c>
      <c r="E61" s="79">
        <f t="shared" si="14"/>
        <v>0</v>
      </c>
      <c r="G61" s="41"/>
      <c r="H61" s="41"/>
      <c r="I61" s="41"/>
      <c r="J61" s="58"/>
    </row>
    <row r="62" spans="1:10" ht="19.95" customHeight="1" x14ac:dyDescent="0.3">
      <c r="A62" s="378"/>
      <c r="B62" s="379"/>
      <c r="C62" s="77">
        <f t="shared" si="12"/>
        <v>0</v>
      </c>
      <c r="D62" s="78">
        <f t="shared" si="13"/>
        <v>0</v>
      </c>
      <c r="E62" s="79">
        <f t="shared" si="14"/>
        <v>0</v>
      </c>
      <c r="G62" s="41"/>
      <c r="H62" s="41"/>
      <c r="I62" s="41"/>
      <c r="J62" s="58"/>
    </row>
    <row r="63" spans="1:10" ht="19.95" customHeight="1" x14ac:dyDescent="0.3">
      <c r="A63" s="378"/>
      <c r="B63" s="379"/>
      <c r="C63" s="77">
        <f t="shared" si="12"/>
        <v>0</v>
      </c>
      <c r="D63" s="78">
        <f t="shared" si="13"/>
        <v>0</v>
      </c>
      <c r="E63" s="79">
        <f t="shared" si="14"/>
        <v>0</v>
      </c>
      <c r="G63" s="41"/>
      <c r="H63" s="41"/>
      <c r="I63" s="41"/>
      <c r="J63" s="58"/>
    </row>
    <row r="64" spans="1:10" ht="19.95" customHeight="1" x14ac:dyDescent="0.3">
      <c r="A64" s="378"/>
      <c r="B64" s="379"/>
      <c r="C64" s="77">
        <f t="shared" si="12"/>
        <v>0</v>
      </c>
      <c r="D64" s="78">
        <f t="shared" si="13"/>
        <v>0</v>
      </c>
      <c r="E64" s="79">
        <f t="shared" si="14"/>
        <v>0</v>
      </c>
      <c r="G64" s="41"/>
      <c r="H64" s="41"/>
      <c r="I64" s="41"/>
      <c r="J64" s="58"/>
    </row>
    <row r="65" spans="1:10" ht="19.95" customHeight="1" x14ac:dyDescent="0.3">
      <c r="A65" s="378"/>
      <c r="B65" s="379"/>
      <c r="C65" s="77">
        <f t="shared" si="12"/>
        <v>0</v>
      </c>
      <c r="D65" s="78">
        <f t="shared" si="13"/>
        <v>0</v>
      </c>
      <c r="E65" s="79">
        <f t="shared" si="14"/>
        <v>0</v>
      </c>
      <c r="G65" s="41"/>
      <c r="H65" s="41"/>
      <c r="I65" s="41"/>
      <c r="J65" s="58"/>
    </row>
    <row r="66" spans="1:10" ht="19.95" customHeight="1" x14ac:dyDescent="0.3">
      <c r="A66" s="378"/>
      <c r="B66" s="379"/>
      <c r="C66" s="77">
        <f t="shared" si="12"/>
        <v>0</v>
      </c>
      <c r="D66" s="78">
        <f t="shared" si="13"/>
        <v>0</v>
      </c>
      <c r="E66" s="79">
        <f t="shared" si="14"/>
        <v>0</v>
      </c>
      <c r="G66" s="41"/>
      <c r="H66" s="41"/>
      <c r="I66" s="41"/>
      <c r="J66" s="58"/>
    </row>
    <row r="67" spans="1:10" ht="19.95" customHeight="1" x14ac:dyDescent="0.3">
      <c r="A67" s="378"/>
      <c r="B67" s="379"/>
      <c r="C67" s="77">
        <f t="shared" si="12"/>
        <v>0</v>
      </c>
      <c r="D67" s="78">
        <f t="shared" si="13"/>
        <v>0</v>
      </c>
      <c r="E67" s="79">
        <f t="shared" si="14"/>
        <v>0</v>
      </c>
      <c r="G67" s="41"/>
      <c r="H67" s="41"/>
      <c r="I67" s="41"/>
      <c r="J67" s="58"/>
    </row>
    <row r="68" spans="1:10" ht="19.95" customHeight="1" x14ac:dyDescent="0.3">
      <c r="A68" s="378"/>
      <c r="B68" s="379"/>
      <c r="C68" s="77">
        <f t="shared" si="12"/>
        <v>0</v>
      </c>
      <c r="D68" s="78">
        <f t="shared" si="13"/>
        <v>0</v>
      </c>
      <c r="E68" s="79">
        <f t="shared" si="14"/>
        <v>0</v>
      </c>
      <c r="G68" s="41"/>
      <c r="H68" s="41"/>
      <c r="I68" s="41"/>
      <c r="J68" s="58"/>
    </row>
    <row r="69" spans="1:10" ht="19.95" customHeight="1" x14ac:dyDescent="0.3">
      <c r="A69" s="378"/>
      <c r="B69" s="379"/>
      <c r="C69" s="77">
        <f t="shared" si="12"/>
        <v>0</v>
      </c>
      <c r="D69" s="78">
        <f t="shared" si="13"/>
        <v>0</v>
      </c>
      <c r="E69" s="79">
        <f t="shared" si="14"/>
        <v>0</v>
      </c>
      <c r="G69" s="41"/>
      <c r="H69" s="41"/>
      <c r="I69" s="41"/>
      <c r="J69" s="58"/>
    </row>
    <row r="70" spans="1:10" ht="19.95" customHeight="1" x14ac:dyDescent="0.3">
      <c r="A70" s="378"/>
      <c r="B70" s="379"/>
      <c r="C70" s="77">
        <f t="shared" si="12"/>
        <v>0</v>
      </c>
      <c r="D70" s="78">
        <f t="shared" si="13"/>
        <v>0</v>
      </c>
      <c r="E70" s="79">
        <f t="shared" si="14"/>
        <v>0</v>
      </c>
      <c r="G70" s="41"/>
      <c r="H70" s="41"/>
      <c r="I70" s="41"/>
      <c r="J70" s="58"/>
    </row>
    <row r="71" spans="1:10" ht="19.95" customHeight="1" x14ac:dyDescent="0.3">
      <c r="A71" s="378"/>
      <c r="B71" s="379"/>
      <c r="C71" s="77">
        <f t="shared" si="12"/>
        <v>0</v>
      </c>
      <c r="D71" s="78">
        <f t="shared" si="13"/>
        <v>0</v>
      </c>
      <c r="E71" s="79">
        <f t="shared" si="14"/>
        <v>0</v>
      </c>
      <c r="G71" s="41"/>
      <c r="H71" s="41"/>
      <c r="I71" s="41"/>
      <c r="J71" s="58"/>
    </row>
    <row r="72" spans="1:10" ht="19.95" customHeight="1" x14ac:dyDescent="0.3">
      <c r="A72" s="378"/>
      <c r="B72" s="379"/>
      <c r="C72" s="77">
        <f t="shared" si="12"/>
        <v>0</v>
      </c>
      <c r="D72" s="78">
        <f t="shared" si="13"/>
        <v>0</v>
      </c>
      <c r="E72" s="79">
        <f t="shared" si="14"/>
        <v>0</v>
      </c>
      <c r="G72" s="41"/>
      <c r="H72" s="41"/>
      <c r="I72" s="41"/>
      <c r="J72" s="58"/>
    </row>
    <row r="73" spans="1:10" ht="19.95" customHeight="1" x14ac:dyDescent="0.3">
      <c r="A73" s="378"/>
      <c r="B73" s="379"/>
      <c r="C73" s="77">
        <f t="shared" si="12"/>
        <v>0</v>
      </c>
      <c r="D73" s="78">
        <f t="shared" si="13"/>
        <v>0</v>
      </c>
      <c r="E73" s="79">
        <f t="shared" si="14"/>
        <v>0</v>
      </c>
      <c r="G73" s="41"/>
      <c r="H73" s="41"/>
      <c r="I73" s="41"/>
      <c r="J73" s="58"/>
    </row>
    <row r="74" spans="1:10" ht="19.95" customHeight="1" x14ac:dyDescent="0.3">
      <c r="A74" s="378"/>
      <c r="B74" s="379"/>
      <c r="C74" s="77">
        <f>IF( B74&gt;$B$79,"błąd",IF((ISBLANK(A74)=TRUE),0,DATEDIF(A74,B74+1,"Y")))</f>
        <v>0</v>
      </c>
      <c r="D74" s="78">
        <f>IF(B74&gt;$B$79, "błąd",IF((ISBLANK(A74)=TRUE),0,DATEDIF(A74,B74+1,"YM")))</f>
        <v>0</v>
      </c>
      <c r="E74" s="79">
        <f>IF(B74&gt;$B$79,"błąd",IF((ISBLANK(A74)=TRUE),0,DATEDIF(A74,B74+1,"MD")))</f>
        <v>0</v>
      </c>
      <c r="G74" s="41"/>
      <c r="H74" s="41"/>
      <c r="I74" s="41"/>
      <c r="J74" s="58"/>
    </row>
    <row r="75" spans="1:10" ht="19.95" customHeight="1" x14ac:dyDescent="0.3">
      <c r="A75" s="378"/>
      <c r="B75" s="379"/>
      <c r="C75" s="77">
        <f>IF( B75&gt;$B$79,"błąd",IF((ISBLANK(A75)=TRUE),0,DATEDIF(A75,B75+1,"Y")))</f>
        <v>0</v>
      </c>
      <c r="D75" s="78">
        <f>IF(B75&gt;$B$79, "błąd",IF((ISBLANK(A75)=TRUE),0,DATEDIF(A75,B75+1,"YM")))</f>
        <v>0</v>
      </c>
      <c r="E75" s="79">
        <f>IF(B75&gt;$B$79,"błąd",IF((ISBLANK(A75)=TRUE),0,DATEDIF(A75,B75+1,"MD")))</f>
        <v>0</v>
      </c>
      <c r="G75" s="41"/>
      <c r="H75" s="41"/>
      <c r="I75" s="41"/>
      <c r="J75" s="58"/>
    </row>
    <row r="76" spans="1:10" ht="19.95" customHeight="1" thickBot="1" x14ac:dyDescent="0.35">
      <c r="A76" s="378"/>
      <c r="B76" s="379"/>
      <c r="C76" s="77">
        <f>IF( B76&gt;$B$79,"błąd",IF((ISBLANK(A76)=TRUE),0,DATEDIF(A76,B76+1,"Y")))</f>
        <v>0</v>
      </c>
      <c r="D76" s="78">
        <f>IF(B76&gt;$B$79, "błąd",IF((ISBLANK(A76)=TRUE),0,DATEDIF(A76,B76+1,"YM")))</f>
        <v>0</v>
      </c>
      <c r="E76" s="79">
        <f>IF(B76&gt;$B$79,"błąd",IF((ISBLANK(A76)=TRUE),0,DATEDIF(A76,B76+1,"MD")))</f>
        <v>0</v>
      </c>
      <c r="G76" s="41"/>
      <c r="H76" s="41"/>
      <c r="I76" s="41"/>
      <c r="J76" s="58"/>
    </row>
    <row r="77" spans="1:10" ht="19.95" customHeight="1" thickBot="1" x14ac:dyDescent="0.35">
      <c r="A77" s="431" t="s">
        <v>92</v>
      </c>
      <c r="B77" s="426"/>
      <c r="C77" s="80">
        <f>SUM(C46:C76)+INT((SUM(D46:D76)+INT(SUM(E46:E76)/30))/12)</f>
        <v>0</v>
      </c>
      <c r="D77" s="80">
        <f>MOD(SUM(D46:D76)+INT(SUM(E46:E76)/30),12)</f>
        <v>0</v>
      </c>
      <c r="E77" s="81">
        <f>MOD(SUM(E46:E76),30)</f>
        <v>0</v>
      </c>
    </row>
    <row r="78" spans="1:10" ht="19.95" customHeight="1" thickBot="1" x14ac:dyDescent="0.35">
      <c r="A78" s="429" t="s">
        <v>93</v>
      </c>
      <c r="B78" s="430"/>
      <c r="C78" s="82">
        <f>INT(C77*1.5)+INT((D77+IF(MOD(C77*1.5,1)=0.5,6,0))/12)</f>
        <v>0</v>
      </c>
      <c r="D78" s="83">
        <f>MOD((D77+IF(MOD(C77*1.5,1)=0.5,6,0)),12)</f>
        <v>0</v>
      </c>
      <c r="E78" s="84">
        <f>E77</f>
        <v>0</v>
      </c>
    </row>
    <row r="79" spans="1:10" ht="19.95" customHeight="1" x14ac:dyDescent="0.3">
      <c r="A79" s="6"/>
      <c r="B79" s="85">
        <v>41274</v>
      </c>
      <c r="C79" s="86"/>
      <c r="D79" s="86"/>
      <c r="E79" s="86"/>
    </row>
    <row r="80" spans="1:10" ht="19.95" customHeight="1" x14ac:dyDescent="0.3">
      <c r="A80" s="6"/>
      <c r="B80" s="6"/>
      <c r="C80" s="86"/>
      <c r="D80" s="86"/>
      <c r="E80" s="86"/>
    </row>
    <row r="81" spans="1:5" ht="15" thickBot="1" x14ac:dyDescent="0.35">
      <c r="A81" s="500" t="s">
        <v>50</v>
      </c>
      <c r="B81" s="500"/>
      <c r="C81" s="500"/>
      <c r="D81" s="500"/>
      <c r="E81" s="500"/>
    </row>
    <row r="82" spans="1:5" ht="34.950000000000003" customHeight="1" thickBot="1" x14ac:dyDescent="0.35">
      <c r="A82" s="423" t="s">
        <v>51</v>
      </c>
      <c r="B82" s="424"/>
      <c r="C82" s="87">
        <f>C21</f>
        <v>0</v>
      </c>
      <c r="D82" s="87">
        <f t="shared" ref="D82:E82" si="15">D21</f>
        <v>0</v>
      </c>
      <c r="E82" s="88">
        <f t="shared" si="15"/>
        <v>0</v>
      </c>
    </row>
    <row r="83" spans="1:5" ht="31.95" customHeight="1" thickBot="1" x14ac:dyDescent="0.35">
      <c r="A83" s="427" t="s">
        <v>52</v>
      </c>
      <c r="B83" s="428"/>
      <c r="C83" s="99">
        <f>C78</f>
        <v>0</v>
      </c>
      <c r="D83" s="100">
        <f t="shared" ref="D83:E83" si="16">D78</f>
        <v>0</v>
      </c>
      <c r="E83" s="91">
        <f t="shared" si="16"/>
        <v>0</v>
      </c>
    </row>
    <row r="84" spans="1:5" ht="40.200000000000003" customHeight="1" thickBot="1" x14ac:dyDescent="0.35">
      <c r="A84" s="420" t="s">
        <v>69</v>
      </c>
      <c r="B84" s="421"/>
      <c r="C84" s="92">
        <f>SUM(C82:C83)+INT((SUM(D82:D83)+INT(SUM(E82:E83)/30))/12)</f>
        <v>0</v>
      </c>
      <c r="D84" s="93">
        <f>MOD((D82+D83)+INT((E82+E83)/30),12)</f>
        <v>0</v>
      </c>
      <c r="E84" s="94">
        <f>MOD((E82+E83),30)</f>
        <v>0</v>
      </c>
    </row>
    <row r="86" spans="1:5" ht="15" thickBot="1" x14ac:dyDescent="0.35">
      <c r="A86" s="501" t="s">
        <v>65</v>
      </c>
      <c r="B86" s="501"/>
      <c r="C86" s="501"/>
      <c r="D86" s="501"/>
      <c r="E86" s="501"/>
    </row>
    <row r="87" spans="1:5" ht="36" customHeight="1" thickBot="1" x14ac:dyDescent="0.35">
      <c r="A87" s="423" t="s">
        <v>51</v>
      </c>
      <c r="B87" s="424"/>
      <c r="C87" s="88">
        <f>C21</f>
        <v>0</v>
      </c>
      <c r="D87" s="88">
        <f t="shared" ref="D87:E87" si="17">D8</f>
        <v>0</v>
      </c>
      <c r="E87" s="7">
        <f t="shared" si="17"/>
        <v>0</v>
      </c>
    </row>
    <row r="88" spans="1:5" ht="48.6" customHeight="1" thickBot="1" x14ac:dyDescent="0.35">
      <c r="A88" s="425" t="s">
        <v>53</v>
      </c>
      <c r="B88" s="426"/>
      <c r="C88" s="90">
        <f>C77</f>
        <v>0</v>
      </c>
      <c r="D88" s="90">
        <f>D77</f>
        <v>0</v>
      </c>
      <c r="E88" s="91">
        <f>E77</f>
        <v>0</v>
      </c>
    </row>
    <row r="89" spans="1:5" ht="58.95" customHeight="1" thickBot="1" x14ac:dyDescent="0.35">
      <c r="A89" s="420" t="s">
        <v>68</v>
      </c>
      <c r="B89" s="421"/>
      <c r="C89" s="92">
        <f>SUM(C87:C88)+INT((SUM(D87:D88)+INT(SUM(E87:E88)/30))/12)</f>
        <v>0</v>
      </c>
      <c r="D89" s="93">
        <f>MOD((D87+D88)+INT((E87+E88)/30),12)</f>
        <v>0</v>
      </c>
      <c r="E89" s="94">
        <f>MOD((E87+E88),30)</f>
        <v>0</v>
      </c>
    </row>
  </sheetData>
  <sheetProtection algorithmName="SHA-512" hashValue="il8PH7JGwd/57S7u6nmnNl7EwPaKBsUNOjqATu7nEzKDzZIzotVF8MTQYofnyoIWPQzkkYYClPmqU3IU43+VpQ==" saltValue="jdHOX/iLlDhz+fv+pblH4A==" spinCount="100000" sheet="1" objects="1" scenarios="1"/>
  <mergeCells count="36">
    <mergeCell ref="A89:B89"/>
    <mergeCell ref="A84:B84"/>
    <mergeCell ref="A77:B77"/>
    <mergeCell ref="A78:B78"/>
    <mergeCell ref="A82:B82"/>
    <mergeCell ref="A83:B83"/>
    <mergeCell ref="A81:E81"/>
    <mergeCell ref="A86:E86"/>
    <mergeCell ref="A87:B87"/>
    <mergeCell ref="A88:B88"/>
    <mergeCell ref="L4:L6"/>
    <mergeCell ref="G11:J11"/>
    <mergeCell ref="G1:K2"/>
    <mergeCell ref="H6:J6"/>
    <mergeCell ref="G18:J18"/>
    <mergeCell ref="G8:G9"/>
    <mergeCell ref="G17:J17"/>
    <mergeCell ref="G13:J13"/>
    <mergeCell ref="A44:E44"/>
    <mergeCell ref="A5:B5"/>
    <mergeCell ref="A4:B4"/>
    <mergeCell ref="A7:E7"/>
    <mergeCell ref="A3:B3"/>
    <mergeCell ref="E4:E5"/>
    <mergeCell ref="A23:E23"/>
    <mergeCell ref="A8:E8"/>
    <mergeCell ref="A21:B21"/>
    <mergeCell ref="G25:K27"/>
    <mergeCell ref="G16:J16"/>
    <mergeCell ref="G12:J12"/>
    <mergeCell ref="A1:E2"/>
    <mergeCell ref="A41:B41"/>
    <mergeCell ref="G14:J14"/>
    <mergeCell ref="G15:J15"/>
    <mergeCell ref="G19:J19"/>
    <mergeCell ref="G21:K23"/>
  </mergeCells>
  <conditionalFormatting sqref="K13">
    <cfRule type="expression" dxfId="36" priority="1">
      <formula>$H$9&lt;32</formula>
    </cfRule>
  </conditionalFormatting>
  <dataValidations xWindow="514" yWindow="506" count="3">
    <dataValidation type="date" allowBlank="1" showErrorMessage="1" error="Data musi być późniejsza od 1999-01-01 i wcześniejsza od 2003-10-01" prompt="Proszę wypenić pole w formacie daty, _x000a_tj.: RRRR-MM-DD, gdzie:_x000a_RRRR - rok_x000a_MM - miesiąc_x000a_DD - dzień_x000a_" sqref="C4">
      <formula1>36162</formula1>
      <formula2>37894</formula2>
    </dataValidation>
    <dataValidation type="date" allowBlank="1" showInputMessage="1" showErrorMessage="1" error="Data musi być późniejsza od 1999-01-01 i wcześniejsza od 2003-10-01_x000a_Data w formacie RRRR-MM-DD_x000a_" prompt="Proszę wypenić pole w formacie daty, _x000a_tj.: RRRR-MM-DD, gdzie:_x000a_RRRR - rok_x000a_MM - miesiąc_x000a_DD - dzień_x000a_" sqref="C5">
      <formula1>1</formula1>
      <formula2>402133</formula2>
    </dataValidation>
    <dataValidation type="date" allowBlank="1" showInputMessage="1" showErrorMessage="1" error="Data w formacie RRRR-MM-DD" sqref="A10:B20 A25:B40 A46:B76">
      <formula1>1</formula1>
      <formula2>402133</formula2>
    </dataValidation>
  </dataValidations>
  <pageMargins left="0.35" right="0.39" top="0.46" bottom="0.21" header="0.22" footer="0.17"/>
  <pageSetup paperSize="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14" yWindow="506" count="2">
        <x14:dataValidation type="list" allowBlank="1" showInputMessage="1" showErrorMessage="1">
          <x14:formula1>
            <xm:f>Roboczy!$A$1:$A$17</xm:f>
          </x14:formula1>
          <xm:sqref>D4</xm:sqref>
        </x14:dataValidation>
        <x14:dataValidation type="list" allowBlank="1" showInputMessage="1" showErrorMessage="1">
          <x14:formula1>
            <xm:f>Roboczy!$C$23:$C$28</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67"/>
  <sheetViews>
    <sheetView showGridLines="0" topLeftCell="A37" workbookViewId="0">
      <selection activeCell="A48" sqref="A48"/>
    </sheetView>
  </sheetViews>
  <sheetFormatPr defaultColWidth="8.88671875" defaultRowHeight="14.4" x14ac:dyDescent="0.3"/>
  <cols>
    <col min="1" max="1" width="20.6640625" style="64" customWidth="1"/>
    <col min="2" max="2" width="13.88671875" style="64" customWidth="1"/>
    <col min="3" max="3" width="18.5546875" style="170" customWidth="1"/>
    <col min="4" max="4" width="17.33203125" style="171" customWidth="1"/>
    <col min="5" max="5" width="14.6640625" style="169" hidden="1" customWidth="1"/>
    <col min="6" max="6" width="21.44140625" style="165" customWidth="1"/>
    <col min="7" max="7" width="11.33203125" style="184" hidden="1" customWidth="1"/>
    <col min="8" max="8" width="7.33203125" style="123" customWidth="1"/>
    <col min="9" max="9" width="8.88671875" style="123" customWidth="1"/>
    <col min="10" max="16384" width="8.88671875" style="2"/>
  </cols>
  <sheetData>
    <row r="1" spans="1:9" ht="37.200000000000003" customHeight="1" thickBot="1" x14ac:dyDescent="0.35">
      <c r="A1" s="506" t="s">
        <v>125</v>
      </c>
      <c r="B1" s="501"/>
      <c r="C1" s="501"/>
      <c r="D1" s="501"/>
      <c r="E1" s="501"/>
      <c r="F1" s="501"/>
      <c r="G1" s="177"/>
    </row>
    <row r="2" spans="1:9" ht="31.95" customHeight="1" thickBot="1" x14ac:dyDescent="0.35">
      <c r="A2" s="547" t="s">
        <v>116</v>
      </c>
      <c r="B2" s="548"/>
      <c r="C2" s="548"/>
      <c r="D2" s="548"/>
      <c r="E2" s="548"/>
      <c r="F2" s="549"/>
      <c r="G2" s="152"/>
    </row>
    <row r="3" spans="1:9" ht="102" customHeight="1" thickBot="1" x14ac:dyDescent="0.35">
      <c r="A3" s="196" t="s">
        <v>25</v>
      </c>
      <c r="B3" s="172" t="s">
        <v>140</v>
      </c>
      <c r="C3" s="153" t="s">
        <v>144</v>
      </c>
      <c r="D3" s="224" t="s">
        <v>126</v>
      </c>
      <c r="E3" s="154" t="s">
        <v>103</v>
      </c>
      <c r="F3" s="223" t="s">
        <v>141</v>
      </c>
      <c r="G3" s="155" t="s">
        <v>104</v>
      </c>
    </row>
    <row r="4" spans="1:9" ht="11.4" customHeight="1" thickBot="1" x14ac:dyDescent="0.35">
      <c r="A4" s="220">
        <v>1</v>
      </c>
      <c r="B4" s="280">
        <v>2</v>
      </c>
      <c r="C4" s="284">
        <v>3</v>
      </c>
      <c r="D4" s="221">
        <v>4</v>
      </c>
      <c r="E4" s="222">
        <v>5</v>
      </c>
      <c r="F4" s="222">
        <v>5</v>
      </c>
      <c r="G4" s="156"/>
      <c r="H4" s="178"/>
    </row>
    <row r="5" spans="1:9" ht="16.2" customHeight="1" x14ac:dyDescent="0.3">
      <c r="A5" s="285">
        <v>2000</v>
      </c>
      <c r="B5" s="336"/>
      <c r="C5" s="202"/>
      <c r="D5" s="275">
        <f>IFERROR(HLOOKUP($B5,PRZECIĘTNE!$B$3:$J$31,4,0),0)</f>
        <v>0</v>
      </c>
      <c r="E5" s="277">
        <f>IFERROR(ROUND(C5/D5,4),0)</f>
        <v>0</v>
      </c>
      <c r="F5" s="174">
        <f t="shared" ref="F5:F21" si="0">E5</f>
        <v>0</v>
      </c>
      <c r="G5" s="157">
        <v>1</v>
      </c>
      <c r="I5" s="123">
        <v>5</v>
      </c>
    </row>
    <row r="6" spans="1:9" ht="16.2" customHeight="1" x14ac:dyDescent="0.3">
      <c r="A6" s="286">
        <v>2001</v>
      </c>
      <c r="B6" s="337"/>
      <c r="C6" s="203"/>
      <c r="D6" s="211">
        <f>IFERROR(HLOOKUP($B6,PRZECIĘTNE!$B$3:$J$31,5,0),0)</f>
        <v>0</v>
      </c>
      <c r="E6" s="277">
        <f t="shared" ref="E6:E30" si="1">IFERROR(ROUND(C6/D6,4),0)</f>
        <v>0</v>
      </c>
      <c r="F6" s="175">
        <f t="shared" si="0"/>
        <v>0</v>
      </c>
      <c r="G6" s="157">
        <v>2</v>
      </c>
      <c r="I6" s="123">
        <v>6</v>
      </c>
    </row>
    <row r="7" spans="1:9" ht="16.2" customHeight="1" x14ac:dyDescent="0.3">
      <c r="A7" s="286">
        <v>2002</v>
      </c>
      <c r="B7" s="337"/>
      <c r="C7" s="203"/>
      <c r="D7" s="211">
        <f>IFERROR(HLOOKUP($B7,PRZECIĘTNE!$B$3:$J$31,6,0),0)</f>
        <v>0</v>
      </c>
      <c r="E7" s="277">
        <f t="shared" si="1"/>
        <v>0</v>
      </c>
      <c r="F7" s="175">
        <f t="shared" si="0"/>
        <v>0</v>
      </c>
      <c r="G7" s="157">
        <v>3</v>
      </c>
      <c r="I7" s="123">
        <v>7</v>
      </c>
    </row>
    <row r="8" spans="1:9" ht="16.2" customHeight="1" x14ac:dyDescent="0.3">
      <c r="A8" s="286">
        <v>2003</v>
      </c>
      <c r="B8" s="337"/>
      <c r="C8" s="203"/>
      <c r="D8" s="211">
        <f>IFERROR(HLOOKUP($B8,PRZECIĘTNE!$B$3:$J$31,7,0),0)</f>
        <v>0</v>
      </c>
      <c r="E8" s="277">
        <f t="shared" si="1"/>
        <v>0</v>
      </c>
      <c r="F8" s="175">
        <f t="shared" si="0"/>
        <v>0</v>
      </c>
      <c r="G8" s="157">
        <v>4</v>
      </c>
      <c r="I8" s="123">
        <v>8</v>
      </c>
    </row>
    <row r="9" spans="1:9" ht="16.2" customHeight="1" x14ac:dyDescent="0.3">
      <c r="A9" s="286">
        <v>2004</v>
      </c>
      <c r="B9" s="337"/>
      <c r="C9" s="203"/>
      <c r="D9" s="211">
        <f>IFERROR(HLOOKUP($B9,PRZECIĘTNE!$B$3:$J$31,8,0),0)</f>
        <v>0</v>
      </c>
      <c r="E9" s="277">
        <f t="shared" si="1"/>
        <v>0</v>
      </c>
      <c r="F9" s="175">
        <f t="shared" si="0"/>
        <v>0</v>
      </c>
      <c r="G9" s="157">
        <v>5</v>
      </c>
      <c r="I9" s="123">
        <v>9</v>
      </c>
    </row>
    <row r="10" spans="1:9" ht="16.2" customHeight="1" x14ac:dyDescent="0.3">
      <c r="A10" s="286">
        <v>2005</v>
      </c>
      <c r="B10" s="337"/>
      <c r="C10" s="203"/>
      <c r="D10" s="211">
        <f>IFERROR(HLOOKUP($B10,PRZECIĘTNE!$B$3:$J$31,9,0),0)</f>
        <v>0</v>
      </c>
      <c r="E10" s="277">
        <f t="shared" si="1"/>
        <v>0</v>
      </c>
      <c r="F10" s="175">
        <f t="shared" si="0"/>
        <v>0</v>
      </c>
      <c r="G10" s="157">
        <v>6</v>
      </c>
      <c r="I10" s="123">
        <v>10</v>
      </c>
    </row>
    <row r="11" spans="1:9" ht="16.2" customHeight="1" x14ac:dyDescent="0.3">
      <c r="A11" s="286">
        <v>2006</v>
      </c>
      <c r="B11" s="337"/>
      <c r="C11" s="203"/>
      <c r="D11" s="211">
        <f>IFERROR(HLOOKUP($B11,PRZECIĘTNE!$B$3:$J$31,10,0),0)</f>
        <v>0</v>
      </c>
      <c r="E11" s="277">
        <f t="shared" si="1"/>
        <v>0</v>
      </c>
      <c r="F11" s="175">
        <f t="shared" si="0"/>
        <v>0</v>
      </c>
      <c r="G11" s="157">
        <v>7</v>
      </c>
      <c r="I11" s="123">
        <v>11</v>
      </c>
    </row>
    <row r="12" spans="1:9" ht="16.2" customHeight="1" x14ac:dyDescent="0.3">
      <c r="A12" s="286">
        <v>2007</v>
      </c>
      <c r="B12" s="337"/>
      <c r="C12" s="203"/>
      <c r="D12" s="211">
        <f>IFERROR(HLOOKUP($B12,PRZECIĘTNE!$B$3:$J$31,11,0),0)</f>
        <v>0</v>
      </c>
      <c r="E12" s="277">
        <f t="shared" si="1"/>
        <v>0</v>
      </c>
      <c r="F12" s="175">
        <f t="shared" si="0"/>
        <v>0</v>
      </c>
      <c r="G12" s="157">
        <v>8</v>
      </c>
      <c r="I12" s="123">
        <v>12</v>
      </c>
    </row>
    <row r="13" spans="1:9" ht="16.2" customHeight="1" x14ac:dyDescent="0.3">
      <c r="A13" s="286">
        <v>2008</v>
      </c>
      <c r="B13" s="337"/>
      <c r="C13" s="203"/>
      <c r="D13" s="211">
        <f>IFERROR(HLOOKUP($B13,PRZECIĘTNE!$B$3:$J$31,12,0),0)</f>
        <v>0</v>
      </c>
      <c r="E13" s="277">
        <f t="shared" si="1"/>
        <v>0</v>
      </c>
      <c r="F13" s="175">
        <f t="shared" si="0"/>
        <v>0</v>
      </c>
      <c r="G13" s="157">
        <v>9</v>
      </c>
      <c r="I13" s="123">
        <v>13</v>
      </c>
    </row>
    <row r="14" spans="1:9" ht="16.2" customHeight="1" x14ac:dyDescent="0.3">
      <c r="A14" s="286">
        <v>2009</v>
      </c>
      <c r="B14" s="337"/>
      <c r="C14" s="203"/>
      <c r="D14" s="211">
        <f>IFERROR(HLOOKUP($B14,PRZECIĘTNE!$B$3:$J$31,13,0),0)</f>
        <v>0</v>
      </c>
      <c r="E14" s="277">
        <f t="shared" si="1"/>
        <v>0</v>
      </c>
      <c r="F14" s="175">
        <f t="shared" si="0"/>
        <v>0</v>
      </c>
      <c r="G14" s="192">
        <f t="shared" ref="G14:G22" si="2">SUM($F5:$F14)</f>
        <v>0</v>
      </c>
      <c r="I14" s="123">
        <v>14</v>
      </c>
    </row>
    <row r="15" spans="1:9" ht="16.2" customHeight="1" x14ac:dyDescent="0.3">
      <c r="A15" s="286">
        <v>2010</v>
      </c>
      <c r="B15" s="337"/>
      <c r="C15" s="203"/>
      <c r="D15" s="211">
        <f>IFERROR(HLOOKUP($B15,PRZECIĘTNE!$B$3:$J$31,14,0),0)</f>
        <v>0</v>
      </c>
      <c r="E15" s="277">
        <f t="shared" si="1"/>
        <v>0</v>
      </c>
      <c r="F15" s="175">
        <f t="shared" si="0"/>
        <v>0</v>
      </c>
      <c r="G15" s="192">
        <f t="shared" si="2"/>
        <v>0</v>
      </c>
      <c r="I15" s="123">
        <v>15</v>
      </c>
    </row>
    <row r="16" spans="1:9" ht="16.2" customHeight="1" x14ac:dyDescent="0.3">
      <c r="A16" s="286">
        <v>2011</v>
      </c>
      <c r="B16" s="337"/>
      <c r="C16" s="203"/>
      <c r="D16" s="211">
        <f>IFERROR(HLOOKUP($B16,PRZECIĘTNE!$B$3:$J$31,15,0),0)</f>
        <v>0</v>
      </c>
      <c r="E16" s="277">
        <f t="shared" si="1"/>
        <v>0</v>
      </c>
      <c r="F16" s="175">
        <f t="shared" si="0"/>
        <v>0</v>
      </c>
      <c r="G16" s="192">
        <f t="shared" si="2"/>
        <v>0</v>
      </c>
      <c r="I16" s="123">
        <v>16</v>
      </c>
    </row>
    <row r="17" spans="1:9" ht="16.2" customHeight="1" x14ac:dyDescent="0.3">
      <c r="A17" s="286">
        <v>2012</v>
      </c>
      <c r="B17" s="337"/>
      <c r="C17" s="203"/>
      <c r="D17" s="211">
        <f>IFERROR(HLOOKUP($B17,PRZECIĘTNE!$B$3:$J$31,16,0),0)</f>
        <v>0</v>
      </c>
      <c r="E17" s="277">
        <f t="shared" si="1"/>
        <v>0</v>
      </c>
      <c r="F17" s="175">
        <f t="shared" si="0"/>
        <v>0</v>
      </c>
      <c r="G17" s="192">
        <f t="shared" si="2"/>
        <v>0</v>
      </c>
      <c r="I17" s="123">
        <v>17</v>
      </c>
    </row>
    <row r="18" spans="1:9" ht="16.2" customHeight="1" x14ac:dyDescent="0.3">
      <c r="A18" s="286">
        <v>2013</v>
      </c>
      <c r="B18" s="337"/>
      <c r="C18" s="203"/>
      <c r="D18" s="211">
        <f>IFERROR(HLOOKUP($B18,PRZECIĘTNE!$B$3:$J$31,17,0),0)</f>
        <v>0</v>
      </c>
      <c r="E18" s="277">
        <f t="shared" si="1"/>
        <v>0</v>
      </c>
      <c r="F18" s="175">
        <f t="shared" si="0"/>
        <v>0</v>
      </c>
      <c r="G18" s="192">
        <f t="shared" si="2"/>
        <v>0</v>
      </c>
      <c r="I18" s="123">
        <v>18</v>
      </c>
    </row>
    <row r="19" spans="1:9" ht="16.2" customHeight="1" x14ac:dyDescent="0.3">
      <c r="A19" s="286">
        <v>2014</v>
      </c>
      <c r="B19" s="337"/>
      <c r="C19" s="203"/>
      <c r="D19" s="211">
        <f>IFERROR(HLOOKUP($B19,PRZECIĘTNE!$B$3:$J$31,18,0),0)</f>
        <v>0</v>
      </c>
      <c r="E19" s="277">
        <f t="shared" si="1"/>
        <v>0</v>
      </c>
      <c r="F19" s="175">
        <f t="shared" si="0"/>
        <v>0</v>
      </c>
      <c r="G19" s="192">
        <f t="shared" si="2"/>
        <v>0</v>
      </c>
      <c r="I19" s="123">
        <v>19</v>
      </c>
    </row>
    <row r="20" spans="1:9" ht="16.2" customHeight="1" x14ac:dyDescent="0.3">
      <c r="A20" s="286">
        <v>2015</v>
      </c>
      <c r="B20" s="337"/>
      <c r="C20" s="203"/>
      <c r="D20" s="211">
        <f>IFERROR(HLOOKUP($B20,PRZECIĘTNE!$B$3:$J$31,19,0),0)</f>
        <v>0</v>
      </c>
      <c r="E20" s="277">
        <f t="shared" si="1"/>
        <v>0</v>
      </c>
      <c r="F20" s="175">
        <f t="shared" si="0"/>
        <v>0</v>
      </c>
      <c r="G20" s="192">
        <f t="shared" si="2"/>
        <v>0</v>
      </c>
      <c r="I20" s="123">
        <v>20</v>
      </c>
    </row>
    <row r="21" spans="1:9" ht="16.2" customHeight="1" x14ac:dyDescent="0.3">
      <c r="A21" s="287">
        <v>2016</v>
      </c>
      <c r="B21" s="337"/>
      <c r="C21" s="203"/>
      <c r="D21" s="211">
        <f>IFERROR(HLOOKUP($B21,PRZECIĘTNE!$B$3:$J$31,20,0),0)</f>
        <v>0</v>
      </c>
      <c r="E21" s="277">
        <f t="shared" si="1"/>
        <v>0</v>
      </c>
      <c r="F21" s="195">
        <f t="shared" si="0"/>
        <v>0</v>
      </c>
      <c r="G21" s="193">
        <f t="shared" si="2"/>
        <v>0</v>
      </c>
      <c r="H21" s="183" t="s">
        <v>112</v>
      </c>
      <c r="I21" s="183">
        <v>21</v>
      </c>
    </row>
    <row r="22" spans="1:9" ht="16.2" customHeight="1" x14ac:dyDescent="0.3">
      <c r="A22" s="286">
        <v>2017</v>
      </c>
      <c r="B22" s="337"/>
      <c r="C22" s="203"/>
      <c r="D22" s="211">
        <f>IFERROR(HLOOKUP($B22,PRZECIĘTNE!$B$3:$J$31,21,0),0)</f>
        <v>0</v>
      </c>
      <c r="E22" s="277">
        <f t="shared" si="1"/>
        <v>0</v>
      </c>
      <c r="F22" s="175">
        <f t="shared" ref="F22:F24" si="3">E22</f>
        <v>0</v>
      </c>
      <c r="G22" s="193">
        <f t="shared" si="2"/>
        <v>0</v>
      </c>
      <c r="H22" s="183"/>
      <c r="I22" s="123">
        <v>22</v>
      </c>
    </row>
    <row r="23" spans="1:9" ht="16.2" customHeight="1" x14ac:dyDescent="0.3">
      <c r="A23" s="286">
        <v>2018</v>
      </c>
      <c r="B23" s="337"/>
      <c r="C23" s="203"/>
      <c r="D23" s="211">
        <f>IFERROR(HLOOKUP($B23,PRZECIĘTNE!$B$3:$J$31,22,0),0)</f>
        <v>0</v>
      </c>
      <c r="E23" s="277">
        <f t="shared" si="1"/>
        <v>0</v>
      </c>
      <c r="F23" s="175">
        <f t="shared" si="3"/>
        <v>0</v>
      </c>
      <c r="G23" s="192">
        <f t="shared" ref="G23:G30" si="4">SUM($F14:$F23)</f>
        <v>0</v>
      </c>
      <c r="H23" s="183"/>
      <c r="I23" s="123">
        <v>23</v>
      </c>
    </row>
    <row r="24" spans="1:9" ht="16.2" customHeight="1" x14ac:dyDescent="0.3">
      <c r="A24" s="286">
        <v>2019</v>
      </c>
      <c r="B24" s="337"/>
      <c r="C24" s="203"/>
      <c r="D24" s="211">
        <f>IFERROR(HLOOKUP($B24,PRZECIĘTNE!$B$3:$J$31,23,0),0)</f>
        <v>0</v>
      </c>
      <c r="E24" s="277">
        <f t="shared" si="1"/>
        <v>0</v>
      </c>
      <c r="F24" s="175">
        <f t="shared" si="3"/>
        <v>0</v>
      </c>
      <c r="G24" s="193">
        <f t="shared" si="4"/>
        <v>0</v>
      </c>
      <c r="H24" s="123" t="s">
        <v>111</v>
      </c>
      <c r="I24" s="123">
        <v>24</v>
      </c>
    </row>
    <row r="25" spans="1:9" ht="16.2" customHeight="1" x14ac:dyDescent="0.3">
      <c r="A25" s="286">
        <v>2020</v>
      </c>
      <c r="B25" s="337"/>
      <c r="C25" s="203"/>
      <c r="D25" s="211">
        <f>IFERROR(HLOOKUP($B25,PRZECIĘTNE!$B$3:$J$31,24,0),0)</f>
        <v>0</v>
      </c>
      <c r="E25" s="277">
        <f t="shared" si="1"/>
        <v>0</v>
      </c>
      <c r="F25" s="175">
        <f t="shared" ref="F25:F30" si="5">E25</f>
        <v>0</v>
      </c>
      <c r="G25" s="192">
        <f t="shared" si="4"/>
        <v>0</v>
      </c>
      <c r="H25" s="123" t="s">
        <v>111</v>
      </c>
      <c r="I25" s="123">
        <v>25</v>
      </c>
    </row>
    <row r="26" spans="1:9" ht="16.2" customHeight="1" x14ac:dyDescent="0.3">
      <c r="A26" s="286">
        <v>2021</v>
      </c>
      <c r="B26" s="337"/>
      <c r="C26" s="203"/>
      <c r="D26" s="211">
        <f>IFERROR(HLOOKUP($B26,PRZECIĘTNE!$B$3:$J$31,25,0),0)</f>
        <v>0</v>
      </c>
      <c r="E26" s="277">
        <f t="shared" si="1"/>
        <v>0</v>
      </c>
      <c r="F26" s="175">
        <f t="shared" si="5"/>
        <v>0</v>
      </c>
      <c r="G26" s="192">
        <f t="shared" si="4"/>
        <v>0</v>
      </c>
      <c r="I26" s="123">
        <v>26</v>
      </c>
    </row>
    <row r="27" spans="1:9" ht="16.2" customHeight="1" x14ac:dyDescent="0.3">
      <c r="A27" s="286">
        <v>2022</v>
      </c>
      <c r="B27" s="337"/>
      <c r="C27" s="203"/>
      <c r="D27" s="211">
        <f>IFERROR(HLOOKUP($B27,PRZECIĘTNE!$B$3:$J$31,26,0),0)</f>
        <v>0</v>
      </c>
      <c r="E27" s="277">
        <f t="shared" si="1"/>
        <v>0</v>
      </c>
      <c r="F27" s="175">
        <f t="shared" si="5"/>
        <v>0</v>
      </c>
      <c r="G27" s="192">
        <f t="shared" si="4"/>
        <v>0</v>
      </c>
      <c r="I27" s="123">
        <v>27</v>
      </c>
    </row>
    <row r="28" spans="1:9" ht="16.2" customHeight="1" x14ac:dyDescent="0.3">
      <c r="A28" s="286">
        <v>2023</v>
      </c>
      <c r="B28" s="337"/>
      <c r="C28" s="203"/>
      <c r="D28" s="211">
        <f>IFERROR(HLOOKUP($B28,PRZECIĘTNE!$B$3:$J$31,27,0),0)</f>
        <v>0</v>
      </c>
      <c r="E28" s="277">
        <f t="shared" si="1"/>
        <v>0</v>
      </c>
      <c r="F28" s="175">
        <f t="shared" si="5"/>
        <v>0</v>
      </c>
      <c r="G28" s="192">
        <f t="shared" si="4"/>
        <v>0</v>
      </c>
      <c r="I28" s="123">
        <v>28</v>
      </c>
    </row>
    <row r="29" spans="1:9" ht="16.2" customHeight="1" x14ac:dyDescent="0.3">
      <c r="A29" s="286">
        <v>2024</v>
      </c>
      <c r="B29" s="337"/>
      <c r="C29" s="204"/>
      <c r="D29" s="211">
        <f>IFERROR(HLOOKUP($B29,PRZECIĘTNE!$B$3:$J$31,28,0),0)</f>
        <v>0</v>
      </c>
      <c r="E29" s="277">
        <f t="shared" si="1"/>
        <v>0</v>
      </c>
      <c r="F29" s="175">
        <f t="shared" si="5"/>
        <v>0</v>
      </c>
      <c r="G29" s="192">
        <f t="shared" si="4"/>
        <v>0</v>
      </c>
      <c r="I29" s="123">
        <v>29</v>
      </c>
    </row>
    <row r="30" spans="1:9" ht="16.2" customHeight="1" thickBot="1" x14ac:dyDescent="0.35">
      <c r="A30" s="288">
        <v>2025</v>
      </c>
      <c r="B30" s="338"/>
      <c r="C30" s="204"/>
      <c r="D30" s="276">
        <f>IFERROR(HLOOKUP($B30,PRZECIĘTNE!$B$3:$J$31,29,0),0)</f>
        <v>0</v>
      </c>
      <c r="E30" s="277">
        <f t="shared" si="1"/>
        <v>0</v>
      </c>
      <c r="F30" s="176">
        <f t="shared" si="5"/>
        <v>0</v>
      </c>
      <c r="G30" s="192">
        <f t="shared" si="4"/>
        <v>0</v>
      </c>
      <c r="I30" s="123">
        <v>30</v>
      </c>
    </row>
    <row r="31" spans="1:9" ht="21.6" customHeight="1" thickBot="1" x14ac:dyDescent="0.35">
      <c r="A31" s="550" t="s">
        <v>105</v>
      </c>
      <c r="B31" s="551"/>
      <c r="C31" s="552"/>
      <c r="D31" s="551"/>
      <c r="E31" s="553"/>
      <c r="F31" s="290">
        <f>MAX($G14:$G30)</f>
        <v>0</v>
      </c>
      <c r="G31" s="194">
        <f>MAX($G14:$G30)</f>
        <v>0</v>
      </c>
    </row>
    <row r="32" spans="1:9" ht="28.2" customHeight="1" thickBot="1" x14ac:dyDescent="0.35">
      <c r="A32" s="554" t="s">
        <v>106</v>
      </c>
      <c r="B32" s="555"/>
      <c r="C32" s="555"/>
      <c r="D32" s="555"/>
      <c r="E32" s="556"/>
      <c r="F32" s="158">
        <f>ROUND(F31/10,4)</f>
        <v>0</v>
      </c>
      <c r="G32" s="159"/>
    </row>
    <row r="33" spans="1:9" ht="21.6" customHeight="1" x14ac:dyDescent="0.3">
      <c r="A33" s="504" t="s">
        <v>127</v>
      </c>
      <c r="B33" s="504"/>
      <c r="C33" s="504"/>
      <c r="D33" s="504"/>
      <c r="E33" s="504"/>
      <c r="F33" s="504"/>
      <c r="G33" s="159"/>
    </row>
    <row r="34" spans="1:9" ht="19.2" customHeight="1" thickBot="1" x14ac:dyDescent="0.35">
      <c r="A34" s="160"/>
      <c r="B34" s="160"/>
      <c r="C34" s="160"/>
      <c r="D34" s="160"/>
      <c r="E34" s="160"/>
      <c r="F34" s="161"/>
      <c r="G34" s="179"/>
    </row>
    <row r="35" spans="1:9" ht="23.4" customHeight="1" thickBot="1" x14ac:dyDescent="0.35">
      <c r="A35" s="557" t="s">
        <v>115</v>
      </c>
      <c r="B35" s="558"/>
      <c r="C35" s="558"/>
      <c r="D35" s="558"/>
      <c r="E35" s="559"/>
      <c r="F35" s="296">
        <v>0</v>
      </c>
      <c r="G35" s="180"/>
    </row>
    <row r="36" spans="1:9" ht="16.2" customHeight="1" thickBot="1" x14ac:dyDescent="0.35">
      <c r="A36" s="162"/>
      <c r="B36" s="162"/>
      <c r="C36" s="162"/>
      <c r="D36" s="162"/>
      <c r="E36" s="162"/>
      <c r="F36" s="163"/>
      <c r="G36" s="159"/>
    </row>
    <row r="37" spans="1:9" ht="16.2" customHeight="1" x14ac:dyDescent="0.3">
      <c r="A37" s="507" t="s">
        <v>107</v>
      </c>
      <c r="B37" s="508"/>
      <c r="C37" s="508"/>
      <c r="D37" s="508"/>
      <c r="E37" s="509"/>
      <c r="F37" s="513">
        <f>IF(F35&gt;0%, F35,F32)</f>
        <v>0</v>
      </c>
      <c r="G37" s="181"/>
    </row>
    <row r="38" spans="1:9" ht="16.2" customHeight="1" thickBot="1" x14ac:dyDescent="0.35">
      <c r="A38" s="510"/>
      <c r="B38" s="511"/>
      <c r="C38" s="511"/>
      <c r="D38" s="511"/>
      <c r="E38" s="512"/>
      <c r="F38" s="514"/>
      <c r="G38" s="181"/>
    </row>
    <row r="39" spans="1:9" ht="16.2" customHeight="1" x14ac:dyDescent="0.3">
      <c r="A39" s="515" t="s">
        <v>132</v>
      </c>
      <c r="B39" s="515"/>
      <c r="C39" s="515"/>
      <c r="D39" s="515"/>
      <c r="E39" s="515"/>
      <c r="F39" s="515"/>
      <c r="G39" s="182"/>
    </row>
    <row r="40" spans="1:9" ht="42.6" customHeight="1" x14ac:dyDescent="0.3">
      <c r="A40" s="516"/>
      <c r="B40" s="516"/>
      <c r="C40" s="516"/>
      <c r="D40" s="516"/>
      <c r="E40" s="516"/>
      <c r="F40" s="516"/>
      <c r="G40" s="182"/>
    </row>
    <row r="41" spans="1:9" ht="16.2" customHeight="1" x14ac:dyDescent="0.3">
      <c r="A41" s="516"/>
      <c r="B41" s="516"/>
      <c r="C41" s="516"/>
      <c r="D41" s="516"/>
      <c r="E41" s="516"/>
      <c r="F41" s="516"/>
      <c r="G41" s="159"/>
      <c r="I41" s="183"/>
    </row>
    <row r="42" spans="1:9" ht="16.2" customHeight="1" x14ac:dyDescent="0.3">
      <c r="A42" s="164"/>
      <c r="B42" s="164"/>
      <c r="C42" s="164"/>
      <c r="D42" s="164"/>
      <c r="E42" s="164"/>
      <c r="F42" s="164"/>
    </row>
    <row r="43" spans="1:9" ht="20.399999999999999" customHeight="1" x14ac:dyDescent="0.3">
      <c r="A43" s="505" t="s">
        <v>120</v>
      </c>
      <c r="B43" s="505"/>
      <c r="C43" s="505"/>
      <c r="D43" s="505"/>
      <c r="E43" s="505"/>
      <c r="F43" s="505"/>
      <c r="I43" s="183"/>
    </row>
    <row r="44" spans="1:9" ht="20.399999999999999" customHeight="1" thickBot="1" x14ac:dyDescent="0.35">
      <c r="A44" s="506"/>
      <c r="B44" s="506"/>
      <c r="C44" s="506"/>
      <c r="D44" s="506"/>
      <c r="E44" s="506"/>
      <c r="F44" s="506"/>
      <c r="I44" s="183"/>
    </row>
    <row r="45" spans="1:9" ht="21.6" customHeight="1" thickBot="1" x14ac:dyDescent="0.35">
      <c r="A45" s="543" t="s">
        <v>108</v>
      </c>
      <c r="B45" s="544"/>
      <c r="C45" s="544"/>
      <c r="D45" s="544"/>
      <c r="E45" s="544"/>
      <c r="F45" s="545"/>
      <c r="G45" s="183"/>
      <c r="I45" s="546"/>
    </row>
    <row r="46" spans="1:9" ht="33.6" customHeight="1" x14ac:dyDescent="0.3">
      <c r="A46" s="531" t="s">
        <v>122</v>
      </c>
      <c r="B46" s="541" t="s">
        <v>143</v>
      </c>
      <c r="C46" s="533" t="s">
        <v>110</v>
      </c>
      <c r="D46" s="534"/>
      <c r="E46" s="537" t="s">
        <v>109</v>
      </c>
      <c r="F46" s="538"/>
      <c r="G46" s="185"/>
      <c r="I46" s="546"/>
    </row>
    <row r="47" spans="1:9" ht="62.4" customHeight="1" thickBot="1" x14ac:dyDescent="0.35">
      <c r="A47" s="532"/>
      <c r="B47" s="542"/>
      <c r="C47" s="535"/>
      <c r="D47" s="536"/>
      <c r="E47" s="539"/>
      <c r="F47" s="540"/>
      <c r="G47" s="185"/>
      <c r="I47" s="186"/>
    </row>
    <row r="48" spans="1:9" ht="30" customHeight="1" thickBot="1" x14ac:dyDescent="0.35">
      <c r="A48" s="289"/>
      <c r="B48" s="283"/>
      <c r="C48" s="502">
        <f>IF(OR($A$48="",$B$48=""),0,IF($B$48="Policja",LOOKUP($A$48,PRZECIĘTNE!$L$4:$L$7,PRZECIĘTNE!$M$4:$M$7),IF($B$48="PSP",LOOKUP($A$48,PRZECIĘTNE!$L$4:$L$7,PRZECIĘTNE!$N$4:$N$7),IF($B$48="SG",LOOKUP($A$48,PRZECIĘTNE!$L$4:$L$7,PRZECIĘTNE!$O$4:$O$7),IF($B$48="SOP",LOOKUP($A$48,PRZECIĘTNE!$L$4:$L$7,PRZECIĘTNE!$P$4:$P$7),IF($B$48="ABW",LOOKUP($A$48,PRZECIĘTNE!$L$4:$L$7,PRZECIĘTNE!$Q$4:$Q$7),IF($B$48="AW",LOOKUP($A$48,PRZECIĘTNE!$L$4:$L$7,PRZECIĘTNE!$R$4:$R$7),IF($B$48="CBA",LOOKUP($A$48,PRZECIĘTNE!$L$4:$L$7,PRZECIĘTNE!$S$4:$S$7)))))))))</f>
        <v>0</v>
      </c>
      <c r="D48" s="503" t="e">
        <f>HLOOKUP($B48,PRZECIĘTNE!$B$3:$I$31,4,0)</f>
        <v>#N/A</v>
      </c>
      <c r="F48" s="281">
        <f>F37</f>
        <v>0</v>
      </c>
      <c r="G48" s="187"/>
      <c r="I48" s="188"/>
    </row>
    <row r="49" spans="1:9" ht="37.200000000000003" customHeight="1" thickBot="1" x14ac:dyDescent="0.35">
      <c r="A49" s="517" t="s">
        <v>128</v>
      </c>
      <c r="B49" s="518"/>
      <c r="C49" s="518"/>
      <c r="D49" s="519"/>
      <c r="F49" s="282">
        <f>ROUND(C48*F48,2)</f>
        <v>0</v>
      </c>
      <c r="G49" s="189"/>
      <c r="I49" s="183"/>
    </row>
    <row r="50" spans="1:9" ht="11.4" customHeight="1" x14ac:dyDescent="0.3">
      <c r="A50" s="167"/>
      <c r="B50" s="167"/>
      <c r="C50" s="167"/>
      <c r="D50" s="167"/>
      <c r="E50" s="166"/>
      <c r="F50" s="166"/>
      <c r="G50" s="189"/>
      <c r="I50" s="183"/>
    </row>
    <row r="51" spans="1:9" ht="2.4" customHeight="1" thickBot="1" x14ac:dyDescent="0.35">
      <c r="A51" s="520"/>
      <c r="B51" s="520"/>
      <c r="C51" s="520"/>
      <c r="D51" s="520"/>
      <c r="E51" s="520"/>
      <c r="F51" s="168"/>
      <c r="G51" s="190"/>
    </row>
    <row r="52" spans="1:9" ht="14.4" customHeight="1" x14ac:dyDescent="0.3">
      <c r="A52" s="522" t="s">
        <v>138</v>
      </c>
      <c r="B52" s="523"/>
      <c r="C52" s="523"/>
      <c r="D52" s="523"/>
      <c r="E52" s="523"/>
      <c r="F52" s="524"/>
      <c r="G52" s="190"/>
    </row>
    <row r="53" spans="1:9" ht="14.4" customHeight="1" x14ac:dyDescent="0.3">
      <c r="A53" s="525" t="s">
        <v>139</v>
      </c>
      <c r="B53" s="526"/>
      <c r="C53" s="526"/>
      <c r="D53" s="526"/>
      <c r="E53" s="526"/>
      <c r="F53" s="527"/>
      <c r="G53" s="190"/>
    </row>
    <row r="54" spans="1:9" ht="49.2" customHeight="1" thickBot="1" x14ac:dyDescent="0.35">
      <c r="A54" s="528"/>
      <c r="B54" s="529"/>
      <c r="C54" s="529"/>
      <c r="D54" s="529"/>
      <c r="E54" s="529"/>
      <c r="F54" s="530"/>
      <c r="G54" s="190"/>
    </row>
    <row r="55" spans="1:9" ht="13.95" customHeight="1" x14ac:dyDescent="0.3">
      <c r="A55" s="49"/>
      <c r="B55" s="49"/>
      <c r="C55" s="49"/>
      <c r="D55" s="49"/>
      <c r="F55" s="168"/>
      <c r="G55" s="190"/>
    </row>
    <row r="56" spans="1:9" ht="14.4" customHeight="1" x14ac:dyDescent="0.3">
      <c r="A56" s="521" t="s">
        <v>133</v>
      </c>
      <c r="B56" s="521"/>
      <c r="C56" s="521"/>
      <c r="D56" s="521"/>
      <c r="E56" s="521"/>
      <c r="F56" s="521"/>
      <c r="G56" s="191"/>
    </row>
    <row r="57" spans="1:9" ht="15.6" customHeight="1" x14ac:dyDescent="0.3">
      <c r="A57" s="521"/>
      <c r="B57" s="521"/>
      <c r="C57" s="521"/>
      <c r="D57" s="521"/>
      <c r="E57" s="521"/>
      <c r="F57" s="521"/>
      <c r="G57" s="191"/>
    </row>
    <row r="58" spans="1:9" ht="14.4" customHeight="1" x14ac:dyDescent="0.3">
      <c r="A58" s="521"/>
      <c r="B58" s="521"/>
      <c r="C58" s="521"/>
      <c r="D58" s="521"/>
      <c r="E58" s="521"/>
      <c r="F58" s="521"/>
      <c r="G58" s="191"/>
    </row>
    <row r="59" spans="1:9" ht="14.4" customHeight="1" x14ac:dyDescent="0.3">
      <c r="A59" s="521"/>
      <c r="B59" s="521"/>
      <c r="C59" s="521"/>
      <c r="D59" s="521"/>
      <c r="E59" s="521"/>
      <c r="F59" s="521"/>
      <c r="G59" s="191"/>
    </row>
    <row r="60" spans="1:9" ht="14.4" customHeight="1" x14ac:dyDescent="0.3">
      <c r="G60" s="190"/>
    </row>
    <row r="61" spans="1:9" ht="14.4" customHeight="1" x14ac:dyDescent="0.3">
      <c r="A61" s="464" t="s">
        <v>64</v>
      </c>
      <c r="B61" s="464"/>
      <c r="C61" s="464"/>
      <c r="D61" s="464"/>
      <c r="E61" s="464"/>
      <c r="F61" s="464"/>
      <c r="G61" s="190"/>
    </row>
    <row r="62" spans="1:9" ht="15.6" customHeight="1" x14ac:dyDescent="0.3">
      <c r="A62" s="464"/>
      <c r="B62" s="464"/>
      <c r="C62" s="464"/>
      <c r="D62" s="464"/>
      <c r="E62" s="464"/>
      <c r="F62" s="464"/>
    </row>
    <row r="63" spans="1:9" ht="15.6" customHeight="1" x14ac:dyDescent="0.3">
      <c r="A63" s="464"/>
      <c r="B63" s="464"/>
      <c r="C63" s="464"/>
      <c r="D63" s="464"/>
      <c r="E63" s="464"/>
      <c r="F63" s="464"/>
    </row>
    <row r="64" spans="1:9" ht="14.4" customHeight="1" x14ac:dyDescent="0.3">
      <c r="A64" s="464"/>
      <c r="B64" s="464"/>
      <c r="C64" s="464"/>
      <c r="D64" s="464"/>
      <c r="E64" s="464"/>
      <c r="F64" s="464"/>
    </row>
    <row r="65" spans="1:6" ht="14.4" customHeight="1" x14ac:dyDescent="0.3">
      <c r="A65" s="464"/>
      <c r="B65" s="464"/>
      <c r="C65" s="464"/>
      <c r="D65" s="464"/>
      <c r="E65" s="464"/>
      <c r="F65" s="464"/>
    </row>
    <row r="66" spans="1:6" ht="14.4" customHeight="1" x14ac:dyDescent="0.3"/>
    <row r="67" spans="1:6" ht="14.4" customHeight="1" x14ac:dyDescent="0.3"/>
  </sheetData>
  <sheetProtection algorithmName="SHA-512" hashValue="HFn/q2pPXRR4OPALBlkGirc0ePrJs4NCjlSyiQFyGBd5Nn9oYrJYyunkPV7i9Ox0otd8Ej40X4J4JcAahx+8Ag==" saltValue="GGAwMsXZzii+FgIo3zXwhA==" spinCount="100000" sheet="1" objects="1" scenarios="1"/>
  <mergeCells count="23">
    <mergeCell ref="A45:F45"/>
    <mergeCell ref="I45:I46"/>
    <mergeCell ref="A1:F1"/>
    <mergeCell ref="A2:F2"/>
    <mergeCell ref="A31:E31"/>
    <mergeCell ref="A32:E32"/>
    <mergeCell ref="A35:E35"/>
    <mergeCell ref="A61:F65"/>
    <mergeCell ref="C48:D48"/>
    <mergeCell ref="A33:F33"/>
    <mergeCell ref="A43:F44"/>
    <mergeCell ref="A37:E38"/>
    <mergeCell ref="F37:F38"/>
    <mergeCell ref="A39:F41"/>
    <mergeCell ref="A49:D49"/>
    <mergeCell ref="A51:E51"/>
    <mergeCell ref="A56:F59"/>
    <mergeCell ref="A52:F52"/>
    <mergeCell ref="A53:F54"/>
    <mergeCell ref="A46:A47"/>
    <mergeCell ref="C46:D47"/>
    <mergeCell ref="E46:F47"/>
    <mergeCell ref="B46:B47"/>
  </mergeCells>
  <phoneticPr fontId="51" type="noConversion"/>
  <conditionalFormatting sqref="A5:A14">
    <cfRule type="expression" dxfId="35" priority="1">
      <formula>$G$14=$F$31</formula>
    </cfRule>
  </conditionalFormatting>
  <conditionalFormatting sqref="A6:A15">
    <cfRule type="expression" dxfId="34" priority="2">
      <formula>$G$15=$F$31</formula>
    </cfRule>
  </conditionalFormatting>
  <conditionalFormatting sqref="A7:A16">
    <cfRule type="expression" dxfId="33" priority="3">
      <formula>$G$16=$F$31</formula>
    </cfRule>
  </conditionalFormatting>
  <conditionalFormatting sqref="A8:A17">
    <cfRule type="expression" dxfId="32" priority="4">
      <formula>$G$17=$F$31</formula>
    </cfRule>
  </conditionalFormatting>
  <conditionalFormatting sqref="A9:A18">
    <cfRule type="expression" dxfId="31" priority="5">
      <formula>$G$18=$G$31</formula>
    </cfRule>
  </conditionalFormatting>
  <conditionalFormatting sqref="A10:A19">
    <cfRule type="expression" dxfId="30" priority="6">
      <formula>$G$19=$F$31</formula>
    </cfRule>
  </conditionalFormatting>
  <conditionalFormatting sqref="A11:A20">
    <cfRule type="expression" dxfId="29" priority="7">
      <formula>$G$20=$F$31</formula>
    </cfRule>
  </conditionalFormatting>
  <conditionalFormatting sqref="A12:A21">
    <cfRule type="expression" dxfId="28" priority="8">
      <formula>$G$21=$F$31</formula>
    </cfRule>
  </conditionalFormatting>
  <conditionalFormatting sqref="A13:A22">
    <cfRule type="expression" dxfId="27" priority="9">
      <formula>$G$22=$F$31</formula>
    </cfRule>
  </conditionalFormatting>
  <conditionalFormatting sqref="A14:A23">
    <cfRule type="expression" dxfId="26" priority="10">
      <formula>$G$23=$F$31</formula>
    </cfRule>
  </conditionalFormatting>
  <conditionalFormatting sqref="A15:A24">
    <cfRule type="expression" dxfId="25" priority="11">
      <formula>$G$24=$G$31</formula>
    </cfRule>
  </conditionalFormatting>
  <conditionalFormatting sqref="A16:A25">
    <cfRule type="expression" dxfId="24" priority="12">
      <formula>$G$25=$F$31</formula>
    </cfRule>
  </conditionalFormatting>
  <conditionalFormatting sqref="A17:A26">
    <cfRule type="expression" dxfId="23" priority="13">
      <formula>$G$26=$F$31</formula>
    </cfRule>
  </conditionalFormatting>
  <conditionalFormatting sqref="A18:A27">
    <cfRule type="expression" dxfId="22" priority="14">
      <formula>$G$27=$F$31</formula>
    </cfRule>
  </conditionalFormatting>
  <conditionalFormatting sqref="A19:A28">
    <cfRule type="expression" dxfId="21" priority="15">
      <formula>$G$28=$F$31</formula>
    </cfRule>
  </conditionalFormatting>
  <conditionalFormatting sqref="A20:A29">
    <cfRule type="expression" dxfId="20" priority="16">
      <formula>$G$29=$F$31</formula>
    </cfRule>
  </conditionalFormatting>
  <conditionalFormatting sqref="A21:A30">
    <cfRule type="expression" dxfId="19" priority="17">
      <formula>$G$30=$F$31</formula>
    </cfRule>
  </conditionalFormatting>
  <conditionalFormatting sqref="F5:F14">
    <cfRule type="expression" dxfId="18" priority="18">
      <formula>$G$14=$F$31</formula>
    </cfRule>
  </conditionalFormatting>
  <conditionalFormatting sqref="F6:F15">
    <cfRule type="expression" dxfId="17" priority="19">
      <formula>$G$15=$F$31</formula>
    </cfRule>
  </conditionalFormatting>
  <conditionalFormatting sqref="F7:F16">
    <cfRule type="expression" dxfId="16" priority="20">
      <formula>$G$16=$F$31</formula>
    </cfRule>
  </conditionalFormatting>
  <conditionalFormatting sqref="F8:F17">
    <cfRule type="expression" dxfId="15" priority="21">
      <formula>$G$17=$F$31</formula>
    </cfRule>
  </conditionalFormatting>
  <conditionalFormatting sqref="F9:F18">
    <cfRule type="expression" dxfId="14" priority="22">
      <formula>$G$18=$G$31</formula>
    </cfRule>
  </conditionalFormatting>
  <conditionalFormatting sqref="F10:F19">
    <cfRule type="expression" dxfId="13" priority="23">
      <formula>$G$19=$F$31</formula>
    </cfRule>
  </conditionalFormatting>
  <conditionalFormatting sqref="F11:F20">
    <cfRule type="expression" dxfId="12" priority="24">
      <formula>$G$20=$F$31</formula>
    </cfRule>
  </conditionalFormatting>
  <conditionalFormatting sqref="F12:F21">
    <cfRule type="expression" dxfId="11" priority="25">
      <formula>$G$21=$F$31</formula>
    </cfRule>
  </conditionalFormatting>
  <conditionalFormatting sqref="F13:F22">
    <cfRule type="expression" dxfId="10" priority="26">
      <formula>$G$22=$F$31</formula>
    </cfRule>
  </conditionalFormatting>
  <conditionalFormatting sqref="F14:F23">
    <cfRule type="expression" dxfId="9" priority="28">
      <formula>$G$23=$F$31</formula>
    </cfRule>
  </conditionalFormatting>
  <conditionalFormatting sqref="F15:F24">
    <cfRule type="expression" dxfId="8" priority="29">
      <formula>$G$24=$G$31</formula>
    </cfRule>
  </conditionalFormatting>
  <conditionalFormatting sqref="F16:F25">
    <cfRule type="expression" dxfId="7" priority="30">
      <formula>$G$25=$F$31</formula>
    </cfRule>
  </conditionalFormatting>
  <conditionalFormatting sqref="F17:F26">
    <cfRule type="expression" dxfId="6" priority="31">
      <formula>$G$26=$F$31</formula>
    </cfRule>
  </conditionalFormatting>
  <conditionalFormatting sqref="F18:F27">
    <cfRule type="expression" dxfId="5" priority="32">
      <formula>$G$27=$F$31</formula>
    </cfRule>
  </conditionalFormatting>
  <conditionalFormatting sqref="F19:F28">
    <cfRule type="expression" dxfId="4" priority="33">
      <formula>$G$28=$F$31</formula>
    </cfRule>
  </conditionalFormatting>
  <conditionalFormatting sqref="F20:F29">
    <cfRule type="expression" dxfId="3" priority="34">
      <formula>$G$29=$F$31</formula>
    </cfRule>
  </conditionalFormatting>
  <conditionalFormatting sqref="F21:F30">
    <cfRule type="expression" dxfId="2" priority="64">
      <formula>$G$30=$F$31</formula>
    </cfRule>
  </conditionalFormatting>
  <conditionalFormatting sqref="G21">
    <cfRule type="expression" dxfId="1" priority="69">
      <formula>SUM($F$12:$F$21)=$F$21</formula>
    </cfRule>
  </conditionalFormatting>
  <dataValidations xWindow="1570" yWindow="720" count="1">
    <dataValidation type="date" allowBlank="1" showInputMessage="1" showErrorMessage="1" error="Data &gt;=2025-01-01_x000a_Data w formacie RRRR-MM-DD" sqref="A48">
      <formula1>45658</formula1>
      <formula2>401769</formula2>
    </dataValidation>
  </dataValidations>
  <pageMargins left="0.70866141732283472" right="0.70866141732283472" top="0.23622047244094491" bottom="0.19685039370078741" header="0.15748031496062992" footer="0.15748031496062992"/>
  <pageSetup paperSize="9" scale="63" orientation="portrait" r:id="rId1"/>
  <extLst>
    <ext xmlns:x14="http://schemas.microsoft.com/office/spreadsheetml/2009/9/main" uri="{CCE6A557-97BC-4b89-ADB6-D9C93CAAB3DF}">
      <x14:dataValidations xmlns:xm="http://schemas.microsoft.com/office/excel/2006/main" xWindow="1570" yWindow="720" count="2">
        <x14:dataValidation type="list" allowBlank="1" showInputMessage="1" showErrorMessage="1" error="Wybierz służbę z listy">
          <x14:formula1>
            <xm:f>PRZECIĘTNE!$L$4:$P$4</xm:f>
          </x14:formula1>
          <xm:sqref>B48</xm:sqref>
        </x14:dataValidation>
        <x14:dataValidation type="list" allowBlank="1" showInputMessage="1" showErrorMessage="1" error="Wybierz służbę z listy">
          <x14:formula1>
            <xm:f>PRZECIĘTNE!$A$3:$J$3</xm:f>
          </x14:formula1>
          <xm:sqref>B5:B30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Y42"/>
  <sheetViews>
    <sheetView showGridLines="0" workbookViewId="0">
      <selection activeCell="C4" sqref="C4"/>
    </sheetView>
  </sheetViews>
  <sheetFormatPr defaultColWidth="8.88671875" defaultRowHeight="14.4" x14ac:dyDescent="0.3"/>
  <cols>
    <col min="1" max="2" width="18.6640625" style="2" customWidth="1"/>
    <col min="3" max="3" width="12.6640625" style="2" customWidth="1"/>
    <col min="4" max="4" width="12" style="2" customWidth="1"/>
    <col min="5" max="5" width="15.33203125" style="2" customWidth="1"/>
    <col min="6" max="6" width="5.109375" style="2" customWidth="1"/>
    <col min="7" max="7" width="63.33203125" style="2" customWidth="1"/>
    <col min="8" max="8" width="9.6640625" style="49" customWidth="1"/>
    <col min="9" max="10" width="8.6640625" style="49" customWidth="1"/>
    <col min="11" max="11" width="12.44140625" style="2" customWidth="1"/>
    <col min="12" max="12" width="16" style="2" customWidth="1"/>
    <col min="13" max="13" width="10.88671875" style="2" customWidth="1"/>
    <col min="14" max="14" width="12.6640625" style="2" customWidth="1"/>
    <col min="15" max="15" width="11.44140625" style="2" customWidth="1"/>
    <col min="16" max="16" width="11.5546875" style="2" customWidth="1"/>
    <col min="17" max="16384" width="8.88671875" style="2"/>
  </cols>
  <sheetData>
    <row r="1" spans="1:25" ht="19.2" customHeight="1" x14ac:dyDescent="0.3">
      <c r="A1" s="473" t="s">
        <v>124</v>
      </c>
      <c r="B1" s="473"/>
      <c r="C1" s="473"/>
      <c r="D1" s="473"/>
      <c r="E1" s="473"/>
      <c r="F1" s="126"/>
      <c r="G1" s="569" t="s">
        <v>82</v>
      </c>
      <c r="H1" s="569"/>
      <c r="I1" s="569"/>
      <c r="J1" s="569"/>
      <c r="K1" s="569"/>
      <c r="L1" s="116"/>
      <c r="M1" s="114">
        <v>36161</v>
      </c>
      <c r="N1" s="114">
        <v>36162</v>
      </c>
      <c r="O1" s="114">
        <v>37895</v>
      </c>
      <c r="P1" s="114">
        <v>41275</v>
      </c>
      <c r="Q1" s="123"/>
      <c r="R1" s="124">
        <v>0.09</v>
      </c>
      <c r="S1" s="124">
        <v>0.12</v>
      </c>
      <c r="T1" s="125">
        <v>300</v>
      </c>
      <c r="U1" s="123"/>
      <c r="V1" s="123"/>
      <c r="W1" s="123"/>
      <c r="X1" s="123"/>
      <c r="Y1" s="130"/>
    </row>
    <row r="2" spans="1:25" ht="25.2" customHeight="1" thickBot="1" x14ac:dyDescent="0.35">
      <c r="A2" s="473"/>
      <c r="B2" s="473"/>
      <c r="C2" s="473"/>
      <c r="D2" s="473"/>
      <c r="E2" s="473"/>
      <c r="G2" s="569" t="s">
        <v>121</v>
      </c>
      <c r="H2" s="569"/>
      <c r="I2" s="569"/>
      <c r="J2" s="569"/>
      <c r="K2" s="569"/>
      <c r="L2" s="116"/>
      <c r="M2" s="114"/>
      <c r="N2" s="114"/>
      <c r="O2" s="114"/>
      <c r="P2" s="114"/>
      <c r="Q2" s="123"/>
      <c r="R2" s="124"/>
      <c r="S2" s="124"/>
      <c r="T2" s="125"/>
      <c r="U2" s="123"/>
      <c r="V2" s="123"/>
      <c r="W2" s="123"/>
      <c r="X2" s="123"/>
      <c r="Y2" s="130"/>
    </row>
    <row r="3" spans="1:25" ht="31.2" customHeight="1" thickBot="1" x14ac:dyDescent="0.35">
      <c r="A3" s="573" t="s">
        <v>70</v>
      </c>
      <c r="B3" s="574"/>
      <c r="C3" s="266" t="s">
        <v>15</v>
      </c>
      <c r="D3" s="297" t="s">
        <v>0</v>
      </c>
      <c r="E3" s="300" t="s">
        <v>32</v>
      </c>
      <c r="G3" s="129" t="s">
        <v>87</v>
      </c>
      <c r="H3" s="20" t="s">
        <v>16</v>
      </c>
      <c r="I3" s="21" t="s">
        <v>17</v>
      </c>
      <c r="J3" s="22" t="s">
        <v>18</v>
      </c>
      <c r="K3" s="23" t="s">
        <v>26</v>
      </c>
      <c r="L3" s="116"/>
      <c r="M3" s="114"/>
      <c r="N3" s="114"/>
      <c r="O3" s="114"/>
      <c r="P3" s="114"/>
      <c r="Q3" s="123"/>
      <c r="R3" s="124"/>
      <c r="S3" s="124"/>
      <c r="T3" s="125"/>
      <c r="U3" s="123"/>
      <c r="V3" s="123"/>
      <c r="W3" s="123"/>
    </row>
    <row r="4" spans="1:25" ht="31.2" customHeight="1" thickBot="1" x14ac:dyDescent="0.35">
      <c r="A4" s="575" t="s">
        <v>81</v>
      </c>
      <c r="B4" s="576"/>
      <c r="C4" s="138"/>
      <c r="D4" s="298"/>
      <c r="E4" s="571" t="str">
        <f>IF($C$4&gt;=$P$1,"art. 18e",IF(C4="","proszę obowiązkowo wprowadzić do komórki C4 datę wstąpienia po raz pierwszy do służby ","został wybrany 
art. 18h"))</f>
        <v xml:space="preserve">proszę obowiązkowo wprowadzić do komórki C4 datę wstąpienia po raz pierwszy do służby </v>
      </c>
      <c r="G4" s="101" t="s">
        <v>33</v>
      </c>
      <c r="H4" s="102">
        <f>C30</f>
        <v>0</v>
      </c>
      <c r="I4" s="102">
        <f>D30</f>
        <v>0</v>
      </c>
      <c r="J4" s="102">
        <f>E30</f>
        <v>0</v>
      </c>
      <c r="K4" s="103" t="str">
        <f>IF(C30&lt;25, "brak prawa",IF(H4&lt;25,0,ROUND(0.6+(H4-25)*0.03+I4*0.03/12,4)))</f>
        <v>brak prawa</v>
      </c>
      <c r="L4" s="116"/>
      <c r="M4" s="114"/>
      <c r="N4" s="114"/>
      <c r="O4" s="114"/>
      <c r="P4" s="114"/>
      <c r="Q4" s="123"/>
      <c r="R4" s="124"/>
      <c r="S4" s="124"/>
      <c r="T4" s="125"/>
      <c r="U4" s="123"/>
      <c r="V4" s="123"/>
      <c r="W4" s="123"/>
    </row>
    <row r="5" spans="1:25" ht="31.2" customHeight="1" thickBot="1" x14ac:dyDescent="0.35">
      <c r="A5" s="577" t="s">
        <v>14</v>
      </c>
      <c r="B5" s="578"/>
      <c r="C5" s="267" t="str">
        <f>IF('Podstawa wymiaru 10 lat'!A48="","",'Podstawa wymiaru 10 lat'!A48)</f>
        <v/>
      </c>
      <c r="D5" s="299" t="str">
        <f>IF('Podstawa wymiaru 10 lat'!B48="","",'Podstawa wymiaru 10 lat'!B48)</f>
        <v/>
      </c>
      <c r="E5" s="572"/>
      <c r="G5" s="40"/>
      <c r="H5" s="435" t="s">
        <v>85</v>
      </c>
      <c r="I5" s="436"/>
      <c r="J5" s="437"/>
      <c r="K5" s="104">
        <f>IF(K4="brak prawa",0,MIN(K4,0.75))</f>
        <v>0</v>
      </c>
      <c r="L5" s="116"/>
      <c r="M5" s="114"/>
      <c r="N5" s="114"/>
      <c r="O5" s="114"/>
      <c r="P5" s="114"/>
      <c r="Q5" s="123"/>
      <c r="R5" s="124"/>
      <c r="S5" s="124"/>
      <c r="T5" s="125"/>
      <c r="U5" s="123"/>
      <c r="V5" s="123"/>
      <c r="W5" s="123"/>
    </row>
    <row r="6" spans="1:25" ht="9.6" customHeight="1" x14ac:dyDescent="0.3">
      <c r="A6" s="127"/>
      <c r="B6" s="127"/>
      <c r="C6" s="127"/>
      <c r="D6" s="127"/>
      <c r="E6" s="127"/>
      <c r="G6" s="40"/>
      <c r="H6" s="2"/>
      <c r="I6" s="2"/>
      <c r="J6" s="2"/>
      <c r="K6" s="105"/>
      <c r="L6" s="116"/>
      <c r="M6" s="114"/>
      <c r="N6" s="114"/>
      <c r="O6" s="114"/>
      <c r="P6" s="114"/>
      <c r="Q6" s="123"/>
      <c r="R6" s="124"/>
      <c r="S6" s="124"/>
      <c r="T6" s="125"/>
      <c r="U6" s="123"/>
      <c r="V6" s="123"/>
      <c r="W6" s="123"/>
    </row>
    <row r="7" spans="1:25" ht="33.6" customHeight="1" thickBot="1" x14ac:dyDescent="0.35">
      <c r="A7" s="466" t="s">
        <v>88</v>
      </c>
      <c r="B7" s="466"/>
      <c r="C7" s="466"/>
      <c r="D7" s="466"/>
      <c r="E7" s="466"/>
      <c r="G7" s="40"/>
      <c r="H7" s="41"/>
      <c r="I7" s="41"/>
      <c r="J7" s="41"/>
      <c r="K7" s="42"/>
      <c r="L7" s="116"/>
      <c r="M7" s="114"/>
      <c r="N7" s="114"/>
      <c r="O7" s="114"/>
      <c r="P7" s="114"/>
      <c r="Q7" s="123"/>
      <c r="R7" s="124"/>
      <c r="S7" s="124"/>
      <c r="T7" s="125"/>
      <c r="U7" s="123"/>
      <c r="V7" s="123"/>
      <c r="W7" s="123"/>
    </row>
    <row r="8" spans="1:25" ht="22.95" customHeight="1" thickBot="1" x14ac:dyDescent="0.35">
      <c r="A8" s="484" t="s">
        <v>29</v>
      </c>
      <c r="B8" s="485"/>
      <c r="C8" s="485"/>
      <c r="D8" s="485"/>
      <c r="E8" s="486"/>
      <c r="G8" s="563" t="s">
        <v>71</v>
      </c>
      <c r="H8" s="20" t="s">
        <v>16</v>
      </c>
      <c r="I8" s="110" t="s">
        <v>17</v>
      </c>
      <c r="J8" s="113" t="s">
        <v>18</v>
      </c>
      <c r="L8" s="8"/>
      <c r="M8" s="8"/>
    </row>
    <row r="9" spans="1:25" ht="26.4" customHeight="1" thickBot="1" x14ac:dyDescent="0.35">
      <c r="A9" s="9" t="s">
        <v>30</v>
      </c>
      <c r="B9" s="10" t="s">
        <v>31</v>
      </c>
      <c r="C9" s="9" t="s">
        <v>25</v>
      </c>
      <c r="D9" s="11" t="s">
        <v>27</v>
      </c>
      <c r="E9" s="10" t="s">
        <v>18</v>
      </c>
      <c r="G9" s="564"/>
      <c r="H9" s="112">
        <f>$C$30</f>
        <v>0</v>
      </c>
      <c r="I9" s="111">
        <f>$D$30</f>
        <v>0</v>
      </c>
      <c r="J9" s="112">
        <f>$E$30</f>
        <v>0</v>
      </c>
      <c r="L9" s="8"/>
      <c r="M9" s="8"/>
    </row>
    <row r="10" spans="1:25" ht="24" customHeight="1" x14ac:dyDescent="0.3">
      <c r="A10" s="376"/>
      <c r="B10" s="377"/>
      <c r="C10" s="12">
        <f>IF((ISBLANK(A10)=TRUE),0,DATEDIF(A10,B10+1,"Y"))</f>
        <v>0</v>
      </c>
      <c r="D10" s="13">
        <f>IF((ISBLANK(A10)=TRUE),0,DATEDIF(A10,B10+1,"YM"))</f>
        <v>0</v>
      </c>
      <c r="E10" s="14">
        <f>IF((ISBLANK(A10)=TRUE),0,DATEDIF(A10,B10+1,"MD"))</f>
        <v>0</v>
      </c>
      <c r="L10" s="15"/>
      <c r="M10" s="8"/>
    </row>
    <row r="11" spans="1:25" ht="24" customHeight="1" thickBot="1" x14ac:dyDescent="0.35">
      <c r="A11" s="378"/>
      <c r="B11" s="379"/>
      <c r="C11" s="16">
        <f>IF((ISBLANK(A11)=TRUE),0,DATEDIF(A11,B11+1,"Y"))</f>
        <v>0</v>
      </c>
      <c r="D11" s="17">
        <f>IF((ISBLANK(A11)=TRUE),0,DATEDIF(A11,B11+1,"YM"))</f>
        <v>0</v>
      </c>
      <c r="E11" s="18">
        <f>IF((ISBLANK(A11)=TRUE),0,DATEDIF(A11,B11+1,"MD"))</f>
        <v>0</v>
      </c>
      <c r="G11" s="568" t="s">
        <v>129</v>
      </c>
      <c r="H11" s="568"/>
      <c r="I11" s="568"/>
      <c r="J11" s="568"/>
      <c r="L11" s="15"/>
      <c r="M11" s="8"/>
    </row>
    <row r="12" spans="1:25" ht="24" customHeight="1" thickBot="1" x14ac:dyDescent="0.35">
      <c r="A12" s="378"/>
      <c r="B12" s="379"/>
      <c r="C12" s="16">
        <f>IF((ISBLANK(A12)=TRUE),0,DATEDIF(A12,B12+1,"Y"))</f>
        <v>0</v>
      </c>
      <c r="D12" s="17">
        <f>IF((ISBLANK(A12)=TRUE),0,DATEDIF(A12,B12+1,"YM"))</f>
        <v>0</v>
      </c>
      <c r="E12" s="18">
        <f>IF((ISBLANK(A12)=TRUE),0,DATEDIF(A12,B12+1,"MD"))</f>
        <v>0</v>
      </c>
      <c r="G12" s="579" t="s">
        <v>142</v>
      </c>
      <c r="H12" s="580"/>
      <c r="I12" s="580"/>
      <c r="J12" s="581"/>
      <c r="K12" s="272">
        <f>'Podstawa wymiaru 10 lat'!F48</f>
        <v>0</v>
      </c>
      <c r="L12" s="8"/>
      <c r="M12" s="8"/>
    </row>
    <row r="13" spans="1:25" ht="24" customHeight="1" thickBot="1" x14ac:dyDescent="0.35">
      <c r="A13" s="378"/>
      <c r="B13" s="379"/>
      <c r="C13" s="16">
        <f>IF((ISBLANK(A13)=TRUE),0,DATEDIF(A13,B13+1,"Y"))</f>
        <v>0</v>
      </c>
      <c r="D13" s="17">
        <f>IF((ISBLANK(A13)=TRUE),0,DATEDIF(A13,B13+1,"YM"))</f>
        <v>0</v>
      </c>
      <c r="E13" s="18">
        <f>IF((ISBLANK(A13)=TRUE),0,DATEDIF(A13,B13+1,"MD"))</f>
        <v>0</v>
      </c>
      <c r="G13" s="582" t="s">
        <v>73</v>
      </c>
      <c r="H13" s="583"/>
      <c r="I13" s="583"/>
      <c r="J13" s="584"/>
      <c r="K13" s="268">
        <f>'Podstawa wymiaru 10 lat'!$F$49</f>
        <v>0</v>
      </c>
      <c r="L13" s="24"/>
      <c r="M13" s="24"/>
    </row>
    <row r="14" spans="1:25" ht="24" customHeight="1" thickBot="1" x14ac:dyDescent="0.35">
      <c r="A14" s="378"/>
      <c r="B14" s="379"/>
      <c r="C14" s="16">
        <f t="shared" ref="C14:C20" si="0">IF((ISBLANK(A14)=TRUE),0,DATEDIF(A14,B14+1,"Y"))</f>
        <v>0</v>
      </c>
      <c r="D14" s="17">
        <f t="shared" ref="D14:D20" si="1">IF((ISBLANK(A14)=TRUE),0,DATEDIF(A14,B14+1,"YM"))</f>
        <v>0</v>
      </c>
      <c r="E14" s="18">
        <f t="shared" ref="E14:E20" si="2">IF((ISBLANK(A14)=TRUE),0,DATEDIF(A14,B14+1,"MD"))</f>
        <v>0</v>
      </c>
      <c r="G14" s="441" t="s">
        <v>78</v>
      </c>
      <c r="H14" s="442"/>
      <c r="I14" s="442"/>
      <c r="J14" s="443"/>
      <c r="K14" s="208"/>
      <c r="L14" s="132" t="str">
        <f>IF($H$9&lt;32,"wysługa (H9) &lt;32 lata","")</f>
        <v>wysługa (H9) &lt;32 lata</v>
      </c>
      <c r="M14" s="29"/>
    </row>
    <row r="15" spans="1:25" ht="24" customHeight="1" thickBot="1" x14ac:dyDescent="0.35">
      <c r="A15" s="378"/>
      <c r="B15" s="379"/>
      <c r="C15" s="16">
        <f t="shared" si="0"/>
        <v>0</v>
      </c>
      <c r="D15" s="17">
        <f t="shared" si="1"/>
        <v>0</v>
      </c>
      <c r="E15" s="18">
        <f t="shared" si="2"/>
        <v>0</v>
      </c>
      <c r="G15" s="560" t="s">
        <v>76</v>
      </c>
      <c r="H15" s="561"/>
      <c r="I15" s="561"/>
      <c r="J15" s="562"/>
      <c r="K15" s="269">
        <f>K13+K14</f>
        <v>0</v>
      </c>
      <c r="L15" s="29"/>
      <c r="M15" s="29"/>
    </row>
    <row r="16" spans="1:25" ht="24" customHeight="1" thickBot="1" x14ac:dyDescent="0.35">
      <c r="A16" s="378"/>
      <c r="B16" s="379"/>
      <c r="C16" s="16">
        <f t="shared" si="0"/>
        <v>0</v>
      </c>
      <c r="D16" s="17">
        <f t="shared" si="1"/>
        <v>0</v>
      </c>
      <c r="E16" s="18">
        <f t="shared" si="2"/>
        <v>0</v>
      </c>
      <c r="G16" s="447" t="s">
        <v>24</v>
      </c>
      <c r="H16" s="448"/>
      <c r="I16" s="448"/>
      <c r="J16" s="449"/>
      <c r="K16" s="46">
        <f>K5</f>
        <v>0</v>
      </c>
      <c r="M16" s="39"/>
    </row>
    <row r="17" spans="1:14" ht="24" customHeight="1" thickBot="1" x14ac:dyDescent="0.35">
      <c r="A17" s="378"/>
      <c r="B17" s="379"/>
      <c r="C17" s="16">
        <f t="shared" si="0"/>
        <v>0</v>
      </c>
      <c r="D17" s="17">
        <f>IF((ISBLANK(A17)=TRUE),0,DATEDIF(A17,B17+1,"YM"))</f>
        <v>0</v>
      </c>
      <c r="E17" s="18">
        <f>IF((ISBLANK(A17)=TRUE),0,DATEDIF(A17,B17+1,"MD"))</f>
        <v>0</v>
      </c>
      <c r="G17" s="585" t="s">
        <v>59</v>
      </c>
      <c r="H17" s="586"/>
      <c r="I17" s="586"/>
      <c r="J17" s="587"/>
      <c r="K17" s="270">
        <f>ROUND(K15*K16,2)</f>
        <v>0</v>
      </c>
      <c r="L17" s="39"/>
      <c r="M17" s="39"/>
    </row>
    <row r="18" spans="1:14" ht="24" customHeight="1" x14ac:dyDescent="0.3">
      <c r="A18" s="378"/>
      <c r="B18" s="379"/>
      <c r="C18" s="16">
        <f t="shared" si="0"/>
        <v>0</v>
      </c>
      <c r="D18" s="17">
        <f>IF((ISBLANK(A18)=TRUE),0,DATEDIF(A18,B18+1,"YM"))</f>
        <v>0</v>
      </c>
      <c r="E18" s="18">
        <f>IF((ISBLANK(A18)=TRUE),0,DATEDIF(A18,B18+1,"MD"))</f>
        <v>0</v>
      </c>
      <c r="G18" s="470" t="s">
        <v>61</v>
      </c>
      <c r="H18" s="471"/>
      <c r="I18" s="471"/>
      <c r="J18" s="472"/>
      <c r="K18" s="96">
        <f>MAX(ROUND(K17*$R$1,2),0)</f>
        <v>0</v>
      </c>
      <c r="L18" s="39"/>
      <c r="M18" s="39"/>
    </row>
    <row r="19" spans="1:14" ht="24" customHeight="1" thickBot="1" x14ac:dyDescent="0.35">
      <c r="A19" s="378"/>
      <c r="B19" s="379"/>
      <c r="C19" s="16">
        <f t="shared" si="0"/>
        <v>0</v>
      </c>
      <c r="D19" s="17">
        <f t="shared" si="1"/>
        <v>0</v>
      </c>
      <c r="E19" s="18">
        <f t="shared" si="2"/>
        <v>0</v>
      </c>
      <c r="G19" s="416" t="s">
        <v>62</v>
      </c>
      <c r="H19" s="417"/>
      <c r="I19" s="417"/>
      <c r="J19" s="418"/>
      <c r="K19" s="51">
        <f>MAX(ROUND(ROUND(K17,0)*$S$1-$T$1,0),0)</f>
        <v>0</v>
      </c>
      <c r="N19" s="39"/>
    </row>
    <row r="20" spans="1:14" ht="24" customHeight="1" thickBot="1" x14ac:dyDescent="0.35">
      <c r="A20" s="378"/>
      <c r="B20" s="379"/>
      <c r="C20" s="16">
        <f t="shared" si="0"/>
        <v>0</v>
      </c>
      <c r="D20" s="17">
        <f t="shared" si="1"/>
        <v>0</v>
      </c>
      <c r="E20" s="18">
        <f t="shared" si="2"/>
        <v>0</v>
      </c>
      <c r="G20" s="565" t="s">
        <v>60</v>
      </c>
      <c r="H20" s="566"/>
      <c r="I20" s="566"/>
      <c r="J20" s="567"/>
      <c r="K20" s="271">
        <f>K17-K18-K19</f>
        <v>0</v>
      </c>
      <c r="N20" s="39"/>
    </row>
    <row r="21" spans="1:14" ht="24" customHeight="1" x14ac:dyDescent="0.3">
      <c r="A21" s="378"/>
      <c r="B21" s="379"/>
      <c r="C21" s="16">
        <f t="shared" ref="C21:C26" si="3">IF((ISBLANK(A21)=TRUE),0,DATEDIF(A21,B21+1,"Y"))</f>
        <v>0</v>
      </c>
      <c r="D21" s="17">
        <f t="shared" ref="D21:D26" si="4">IF((ISBLANK(A21)=TRUE),0,DATEDIF(A21,B21+1,"YM"))</f>
        <v>0</v>
      </c>
      <c r="E21" s="18">
        <f t="shared" ref="E21:E26" si="5">IF((ISBLANK(A21)=TRUE),0,DATEDIF(A21,B21+1,"MD"))</f>
        <v>0</v>
      </c>
      <c r="G21" s="205"/>
      <c r="H21" s="205"/>
      <c r="I21" s="205"/>
      <c r="J21" s="205"/>
      <c r="K21" s="206"/>
      <c r="N21" s="39"/>
    </row>
    <row r="22" spans="1:14" ht="24" customHeight="1" x14ac:dyDescent="0.3">
      <c r="A22" s="378"/>
      <c r="B22" s="379"/>
      <c r="C22" s="16">
        <f t="shared" si="3"/>
        <v>0</v>
      </c>
      <c r="D22" s="17">
        <f t="shared" si="4"/>
        <v>0</v>
      </c>
      <c r="E22" s="18">
        <f t="shared" si="5"/>
        <v>0</v>
      </c>
      <c r="G22" s="570" t="s">
        <v>130</v>
      </c>
      <c r="H22" s="570"/>
      <c r="I22" s="570"/>
      <c r="J22" s="570"/>
      <c r="K22" s="570"/>
      <c r="N22" s="39"/>
    </row>
    <row r="23" spans="1:14" ht="24" customHeight="1" x14ac:dyDescent="0.3">
      <c r="A23" s="378"/>
      <c r="B23" s="379"/>
      <c r="C23" s="16">
        <f t="shared" si="3"/>
        <v>0</v>
      </c>
      <c r="D23" s="17">
        <f t="shared" si="4"/>
        <v>0</v>
      </c>
      <c r="E23" s="18">
        <f t="shared" si="5"/>
        <v>0</v>
      </c>
      <c r="G23" s="570"/>
      <c r="H23" s="570"/>
      <c r="I23" s="570"/>
      <c r="J23" s="570"/>
      <c r="K23" s="570"/>
      <c r="N23" s="39"/>
    </row>
    <row r="24" spans="1:14" ht="24" customHeight="1" x14ac:dyDescent="0.3">
      <c r="A24" s="378"/>
      <c r="B24" s="379"/>
      <c r="C24" s="16">
        <f t="shared" si="3"/>
        <v>0</v>
      </c>
      <c r="D24" s="17">
        <f t="shared" si="4"/>
        <v>0</v>
      </c>
      <c r="E24" s="18">
        <f t="shared" si="5"/>
        <v>0</v>
      </c>
      <c r="G24" s="570"/>
      <c r="H24" s="570"/>
      <c r="I24" s="570"/>
      <c r="J24" s="570"/>
      <c r="K24" s="570"/>
      <c r="N24" s="39"/>
    </row>
    <row r="25" spans="1:14" ht="24" customHeight="1" x14ac:dyDescent="0.3">
      <c r="A25" s="378"/>
      <c r="B25" s="379"/>
      <c r="C25" s="16">
        <f t="shared" si="3"/>
        <v>0</v>
      </c>
      <c r="D25" s="17">
        <f t="shared" si="4"/>
        <v>0</v>
      </c>
      <c r="E25" s="18">
        <f t="shared" si="5"/>
        <v>0</v>
      </c>
      <c r="G25" s="119"/>
      <c r="H25" s="119"/>
      <c r="I25" s="119"/>
      <c r="J25" s="119"/>
      <c r="K25" s="119"/>
      <c r="N25" s="39"/>
    </row>
    <row r="26" spans="1:14" ht="24" customHeight="1" x14ac:dyDescent="0.3">
      <c r="A26" s="378"/>
      <c r="B26" s="379"/>
      <c r="C26" s="16">
        <f t="shared" si="3"/>
        <v>0</v>
      </c>
      <c r="D26" s="17">
        <f t="shared" si="4"/>
        <v>0</v>
      </c>
      <c r="E26" s="18">
        <f t="shared" si="5"/>
        <v>0</v>
      </c>
      <c r="G26" s="464" t="s">
        <v>64</v>
      </c>
      <c r="H26" s="464"/>
      <c r="I26" s="464"/>
      <c r="J26" s="464"/>
      <c r="K26" s="464"/>
      <c r="N26" s="39"/>
    </row>
    <row r="27" spans="1:14" ht="24" customHeight="1" x14ac:dyDescent="0.3">
      <c r="A27" s="378"/>
      <c r="B27" s="379"/>
      <c r="C27" s="16">
        <f t="shared" ref="C27:C28" si="6">IF((ISBLANK(A27)=TRUE),0,DATEDIF(A27,B27+1,"Y"))</f>
        <v>0</v>
      </c>
      <c r="D27" s="17">
        <f t="shared" ref="D27:D28" si="7">IF((ISBLANK(A27)=TRUE),0,DATEDIF(A27,B27+1,"YM"))</f>
        <v>0</v>
      </c>
      <c r="E27" s="18">
        <f t="shared" ref="E27:E28" si="8">IF((ISBLANK(A27)=TRUE),0,DATEDIF(A27,B27+1,"MD"))</f>
        <v>0</v>
      </c>
      <c r="G27" s="464"/>
      <c r="H27" s="464"/>
      <c r="I27" s="464"/>
      <c r="J27" s="464"/>
      <c r="K27" s="464"/>
      <c r="N27" s="39"/>
    </row>
    <row r="28" spans="1:14" ht="24" customHeight="1" x14ac:dyDescent="0.3">
      <c r="A28" s="378"/>
      <c r="B28" s="379"/>
      <c r="C28" s="16">
        <f t="shared" si="6"/>
        <v>0</v>
      </c>
      <c r="D28" s="17">
        <f t="shared" si="7"/>
        <v>0</v>
      </c>
      <c r="E28" s="18">
        <f t="shared" si="8"/>
        <v>0</v>
      </c>
      <c r="G28" s="464"/>
      <c r="H28" s="464"/>
      <c r="I28" s="464"/>
      <c r="J28" s="464"/>
      <c r="K28" s="464"/>
      <c r="N28" s="39"/>
    </row>
    <row r="29" spans="1:14" ht="24" customHeight="1" thickBot="1" x14ac:dyDescent="0.35">
      <c r="A29" s="380"/>
      <c r="B29" s="381"/>
      <c r="C29" s="16">
        <f t="shared" ref="C29" si="9">IF((ISBLANK(A29)=TRUE),0,DATEDIF(A29,B29+1,"Y"))</f>
        <v>0</v>
      </c>
      <c r="D29" s="17">
        <f t="shared" ref="D29" si="10">IF((ISBLANK(A29)=TRUE),0,DATEDIF(A29,B29+1,"YM"))</f>
        <v>0</v>
      </c>
      <c r="E29" s="18">
        <f t="shared" ref="E29" si="11">IF((ISBLANK(A29)=TRUE),0,DATEDIF(A29,B29+1,"MD"))</f>
        <v>0</v>
      </c>
      <c r="G29" s="207"/>
      <c r="H29" s="207"/>
      <c r="I29" s="207"/>
      <c r="J29" s="207"/>
      <c r="K29" s="207"/>
      <c r="N29" s="39"/>
    </row>
    <row r="30" spans="1:14" ht="24" customHeight="1" thickBot="1" x14ac:dyDescent="0.35">
      <c r="A30" s="484" t="s">
        <v>28</v>
      </c>
      <c r="B30" s="496"/>
      <c r="C30" s="47">
        <f>SUM(C10:C29)+INT((SUM(D10:D29)+INT(SUM(E10:E29)/30))/12)</f>
        <v>0</v>
      </c>
      <c r="D30" s="47">
        <f>MOD(SUM(D10:D27)+INT(SUM(E10:E27)/30),12)</f>
        <v>0</v>
      </c>
      <c r="E30" s="48">
        <f>MOD(SUM(E10:E27),30)</f>
        <v>0</v>
      </c>
    </row>
    <row r="31" spans="1:14" ht="22.95" customHeight="1" x14ac:dyDescent="0.3"/>
    <row r="32" spans="1:14" ht="22.95" customHeight="1" x14ac:dyDescent="0.3"/>
    <row r="33" ht="22.95" customHeight="1" x14ac:dyDescent="0.3"/>
    <row r="34" ht="22.95" customHeight="1" x14ac:dyDescent="0.3"/>
    <row r="35" ht="22.95" customHeight="1" x14ac:dyDescent="0.3"/>
    <row r="36" ht="17.399999999999999" customHeight="1" x14ac:dyDescent="0.3"/>
    <row r="37" ht="15" customHeight="1" x14ac:dyDescent="0.3"/>
    <row r="38" ht="18.600000000000001" customHeight="1" x14ac:dyDescent="0.3"/>
    <row r="39" ht="14.4" customHeight="1" x14ac:dyDescent="0.3"/>
    <row r="40" ht="14.4" customHeight="1" x14ac:dyDescent="0.3"/>
    <row r="41" ht="31.95" customHeight="1" x14ac:dyDescent="0.3"/>
    <row r="42" ht="14.4" customHeight="1" x14ac:dyDescent="0.3"/>
  </sheetData>
  <sheetProtection algorithmName="SHA-512" hashValue="1/Zh16oypROdGAos1Cl2gc6CvyP3ga9HQ55a3AZSagTW6xNktBqz4jVbeQICIHNdEGMjelLj9nnpwPqNb6Drvw==" saltValue="A4O7TeeFYeDN89HlNFuzVg==" spinCount="100000" sheet="1" objects="1" scenarios="1"/>
  <mergeCells count="24">
    <mergeCell ref="G1:K1"/>
    <mergeCell ref="G22:K24"/>
    <mergeCell ref="G2:K2"/>
    <mergeCell ref="A1:E2"/>
    <mergeCell ref="A30:B30"/>
    <mergeCell ref="A8:E8"/>
    <mergeCell ref="E4:E5"/>
    <mergeCell ref="A3:B3"/>
    <mergeCell ref="A4:B4"/>
    <mergeCell ref="A5:B5"/>
    <mergeCell ref="A7:E7"/>
    <mergeCell ref="H5:J5"/>
    <mergeCell ref="G12:J12"/>
    <mergeCell ref="G13:J13"/>
    <mergeCell ref="G14:J14"/>
    <mergeCell ref="G17:J17"/>
    <mergeCell ref="G15:J15"/>
    <mergeCell ref="G16:J16"/>
    <mergeCell ref="G8:G9"/>
    <mergeCell ref="G26:K28"/>
    <mergeCell ref="G18:J18"/>
    <mergeCell ref="G19:J19"/>
    <mergeCell ref="G20:J20"/>
    <mergeCell ref="G11:J11"/>
  </mergeCells>
  <conditionalFormatting sqref="K14">
    <cfRule type="expression" dxfId="0" priority="1">
      <formula>$H$9&lt;32</formula>
    </cfRule>
  </conditionalFormatting>
  <dataValidations xWindow="665" yWindow="708" count="1">
    <dataValidation type="date" allowBlank="1" showInputMessage="1" showErrorMessage="1" error="Data w formacie RRRR-MM-DD" sqref="A10:B29 C4">
      <formula1>1</formula1>
      <formula2>402133</formula2>
    </dataValidation>
  </dataValidations>
  <pageMargins left="0.70866141732283472" right="0.70866141732283472" top="0.36" bottom="0.21" header="0.17" footer="0.17"/>
  <pageSetup paperSize="9" orientation="landscape" r:id="rId1"/>
  <headerFooter>
    <oddHeader xml:space="preserve">&amp;C&amp;"-,Pogrubiony"KALKULATOR EMERYTALNY </oddHeader>
  </headerFooter>
  <ignoredErrors>
    <ignoredError sqref="K13" unlockedFormula="1"/>
  </ignoredErrors>
  <legacyDrawing r:id="rId2"/>
  <extLst>
    <ext xmlns:x14="http://schemas.microsoft.com/office/spreadsheetml/2009/9/main" uri="{CCE6A557-97BC-4b89-ADB6-D9C93CAAB3DF}">
      <x14:dataValidations xmlns:xm="http://schemas.microsoft.com/office/excel/2006/main" xWindow="665" yWindow="708" count="1">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pane ySplit="7" topLeftCell="A22" activePane="bottomLeft" state="frozen"/>
      <selection pane="bottomLeft" activeCell="N28" sqref="N28"/>
    </sheetView>
  </sheetViews>
  <sheetFormatPr defaultRowHeight="14.4" x14ac:dyDescent="0.3"/>
  <cols>
    <col min="1" max="1" width="9.5546875" bestFit="1" customWidth="1"/>
    <col min="2" max="2" width="15.109375" customWidth="1"/>
    <col min="3" max="3" width="16" customWidth="1"/>
    <col min="4" max="4" width="16.88671875" customWidth="1"/>
    <col min="5" max="5" width="15.33203125" customWidth="1"/>
    <col min="6" max="6" width="17.109375" customWidth="1"/>
    <col min="7" max="7" width="13.88671875" customWidth="1"/>
    <col min="8" max="8" width="14.33203125" customWidth="1"/>
    <col min="9" max="9" width="13.5546875" customWidth="1"/>
    <col min="10" max="10" width="13.5546875" hidden="1" customWidth="1"/>
    <col min="11" max="11" width="12.88671875" customWidth="1"/>
    <col min="12" max="12" width="11.88671875" customWidth="1"/>
    <col min="13" max="13" width="13.5546875" customWidth="1"/>
    <col min="14" max="14" width="12" customWidth="1"/>
    <col min="15" max="15" width="15.6640625" customWidth="1"/>
    <col min="16" max="16" width="15.109375" customWidth="1"/>
    <col min="17" max="17" width="14.5546875" hidden="1" customWidth="1"/>
    <col min="18" max="18" width="15.6640625" hidden="1" customWidth="1"/>
    <col min="19" max="21" width="15" hidden="1" customWidth="1"/>
    <col min="22" max="22" width="16" hidden="1" customWidth="1"/>
    <col min="23" max="23" width="15.33203125" hidden="1" customWidth="1"/>
  </cols>
  <sheetData>
    <row r="1" spans="1:23" ht="15" thickBot="1" x14ac:dyDescent="0.35">
      <c r="J1" s="293"/>
      <c r="K1" s="293"/>
    </row>
    <row r="2" spans="1:23" ht="15" thickBot="1" x14ac:dyDescent="0.35">
      <c r="E2" s="364" t="s">
        <v>148</v>
      </c>
      <c r="F2" s="291"/>
      <c r="G2" s="292"/>
      <c r="H2" s="292" t="s">
        <v>145</v>
      </c>
      <c r="J2" s="293"/>
      <c r="K2" s="293"/>
      <c r="L2" s="588" t="s">
        <v>96</v>
      </c>
      <c r="M2" s="589"/>
      <c r="N2" s="589"/>
      <c r="O2" s="589"/>
      <c r="P2" s="590"/>
      <c r="Q2" s="333"/>
      <c r="R2" s="333"/>
      <c r="S2" s="333"/>
      <c r="T2" s="333"/>
      <c r="U2" s="333"/>
      <c r="V2" s="333"/>
      <c r="W2" s="333"/>
    </row>
    <row r="3" spans="1:23" ht="15" thickBot="1" x14ac:dyDescent="0.35">
      <c r="A3" s="247"/>
      <c r="B3" s="248" t="s">
        <v>54</v>
      </c>
      <c r="C3" s="249" t="s">
        <v>7</v>
      </c>
      <c r="D3" s="250" t="s">
        <v>6</v>
      </c>
      <c r="E3" s="228" t="s">
        <v>134</v>
      </c>
      <c r="F3" s="151" t="s">
        <v>136</v>
      </c>
      <c r="G3" s="151" t="s">
        <v>137</v>
      </c>
      <c r="H3" s="315" t="s">
        <v>5</v>
      </c>
      <c r="I3" s="341" t="s">
        <v>147</v>
      </c>
      <c r="J3" s="340"/>
      <c r="K3" s="293"/>
      <c r="L3" s="335" t="s">
        <v>30</v>
      </c>
      <c r="M3" s="591" t="s">
        <v>123</v>
      </c>
      <c r="N3" s="592"/>
      <c r="O3" s="592"/>
      <c r="P3" s="593"/>
      <c r="Q3" s="334"/>
      <c r="R3" s="334"/>
      <c r="S3" s="334"/>
      <c r="T3" s="334"/>
      <c r="U3" s="334"/>
      <c r="V3" s="334"/>
      <c r="W3" s="334"/>
    </row>
    <row r="4" spans="1:23" ht="69.599999999999994" thickBot="1" x14ac:dyDescent="0.35">
      <c r="A4" s="251" t="s">
        <v>98</v>
      </c>
      <c r="B4" s="242" t="s">
        <v>99</v>
      </c>
      <c r="C4" s="243" t="s">
        <v>100</v>
      </c>
      <c r="D4" s="244" t="s">
        <v>101</v>
      </c>
      <c r="E4" s="252" t="s">
        <v>135</v>
      </c>
      <c r="F4" s="197" t="s">
        <v>136</v>
      </c>
      <c r="G4" s="197" t="s">
        <v>137</v>
      </c>
      <c r="H4" s="316" t="s">
        <v>5</v>
      </c>
      <c r="I4" s="246" t="s">
        <v>102</v>
      </c>
      <c r="J4" s="199" t="s">
        <v>119</v>
      </c>
      <c r="L4" s="214"/>
      <c r="M4" s="225" t="s">
        <v>54</v>
      </c>
      <c r="N4" s="215" t="s">
        <v>7</v>
      </c>
      <c r="O4" s="226" t="s">
        <v>6</v>
      </c>
      <c r="P4" s="227" t="s">
        <v>13</v>
      </c>
      <c r="Q4" s="216" t="s">
        <v>2</v>
      </c>
      <c r="R4" s="217" t="s">
        <v>3</v>
      </c>
      <c r="S4" s="218" t="s">
        <v>5</v>
      </c>
      <c r="T4" s="218" t="s">
        <v>11</v>
      </c>
      <c r="U4" s="218" t="s">
        <v>57</v>
      </c>
      <c r="V4" s="278" t="s">
        <v>97</v>
      </c>
      <c r="W4" s="278" t="s">
        <v>12</v>
      </c>
    </row>
    <row r="5" spans="1:23" ht="15" customHeight="1" thickBot="1" x14ac:dyDescent="0.35">
      <c r="A5" s="390">
        <v>1</v>
      </c>
      <c r="B5" s="391">
        <v>2</v>
      </c>
      <c r="C5" s="392">
        <v>3</v>
      </c>
      <c r="D5" s="393">
        <v>4</v>
      </c>
      <c r="E5" s="394">
        <v>5</v>
      </c>
      <c r="F5" s="395">
        <v>6</v>
      </c>
      <c r="G5" s="396">
        <v>7</v>
      </c>
      <c r="H5" s="397">
        <v>8</v>
      </c>
      <c r="I5" s="398">
        <v>9</v>
      </c>
      <c r="J5" s="319">
        <v>10</v>
      </c>
      <c r="L5" s="324">
        <v>45658</v>
      </c>
      <c r="M5" s="325">
        <v>9275.09</v>
      </c>
      <c r="N5" s="325">
        <v>9152.27</v>
      </c>
      <c r="O5" s="325">
        <v>9275.09</v>
      </c>
      <c r="P5" s="326">
        <v>10744.54</v>
      </c>
      <c r="Q5" s="321">
        <v>8465.7900000000009</v>
      </c>
      <c r="R5" s="213">
        <v>9584.33</v>
      </c>
      <c r="S5" s="213">
        <v>7676.24</v>
      </c>
      <c r="T5" s="213">
        <v>10966.91</v>
      </c>
      <c r="U5" s="213">
        <v>8575.4500000000007</v>
      </c>
      <c r="V5" s="279">
        <v>9715.92</v>
      </c>
      <c r="W5" s="279"/>
    </row>
    <row r="6" spans="1:23" ht="15" customHeight="1" x14ac:dyDescent="0.3">
      <c r="A6" s="401">
        <v>2000</v>
      </c>
      <c r="B6" s="402">
        <v>26241.119999999999</v>
      </c>
      <c r="C6" s="403">
        <v>25441.56</v>
      </c>
      <c r="D6" s="404">
        <v>26459.159999999996</v>
      </c>
      <c r="E6" s="402">
        <v>0</v>
      </c>
      <c r="F6" s="405">
        <v>31692.840000000004</v>
      </c>
      <c r="G6" s="405">
        <v>31692.840000000004</v>
      </c>
      <c r="H6" s="405">
        <v>0</v>
      </c>
      <c r="I6" s="406">
        <v>27331.439999999999</v>
      </c>
      <c r="J6" s="384"/>
      <c r="L6" s="324">
        <v>46023</v>
      </c>
      <c r="M6" s="325">
        <v>9553.35</v>
      </c>
      <c r="N6" s="325">
        <v>9426.85</v>
      </c>
      <c r="O6" s="325">
        <v>9553.35</v>
      </c>
      <c r="P6" s="326">
        <v>11066.89</v>
      </c>
      <c r="Q6" s="322"/>
      <c r="R6" s="142"/>
      <c r="S6" s="142"/>
      <c r="T6" s="142"/>
      <c r="U6" s="142"/>
      <c r="V6" s="144"/>
      <c r="W6" s="144"/>
    </row>
    <row r="7" spans="1:23" ht="15" customHeight="1" x14ac:dyDescent="0.3">
      <c r="A7" s="407">
        <v>2001</v>
      </c>
      <c r="B7" s="351">
        <v>30190.68</v>
      </c>
      <c r="C7" s="351">
        <v>27375</v>
      </c>
      <c r="D7" s="352">
        <v>30660</v>
      </c>
      <c r="E7" s="399">
        <v>24050.880000000001</v>
      </c>
      <c r="F7" s="139">
        <v>35196.36</v>
      </c>
      <c r="G7" s="139">
        <v>35196.36</v>
      </c>
      <c r="H7" s="139">
        <v>0</v>
      </c>
      <c r="I7" s="345">
        <v>32067.840000000004</v>
      </c>
      <c r="J7" s="385"/>
      <c r="L7" s="328"/>
      <c r="M7" s="144"/>
      <c r="N7" s="144"/>
      <c r="O7" s="144"/>
      <c r="P7" s="210"/>
      <c r="Q7" s="323"/>
      <c r="R7" s="144"/>
      <c r="S7" s="144"/>
      <c r="T7" s="144"/>
      <c r="U7" s="144"/>
      <c r="V7" s="144"/>
      <c r="W7" s="144"/>
    </row>
    <row r="8" spans="1:23" ht="15" customHeight="1" x14ac:dyDescent="0.3">
      <c r="A8" s="407">
        <v>2002</v>
      </c>
      <c r="B8" s="400">
        <v>30190.68</v>
      </c>
      <c r="C8" s="139">
        <v>27375</v>
      </c>
      <c r="D8" s="139">
        <v>30660</v>
      </c>
      <c r="E8" s="399">
        <v>32067.840000000004</v>
      </c>
      <c r="F8" s="139">
        <v>35196.36</v>
      </c>
      <c r="G8" s="139">
        <v>35196.36</v>
      </c>
      <c r="H8" s="139">
        <v>0</v>
      </c>
      <c r="I8" s="345">
        <v>32067.840000000004</v>
      </c>
      <c r="J8" s="386"/>
      <c r="L8" s="327"/>
      <c r="M8" s="142"/>
      <c r="N8" s="142"/>
      <c r="O8" s="142"/>
      <c r="P8" s="209"/>
      <c r="Q8" s="322"/>
      <c r="R8" s="142"/>
      <c r="S8" s="142"/>
      <c r="T8" s="142"/>
      <c r="U8" s="142"/>
      <c r="V8" s="144"/>
      <c r="W8" s="144"/>
    </row>
    <row r="9" spans="1:23" ht="15" customHeight="1" x14ac:dyDescent="0.3">
      <c r="A9" s="407">
        <v>2003</v>
      </c>
      <c r="B9" s="400">
        <v>31398.239999999998</v>
      </c>
      <c r="C9" s="139">
        <v>28469.879999999997</v>
      </c>
      <c r="D9" s="139">
        <v>31886.28</v>
      </c>
      <c r="E9" s="399">
        <v>33350.519999999997</v>
      </c>
      <c r="F9" s="139">
        <v>36604.199999999997</v>
      </c>
      <c r="G9" s="139">
        <v>40345.919999999998</v>
      </c>
      <c r="H9" s="139">
        <v>0</v>
      </c>
      <c r="I9" s="345">
        <v>33350.520000000004</v>
      </c>
      <c r="J9" s="385"/>
      <c r="L9" s="327"/>
      <c r="M9" s="141"/>
      <c r="N9" s="141"/>
      <c r="O9" s="141"/>
      <c r="P9" s="329"/>
      <c r="Q9" s="322"/>
      <c r="R9" s="142"/>
      <c r="S9" s="142"/>
      <c r="T9" s="142"/>
      <c r="U9" s="142"/>
      <c r="V9" s="144"/>
      <c r="W9" s="144"/>
    </row>
    <row r="10" spans="1:23" ht="15" customHeight="1" x14ac:dyDescent="0.3">
      <c r="A10" s="407">
        <v>2004</v>
      </c>
      <c r="B10" s="342">
        <v>32633.37</v>
      </c>
      <c r="C10" s="342">
        <v>29659.17</v>
      </c>
      <c r="D10" s="399">
        <v>33094.17</v>
      </c>
      <c r="E10" s="399">
        <v>34434.75</v>
      </c>
      <c r="F10" s="139">
        <v>37702.32</v>
      </c>
      <c r="G10" s="354">
        <v>41556.239999999998</v>
      </c>
      <c r="H10" s="354">
        <v>0</v>
      </c>
      <c r="I10" s="345">
        <v>34350.959999999999</v>
      </c>
      <c r="J10" s="385"/>
      <c r="L10" s="327"/>
      <c r="M10" s="142"/>
      <c r="N10" s="142"/>
      <c r="O10" s="142"/>
      <c r="P10" s="209"/>
      <c r="Q10" s="322"/>
      <c r="R10" s="142"/>
      <c r="S10" s="142"/>
      <c r="T10" s="142"/>
      <c r="U10" s="142"/>
      <c r="V10" s="144"/>
      <c r="W10" s="144"/>
    </row>
    <row r="11" spans="1:23" ht="15" customHeight="1" x14ac:dyDescent="0.3">
      <c r="A11" s="408">
        <v>2005</v>
      </c>
      <c r="B11" s="400">
        <v>34518.479999999996</v>
      </c>
      <c r="C11" s="139">
        <v>31584.36</v>
      </c>
      <c r="D11" s="139">
        <v>34863.72</v>
      </c>
      <c r="E11" s="351">
        <v>35726.639999999999</v>
      </c>
      <c r="F11" s="354">
        <v>40904.399999999994</v>
      </c>
      <c r="G11" s="139">
        <v>43665.840000000004</v>
      </c>
      <c r="H11" s="139">
        <v>0</v>
      </c>
      <c r="I11" s="345">
        <v>35640.300000000003</v>
      </c>
      <c r="J11" s="385"/>
      <c r="L11" s="327"/>
      <c r="M11" s="142"/>
      <c r="N11" s="142"/>
      <c r="O11" s="142"/>
      <c r="P11" s="209"/>
      <c r="Q11" s="322"/>
      <c r="R11" s="142"/>
      <c r="S11" s="142"/>
      <c r="T11" s="142"/>
      <c r="U11" s="142"/>
      <c r="V11" s="144"/>
      <c r="W11" s="144"/>
    </row>
    <row r="12" spans="1:23" ht="15" customHeight="1" x14ac:dyDescent="0.3">
      <c r="A12" s="408">
        <v>2006</v>
      </c>
      <c r="B12" s="400">
        <v>35561.760000000002</v>
      </c>
      <c r="C12" s="139">
        <v>32583.600000000002</v>
      </c>
      <c r="D12" s="139">
        <v>35912.04</v>
      </c>
      <c r="E12" s="351">
        <v>37313.520000000004</v>
      </c>
      <c r="F12" s="139">
        <v>41517.840000000004</v>
      </c>
      <c r="G12" s="139">
        <v>44320.800000000003</v>
      </c>
      <c r="H12" s="139">
        <v>0</v>
      </c>
      <c r="I12" s="345">
        <v>36963.120000000003</v>
      </c>
      <c r="J12" s="385"/>
      <c r="L12" s="327"/>
      <c r="M12" s="144"/>
      <c r="N12" s="144"/>
      <c r="O12" s="144"/>
      <c r="P12" s="210"/>
      <c r="Q12" s="323"/>
      <c r="R12" s="144"/>
      <c r="S12" s="144"/>
      <c r="T12" s="144"/>
      <c r="U12" s="144"/>
      <c r="V12" s="144"/>
      <c r="W12" s="144"/>
    </row>
    <row r="13" spans="1:23" ht="15" customHeight="1" thickBot="1" x14ac:dyDescent="0.35">
      <c r="A13" s="408">
        <v>2007</v>
      </c>
      <c r="B13" s="400">
        <v>38189.399999999994</v>
      </c>
      <c r="C13" s="139">
        <v>35386.559999999998</v>
      </c>
      <c r="D13" s="139">
        <v>38539.800000000003</v>
      </c>
      <c r="E13" s="351">
        <v>39941.279999999999</v>
      </c>
      <c r="F13" s="139">
        <v>51152.759999999995</v>
      </c>
      <c r="G13" s="139">
        <v>58685.520000000004</v>
      </c>
      <c r="H13" s="139">
        <v>28718.37</v>
      </c>
      <c r="I13" s="345">
        <v>39590.879999999997</v>
      </c>
      <c r="J13" s="385"/>
      <c r="L13" s="330"/>
      <c r="M13" s="331"/>
      <c r="N13" s="331"/>
      <c r="O13" s="331"/>
      <c r="P13" s="332"/>
      <c r="Q13" s="323"/>
      <c r="R13" s="144"/>
      <c r="S13" s="144"/>
      <c r="T13" s="144"/>
      <c r="U13" s="144"/>
      <c r="V13" s="144"/>
      <c r="W13" s="144"/>
    </row>
    <row r="14" spans="1:23" x14ac:dyDescent="0.3">
      <c r="A14" s="408">
        <v>2008</v>
      </c>
      <c r="B14" s="400">
        <v>44444.159999999996</v>
      </c>
      <c r="C14" s="139">
        <v>42472.92</v>
      </c>
      <c r="D14" s="139">
        <v>44802.600000000006</v>
      </c>
      <c r="E14" s="351">
        <v>46236.24</v>
      </c>
      <c r="F14" s="139">
        <v>59856.240000000005</v>
      </c>
      <c r="G14" s="139">
        <v>60931.56</v>
      </c>
      <c r="H14" s="139">
        <v>69891.03</v>
      </c>
      <c r="I14" s="345">
        <v>40501.56</v>
      </c>
      <c r="J14" s="385"/>
    </row>
    <row r="15" spans="1:23" x14ac:dyDescent="0.3">
      <c r="A15" s="408">
        <v>2009</v>
      </c>
      <c r="B15" s="400">
        <v>48440.639999999999</v>
      </c>
      <c r="C15" s="139">
        <v>47343.840000000004</v>
      </c>
      <c r="D15" s="139">
        <v>48806.159999999996</v>
      </c>
      <c r="E15" s="351">
        <v>50451.360000000001</v>
      </c>
      <c r="F15" s="139">
        <v>62150.28</v>
      </c>
      <c r="G15" s="139">
        <v>69644.759999999995</v>
      </c>
      <c r="H15" s="139">
        <v>63978.240000000005</v>
      </c>
      <c r="I15" s="345">
        <v>41311.68</v>
      </c>
      <c r="J15" s="385"/>
    </row>
    <row r="16" spans="1:23" x14ac:dyDescent="0.3">
      <c r="A16" s="408">
        <v>2010</v>
      </c>
      <c r="B16" s="400">
        <v>48440.639999999999</v>
      </c>
      <c r="C16" s="139">
        <v>47343.840000000004</v>
      </c>
      <c r="D16" s="139">
        <v>48806.159999999996</v>
      </c>
      <c r="E16" s="351">
        <v>50451.360000000001</v>
      </c>
      <c r="F16" s="139">
        <v>62150.28</v>
      </c>
      <c r="G16" s="139">
        <v>69644.759999999995</v>
      </c>
      <c r="H16" s="139">
        <v>63978.240000000005</v>
      </c>
      <c r="I16" s="345">
        <v>41311.68</v>
      </c>
      <c r="J16" s="385"/>
    </row>
    <row r="17" spans="1:13" x14ac:dyDescent="0.3">
      <c r="A17" s="408">
        <v>2011</v>
      </c>
      <c r="B17" s="400">
        <v>48440.639999999999</v>
      </c>
      <c r="C17" s="139">
        <v>47343.840000000004</v>
      </c>
      <c r="D17" s="139">
        <v>48806.159999999996</v>
      </c>
      <c r="E17" s="351">
        <v>50451.360000000001</v>
      </c>
      <c r="F17" s="139">
        <v>62150.28</v>
      </c>
      <c r="G17" s="139">
        <v>69644.759999999995</v>
      </c>
      <c r="H17" s="139">
        <v>63978.240000000005</v>
      </c>
      <c r="I17" s="345">
        <v>41311.68</v>
      </c>
      <c r="J17" s="385"/>
    </row>
    <row r="18" spans="1:13" x14ac:dyDescent="0.3">
      <c r="A18" s="409">
        <v>2012</v>
      </c>
      <c r="B18" s="139">
        <v>50451.360000000001</v>
      </c>
      <c r="C18" s="342">
        <v>48349.2</v>
      </c>
      <c r="D18" s="342">
        <v>49811.55</v>
      </c>
      <c r="E18" s="351">
        <v>51456.72</v>
      </c>
      <c r="F18" s="139">
        <v>62150.28</v>
      </c>
      <c r="G18" s="354">
        <v>69644.759999999995</v>
      </c>
      <c r="H18" s="354">
        <v>63978.240000000005</v>
      </c>
      <c r="I18" s="345">
        <v>46429.919999999998</v>
      </c>
      <c r="J18" s="385"/>
    </row>
    <row r="19" spans="1:13" x14ac:dyDescent="0.3">
      <c r="A19" s="408">
        <v>2013</v>
      </c>
      <c r="B19" s="400">
        <v>52462.080000000002</v>
      </c>
      <c r="C19" s="139">
        <v>51365.279999999999</v>
      </c>
      <c r="D19" s="139">
        <v>52827.72</v>
      </c>
      <c r="E19" s="351">
        <v>54472.799999999996</v>
      </c>
      <c r="F19" s="139">
        <v>62150.28</v>
      </c>
      <c r="G19" s="139">
        <v>69644.759999999995</v>
      </c>
      <c r="H19" s="139">
        <v>63978.240000000005</v>
      </c>
      <c r="I19" s="345">
        <v>51548.160000000003</v>
      </c>
      <c r="J19" s="385"/>
    </row>
    <row r="20" spans="1:13" x14ac:dyDescent="0.3">
      <c r="A20" s="408">
        <v>2014</v>
      </c>
      <c r="B20" s="400">
        <v>52462.080000000002</v>
      </c>
      <c r="C20" s="139">
        <v>51365.279999999999</v>
      </c>
      <c r="D20" s="139">
        <v>52827.72</v>
      </c>
      <c r="E20" s="351">
        <v>54472.799999999996</v>
      </c>
      <c r="F20" s="139">
        <v>62150.28</v>
      </c>
      <c r="G20" s="139">
        <v>69644.759999999995</v>
      </c>
      <c r="H20" s="139">
        <v>63978.240000000005</v>
      </c>
      <c r="I20" s="345">
        <v>51548.160000000003</v>
      </c>
      <c r="J20" s="385"/>
    </row>
    <row r="21" spans="1:13" x14ac:dyDescent="0.3">
      <c r="A21" s="408">
        <v>2015</v>
      </c>
      <c r="B21" s="400">
        <v>52462.080000000002</v>
      </c>
      <c r="C21" s="139">
        <v>51365.279999999999</v>
      </c>
      <c r="D21" s="139">
        <v>52827.72</v>
      </c>
      <c r="E21" s="351">
        <v>54472.799999999996</v>
      </c>
      <c r="F21" s="139">
        <v>62150.28</v>
      </c>
      <c r="G21" s="139">
        <v>69644.759999999995</v>
      </c>
      <c r="H21" s="139">
        <v>63978.240000000005</v>
      </c>
      <c r="I21" s="345">
        <v>51548.160000000003</v>
      </c>
      <c r="J21" s="385"/>
    </row>
    <row r="22" spans="1:13" x14ac:dyDescent="0.3">
      <c r="A22" s="408">
        <v>2016</v>
      </c>
      <c r="B22" s="400">
        <v>55021.200000000004</v>
      </c>
      <c r="C22" s="139">
        <v>53924.520000000004</v>
      </c>
      <c r="D22" s="139">
        <v>55386.84</v>
      </c>
      <c r="E22" s="351">
        <v>57214.799999999996</v>
      </c>
      <c r="F22" s="139">
        <v>65806.080000000002</v>
      </c>
      <c r="G22" s="139">
        <v>79881.36</v>
      </c>
      <c r="H22" s="139">
        <v>63978.240000000005</v>
      </c>
      <c r="I22" s="345">
        <v>53924.520000000004</v>
      </c>
      <c r="J22" s="385"/>
    </row>
    <row r="23" spans="1:13" x14ac:dyDescent="0.3">
      <c r="A23" s="410">
        <v>2017</v>
      </c>
      <c r="B23" s="400">
        <v>58311.600000000006</v>
      </c>
      <c r="C23" s="139">
        <v>57214.799999999996</v>
      </c>
      <c r="D23" s="139">
        <v>58677.120000000003</v>
      </c>
      <c r="E23" s="351">
        <v>60505.08</v>
      </c>
      <c r="F23" s="139">
        <v>65806.080000000002</v>
      </c>
      <c r="G23" s="139">
        <v>79881.36</v>
      </c>
      <c r="H23" s="139">
        <v>63978.240000000005</v>
      </c>
      <c r="I23" s="345">
        <v>58494.36</v>
      </c>
      <c r="J23" s="385"/>
    </row>
    <row r="24" spans="1:13" x14ac:dyDescent="0.3">
      <c r="A24" s="409">
        <v>2018</v>
      </c>
      <c r="B24" s="149">
        <v>59408.32</v>
      </c>
      <c r="C24" s="149">
        <v>58311.519999999997</v>
      </c>
      <c r="D24" s="149">
        <v>59530.16</v>
      </c>
      <c r="E24" s="342">
        <v>68791.8</v>
      </c>
      <c r="F24" s="342">
        <v>70558.799999999988</v>
      </c>
      <c r="G24" s="139">
        <v>79881.36</v>
      </c>
      <c r="H24" s="139">
        <v>63978.240000000005</v>
      </c>
      <c r="I24" s="345">
        <v>58494.36</v>
      </c>
      <c r="J24" s="385"/>
    </row>
    <row r="25" spans="1:13" x14ac:dyDescent="0.3">
      <c r="A25" s="408">
        <v>2019</v>
      </c>
      <c r="B25" s="400">
        <v>67816.92</v>
      </c>
      <c r="C25" s="139">
        <v>66720.12</v>
      </c>
      <c r="D25" s="139">
        <v>67816.92</v>
      </c>
      <c r="E25" s="139">
        <v>80795.28</v>
      </c>
      <c r="F25" s="139">
        <v>70558.799999999988</v>
      </c>
      <c r="G25" s="139">
        <v>79881.36</v>
      </c>
      <c r="H25" s="139">
        <v>63978.240000000005</v>
      </c>
      <c r="I25" s="345">
        <v>66354.48</v>
      </c>
      <c r="J25" s="385"/>
    </row>
    <row r="26" spans="1:13" x14ac:dyDescent="0.3">
      <c r="A26" s="408">
        <v>2020</v>
      </c>
      <c r="B26" s="400">
        <v>73823.64</v>
      </c>
      <c r="C26" s="139">
        <v>72738.600000000006</v>
      </c>
      <c r="D26" s="139">
        <v>73823.64</v>
      </c>
      <c r="E26" s="139">
        <v>86805.72</v>
      </c>
      <c r="F26" s="139">
        <v>74792.399999999994</v>
      </c>
      <c r="G26" s="139">
        <v>84674.4</v>
      </c>
      <c r="H26" s="139">
        <v>67817.040000000008</v>
      </c>
      <c r="I26" s="345">
        <v>73842.959999999992</v>
      </c>
      <c r="J26" s="385"/>
    </row>
    <row r="27" spans="1:13" x14ac:dyDescent="0.3">
      <c r="A27" s="408">
        <v>2021</v>
      </c>
      <c r="B27" s="400">
        <v>73823.64</v>
      </c>
      <c r="C27" s="139">
        <v>72738.600000000006</v>
      </c>
      <c r="D27" s="139">
        <v>73823.64</v>
      </c>
      <c r="E27" s="139">
        <v>86805.72</v>
      </c>
      <c r="F27" s="139">
        <v>74792.399999999994</v>
      </c>
      <c r="G27" s="139">
        <v>84674.4</v>
      </c>
      <c r="H27" s="139">
        <v>67817.040000000008</v>
      </c>
      <c r="I27" s="345">
        <v>73842.959999999992</v>
      </c>
      <c r="J27" s="385"/>
    </row>
    <row r="28" spans="1:13" x14ac:dyDescent="0.3">
      <c r="A28" s="408">
        <v>2022</v>
      </c>
      <c r="B28" s="400">
        <v>81942.240000000005</v>
      </c>
      <c r="C28" s="139">
        <v>80857.200000000012</v>
      </c>
      <c r="D28" s="139">
        <v>81942.240000000005</v>
      </c>
      <c r="E28" s="139">
        <v>94924.44</v>
      </c>
      <c r="F28" s="139">
        <v>74792.399999999994</v>
      </c>
      <c r="G28" s="139">
        <v>84674.4</v>
      </c>
      <c r="H28" s="139">
        <v>67817.040000000008</v>
      </c>
      <c r="I28" s="345">
        <v>81961.680000000008</v>
      </c>
      <c r="J28" s="387"/>
      <c r="K28" s="150"/>
      <c r="L28" s="150"/>
      <c r="M28" s="150"/>
    </row>
    <row r="29" spans="1:13" x14ac:dyDescent="0.3">
      <c r="A29" s="408">
        <v>2023</v>
      </c>
      <c r="B29" s="139">
        <v>87268.739999999991</v>
      </c>
      <c r="C29" s="139">
        <v>86113.099999999991</v>
      </c>
      <c r="D29" s="139">
        <v>87268.739999999991</v>
      </c>
      <c r="E29" s="342">
        <v>101094.74</v>
      </c>
      <c r="F29" s="139">
        <v>79654.099999999991</v>
      </c>
      <c r="G29" s="139">
        <v>90178.4</v>
      </c>
      <c r="H29" s="342">
        <v>72225.240000000005</v>
      </c>
      <c r="I29" s="345">
        <v>90770.68</v>
      </c>
      <c r="J29" s="385"/>
    </row>
    <row r="30" spans="1:13" x14ac:dyDescent="0.3">
      <c r="A30" s="408">
        <v>2024</v>
      </c>
      <c r="B30" s="139">
        <v>106000.92</v>
      </c>
      <c r="C30" s="139">
        <v>104597.28</v>
      </c>
      <c r="D30" s="139">
        <v>106000.92</v>
      </c>
      <c r="E30" s="139">
        <v>122794.56</v>
      </c>
      <c r="F30" s="139">
        <v>96751.799999999988</v>
      </c>
      <c r="G30" s="139">
        <v>109535.04000000001</v>
      </c>
      <c r="H30" s="139">
        <v>87728.4</v>
      </c>
      <c r="I30" s="345">
        <v>111039</v>
      </c>
      <c r="J30" s="385"/>
    </row>
    <row r="31" spans="1:13" x14ac:dyDescent="0.3">
      <c r="A31" s="409">
        <v>2025</v>
      </c>
      <c r="B31" s="139">
        <v>111301.08</v>
      </c>
      <c r="C31" s="139">
        <v>109827.24</v>
      </c>
      <c r="D31" s="139">
        <v>111301.08</v>
      </c>
      <c r="E31" s="139">
        <v>128934.48000000001</v>
      </c>
      <c r="F31" s="139">
        <v>101589.48000000001</v>
      </c>
      <c r="G31" s="139">
        <v>115011.95999999999</v>
      </c>
      <c r="H31" s="139">
        <v>92114.880000000005</v>
      </c>
      <c r="I31" s="345">
        <v>116591.04000000001</v>
      </c>
      <c r="J31" s="385"/>
    </row>
    <row r="32" spans="1:13" x14ac:dyDescent="0.3">
      <c r="A32" s="411">
        <v>2026</v>
      </c>
      <c r="B32" s="173">
        <v>114640.20000000001</v>
      </c>
      <c r="C32" s="173">
        <v>113122.20000000001</v>
      </c>
      <c r="D32" s="173">
        <v>114640.20000000001</v>
      </c>
      <c r="E32" s="173">
        <v>132802.68</v>
      </c>
      <c r="F32" s="173">
        <v>104637.36000000002</v>
      </c>
      <c r="G32" s="173">
        <v>118462.44</v>
      </c>
      <c r="H32" s="382">
        <v>94878.48</v>
      </c>
      <c r="I32" s="383">
        <v>120088.92</v>
      </c>
      <c r="J32" s="388"/>
    </row>
    <row r="33" spans="1:10" x14ac:dyDescent="0.3">
      <c r="A33" s="411">
        <v>2027</v>
      </c>
      <c r="B33" s="173"/>
      <c r="C33" s="173"/>
      <c r="D33" s="173"/>
      <c r="E33" s="173"/>
      <c r="F33" s="173"/>
      <c r="G33" s="173"/>
      <c r="H33" s="173"/>
      <c r="I33" s="237"/>
      <c r="J33" s="388"/>
    </row>
    <row r="34" spans="1:10" x14ac:dyDescent="0.3">
      <c r="A34" s="411">
        <v>2028</v>
      </c>
      <c r="B34" s="173"/>
      <c r="C34" s="173"/>
      <c r="D34" s="173"/>
      <c r="E34" s="173"/>
      <c r="F34" s="173"/>
      <c r="G34" s="173"/>
      <c r="H34" s="173"/>
      <c r="I34" s="237"/>
      <c r="J34" s="388"/>
    </row>
    <row r="35" spans="1:10" x14ac:dyDescent="0.3">
      <c r="A35" s="411">
        <v>2029</v>
      </c>
      <c r="B35" s="173"/>
      <c r="C35" s="173"/>
      <c r="D35" s="173"/>
      <c r="E35" s="173"/>
      <c r="F35" s="173"/>
      <c r="G35" s="173"/>
      <c r="H35" s="173"/>
      <c r="I35" s="237"/>
      <c r="J35" s="388"/>
    </row>
    <row r="36" spans="1:10" ht="15" thickBot="1" x14ac:dyDescent="0.35">
      <c r="A36" s="412">
        <v>2030</v>
      </c>
      <c r="B36" s="234"/>
      <c r="C36" s="234"/>
      <c r="D36" s="234"/>
      <c r="E36" s="234"/>
      <c r="F36" s="234"/>
      <c r="G36" s="234"/>
      <c r="H36" s="234"/>
      <c r="I36" s="239"/>
      <c r="J36" s="389"/>
    </row>
    <row r="50" spans="1:1" x14ac:dyDescent="0.3">
      <c r="A50" s="274" t="s">
        <v>54</v>
      </c>
    </row>
    <row r="51" spans="1:1" x14ac:dyDescent="0.3">
      <c r="A51" s="274" t="s">
        <v>7</v>
      </c>
    </row>
    <row r="52" spans="1:1" x14ac:dyDescent="0.3">
      <c r="A52" s="274" t="s">
        <v>6</v>
      </c>
    </row>
    <row r="53" spans="1:1" x14ac:dyDescent="0.3">
      <c r="A53" s="274" t="s">
        <v>13</v>
      </c>
    </row>
    <row r="54" spans="1:1" x14ac:dyDescent="0.3">
      <c r="A54" s="274" t="s">
        <v>4</v>
      </c>
    </row>
    <row r="55" spans="1:1" x14ac:dyDescent="0.3">
      <c r="A55" s="274" t="s">
        <v>134</v>
      </c>
    </row>
    <row r="56" spans="1:1" x14ac:dyDescent="0.3">
      <c r="A56" s="274" t="s">
        <v>136</v>
      </c>
    </row>
    <row r="57" spans="1:1" x14ac:dyDescent="0.3">
      <c r="A57" s="274" t="s">
        <v>137</v>
      </c>
    </row>
    <row r="58" spans="1:1" x14ac:dyDescent="0.3">
      <c r="A58" s="274" t="s">
        <v>5</v>
      </c>
    </row>
  </sheetData>
  <sheetProtection algorithmName="SHA-512" hashValue="UvlviBqI9NaMZg0uavta2Evb0kgdecBLZtRkUdaU9qHVoQolIp2Cgkc+EbAn6oMq+XubL3opeO6f+c4ClMtvcQ==" saltValue="MzP/Y4LS65+8gAtFhJSUyg==" spinCount="100000" sheet="1" objects="1" scenarios="1"/>
  <mergeCells count="2">
    <mergeCell ref="L2:P2"/>
    <mergeCell ref="M3:P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workbookViewId="0">
      <pane xSplit="1" ySplit="5" topLeftCell="B9" activePane="bottomRight" state="frozen"/>
      <selection pane="topRight" activeCell="B1" sqref="B1"/>
      <selection pane="bottomLeft" activeCell="A6" sqref="A6"/>
      <selection pane="bottomRight" activeCell="F1" sqref="F1:F2"/>
    </sheetView>
  </sheetViews>
  <sheetFormatPr defaultRowHeight="14.4" x14ac:dyDescent="0.3"/>
  <cols>
    <col min="1" max="1" width="9.5546875" bestFit="1" customWidth="1"/>
    <col min="2" max="2" width="15.109375" customWidth="1"/>
    <col min="3" max="3" width="16" customWidth="1"/>
    <col min="4" max="4" width="16.88671875" customWidth="1"/>
    <col min="5" max="5" width="16.44140625" customWidth="1"/>
    <col min="6" max="7" width="15.33203125" customWidth="1"/>
    <col min="8" max="8" width="17.109375" customWidth="1"/>
    <col min="9" max="9" width="13.88671875" customWidth="1"/>
    <col min="10" max="10" width="14.33203125" customWidth="1"/>
    <col min="11" max="11" width="13.6640625" customWidth="1"/>
    <col min="12" max="13" width="13.5546875" customWidth="1"/>
    <col min="14" max="14" width="12.88671875" customWidth="1"/>
    <col min="15" max="15" width="11.88671875" customWidth="1"/>
    <col min="16" max="16" width="13.5546875" customWidth="1"/>
    <col min="17" max="17" width="12" customWidth="1"/>
    <col min="18" max="18" width="15.6640625" customWidth="1"/>
    <col min="19" max="19" width="15.109375" customWidth="1"/>
    <col min="20" max="20" width="14.5546875" customWidth="1"/>
    <col min="21" max="21" width="15.6640625" customWidth="1"/>
    <col min="22" max="24" width="15" customWidth="1"/>
    <col min="25" max="25" width="16" customWidth="1"/>
    <col min="26" max="26" width="15.33203125" customWidth="1"/>
  </cols>
  <sheetData>
    <row r="1" spans="1:26" ht="15" thickBot="1" x14ac:dyDescent="0.35">
      <c r="F1" s="339" t="s">
        <v>148</v>
      </c>
      <c r="M1" s="293"/>
      <c r="N1" s="293"/>
    </row>
    <row r="2" spans="1:26" ht="15" thickBot="1" x14ac:dyDescent="0.35">
      <c r="E2" s="240" t="s">
        <v>118</v>
      </c>
      <c r="F2" s="320" t="s">
        <v>117</v>
      </c>
      <c r="G2" s="241"/>
      <c r="H2" s="291" t="s">
        <v>94</v>
      </c>
      <c r="I2" s="291" t="s">
        <v>94</v>
      </c>
      <c r="J2" s="292" t="s">
        <v>145</v>
      </c>
      <c r="K2" s="235" t="s">
        <v>95</v>
      </c>
      <c r="M2" s="293"/>
      <c r="N2" s="293"/>
      <c r="O2" s="594" t="s">
        <v>96</v>
      </c>
      <c r="P2" s="595"/>
      <c r="Q2" s="595"/>
      <c r="R2" s="595"/>
      <c r="S2" s="595"/>
      <c r="T2" s="595"/>
      <c r="U2" s="595"/>
      <c r="V2" s="595"/>
      <c r="W2" s="595"/>
      <c r="X2" s="595"/>
      <c r="Y2" s="595"/>
      <c r="Z2" s="595"/>
    </row>
    <row r="3" spans="1:26" ht="15" thickBot="1" x14ac:dyDescent="0.35">
      <c r="A3" s="247"/>
      <c r="B3" s="248" t="s">
        <v>54</v>
      </c>
      <c r="C3" s="249" t="s">
        <v>7</v>
      </c>
      <c r="D3" s="250" t="s">
        <v>6</v>
      </c>
      <c r="E3" s="228" t="s">
        <v>13</v>
      </c>
      <c r="F3" s="273" t="s">
        <v>4</v>
      </c>
      <c r="G3" s="228" t="s">
        <v>134</v>
      </c>
      <c r="H3" s="151" t="s">
        <v>2</v>
      </c>
      <c r="I3" s="151" t="s">
        <v>3</v>
      </c>
      <c r="J3" s="315" t="s">
        <v>5</v>
      </c>
      <c r="K3" s="312" t="s">
        <v>46</v>
      </c>
      <c r="L3" s="198" t="s">
        <v>97</v>
      </c>
      <c r="M3" s="294"/>
      <c r="N3" s="293"/>
      <c r="O3" s="219" t="s">
        <v>30</v>
      </c>
      <c r="P3" s="596" t="s">
        <v>123</v>
      </c>
      <c r="Q3" s="597"/>
      <c r="R3" s="597"/>
      <c r="S3" s="597"/>
      <c r="T3" s="597"/>
      <c r="U3" s="597"/>
      <c r="V3" s="597"/>
      <c r="W3" s="597"/>
      <c r="X3" s="597"/>
      <c r="Y3" s="597"/>
      <c r="Z3" s="597"/>
    </row>
    <row r="4" spans="1:26" ht="69.599999999999994" thickBot="1" x14ac:dyDescent="0.35">
      <c r="A4" s="251" t="s">
        <v>98</v>
      </c>
      <c r="B4" s="242" t="s">
        <v>99</v>
      </c>
      <c r="C4" s="243" t="s">
        <v>100</v>
      </c>
      <c r="D4" s="244" t="s">
        <v>101</v>
      </c>
      <c r="E4" s="245" t="s">
        <v>113</v>
      </c>
      <c r="F4" s="245" t="s">
        <v>114</v>
      </c>
      <c r="G4" s="252" t="s">
        <v>135</v>
      </c>
      <c r="H4" s="197" t="s">
        <v>2</v>
      </c>
      <c r="I4" s="197" t="s">
        <v>3</v>
      </c>
      <c r="J4" s="316" t="s">
        <v>5</v>
      </c>
      <c r="K4" s="313" t="s">
        <v>46</v>
      </c>
      <c r="L4" s="246" t="s">
        <v>102</v>
      </c>
      <c r="M4" s="199" t="s">
        <v>119</v>
      </c>
      <c r="O4" s="214"/>
      <c r="P4" s="225" t="s">
        <v>54</v>
      </c>
      <c r="Q4" s="215" t="s">
        <v>7</v>
      </c>
      <c r="R4" s="226" t="s">
        <v>6</v>
      </c>
      <c r="S4" s="227" t="s">
        <v>13</v>
      </c>
      <c r="T4" s="216" t="s">
        <v>2</v>
      </c>
      <c r="U4" s="217" t="s">
        <v>3</v>
      </c>
      <c r="V4" s="218" t="s">
        <v>5</v>
      </c>
      <c r="W4" s="218" t="s">
        <v>11</v>
      </c>
      <c r="X4" s="218" t="s">
        <v>57</v>
      </c>
      <c r="Y4" s="278" t="s">
        <v>97</v>
      </c>
      <c r="Z4" s="278" t="s">
        <v>12</v>
      </c>
    </row>
    <row r="5" spans="1:26" ht="15" customHeight="1" thickBot="1" x14ac:dyDescent="0.35">
      <c r="A5" s="255">
        <v>1</v>
      </c>
      <c r="B5" s="256">
        <v>2</v>
      </c>
      <c r="C5" s="257">
        <v>3</v>
      </c>
      <c r="D5" s="258">
        <v>4</v>
      </c>
      <c r="E5" s="259">
        <v>5</v>
      </c>
      <c r="F5" s="311">
        <v>6</v>
      </c>
      <c r="G5" s="310">
        <v>7</v>
      </c>
      <c r="H5" s="260">
        <v>8</v>
      </c>
      <c r="I5" s="261">
        <v>9</v>
      </c>
      <c r="J5" s="317">
        <v>10</v>
      </c>
      <c r="K5" s="314">
        <v>11</v>
      </c>
      <c r="L5" s="262">
        <v>12</v>
      </c>
      <c r="M5" s="262">
        <v>13</v>
      </c>
      <c r="O5" s="212">
        <v>45658</v>
      </c>
      <c r="P5" s="295">
        <v>9275.09</v>
      </c>
      <c r="Q5" s="295">
        <v>9152.27</v>
      </c>
      <c r="R5" s="295">
        <v>9275.09</v>
      </c>
      <c r="S5" s="295">
        <v>10744.54</v>
      </c>
      <c r="T5" s="213">
        <v>8465.7900000000009</v>
      </c>
      <c r="U5" s="213">
        <v>9584.33</v>
      </c>
      <c r="V5" s="213">
        <v>7676.24</v>
      </c>
      <c r="W5" s="213">
        <v>10966.91</v>
      </c>
      <c r="X5" s="213">
        <v>8575.4500000000007</v>
      </c>
      <c r="Y5" s="279">
        <v>9715.92</v>
      </c>
      <c r="Z5" s="279"/>
    </row>
    <row r="6" spans="1:26" ht="15" customHeight="1" x14ac:dyDescent="0.3">
      <c r="A6" s="359">
        <v>2000</v>
      </c>
      <c r="B6" s="347">
        <v>30190.68</v>
      </c>
      <c r="C6" s="348">
        <v>25441.56</v>
      </c>
      <c r="D6" s="349">
        <v>26459.159999999996</v>
      </c>
      <c r="E6" s="253">
        <v>0</v>
      </c>
      <c r="F6" s="361">
        <v>0</v>
      </c>
      <c r="G6" s="362">
        <f>F6</f>
        <v>0</v>
      </c>
      <c r="H6" s="253"/>
      <c r="I6" s="253"/>
      <c r="J6" s="253">
        <v>0</v>
      </c>
      <c r="K6" s="306">
        <v>31692.840000000004</v>
      </c>
      <c r="L6" s="253">
        <v>27331.439999999999</v>
      </c>
      <c r="M6" s="254"/>
      <c r="O6" s="140"/>
      <c r="P6" s="142"/>
      <c r="Q6" s="142"/>
      <c r="R6" s="142"/>
      <c r="S6" s="142"/>
      <c r="T6" s="142"/>
      <c r="U6" s="142"/>
      <c r="V6" s="142"/>
      <c r="W6" s="142"/>
      <c r="X6" s="142"/>
      <c r="Y6" s="144"/>
      <c r="Z6" s="144"/>
    </row>
    <row r="7" spans="1:26" ht="15" customHeight="1" x14ac:dyDescent="0.3">
      <c r="A7" s="360">
        <v>2001</v>
      </c>
      <c r="B7" s="350">
        <v>30190.68</v>
      </c>
      <c r="C7" s="351">
        <v>27375</v>
      </c>
      <c r="D7" s="352">
        <v>30660</v>
      </c>
      <c r="E7" s="139">
        <v>0</v>
      </c>
      <c r="F7" s="344">
        <v>24050.880000000001</v>
      </c>
      <c r="G7" s="344">
        <f t="shared" ref="G7:G23" si="0">F7</f>
        <v>24050.880000000001</v>
      </c>
      <c r="H7" s="139"/>
      <c r="I7" s="139"/>
      <c r="J7" s="139">
        <v>0</v>
      </c>
      <c r="K7" s="307">
        <v>35196.36</v>
      </c>
      <c r="L7" s="139">
        <v>32067.840000000004</v>
      </c>
      <c r="M7" s="210"/>
      <c r="N7" t="s">
        <v>146</v>
      </c>
      <c r="O7" s="144"/>
      <c r="P7" s="144"/>
      <c r="Q7" s="144"/>
      <c r="R7" s="144"/>
      <c r="S7" s="144"/>
      <c r="T7" s="144"/>
      <c r="U7" s="144"/>
      <c r="V7" s="144"/>
      <c r="W7" s="144"/>
      <c r="X7" s="144"/>
      <c r="Y7" s="144"/>
      <c r="Z7" s="144"/>
    </row>
    <row r="8" spans="1:26" ht="15" customHeight="1" x14ac:dyDescent="0.3">
      <c r="A8" s="360">
        <v>2002</v>
      </c>
      <c r="B8" s="229">
        <v>30190.68</v>
      </c>
      <c r="C8" s="139">
        <v>27375</v>
      </c>
      <c r="D8" s="139">
        <v>30660</v>
      </c>
      <c r="E8" s="139">
        <v>0</v>
      </c>
      <c r="F8" s="344">
        <v>32067.840000000004</v>
      </c>
      <c r="G8" s="344">
        <f t="shared" si="0"/>
        <v>32067.840000000004</v>
      </c>
      <c r="H8" s="353">
        <v>17793.72</v>
      </c>
      <c r="I8" s="353">
        <v>17793.72</v>
      </c>
      <c r="J8" s="353">
        <v>0</v>
      </c>
      <c r="K8" s="318">
        <v>17402.64</v>
      </c>
      <c r="L8" s="139">
        <v>32067.840000000004</v>
      </c>
      <c r="M8" s="236"/>
      <c r="N8" s="150">
        <f>I8+K8</f>
        <v>35196.36</v>
      </c>
      <c r="O8" s="140"/>
      <c r="P8" s="142"/>
      <c r="Q8" s="142"/>
      <c r="R8" s="142"/>
      <c r="S8" s="142"/>
      <c r="T8" s="142"/>
      <c r="U8" s="142"/>
      <c r="V8" s="142"/>
      <c r="W8" s="142"/>
      <c r="X8" s="142"/>
      <c r="Y8" s="144"/>
      <c r="Z8" s="144"/>
    </row>
    <row r="9" spans="1:26" ht="15" customHeight="1" x14ac:dyDescent="0.3">
      <c r="A9" s="360">
        <v>2003</v>
      </c>
      <c r="B9" s="229">
        <v>31398.239999999998</v>
      </c>
      <c r="C9" s="139">
        <v>28469.879999999997</v>
      </c>
      <c r="D9" s="139">
        <v>31886.28</v>
      </c>
      <c r="E9" s="139">
        <v>0</v>
      </c>
      <c r="F9" s="344">
        <v>33350.519999999997</v>
      </c>
      <c r="G9" s="344">
        <f t="shared" si="0"/>
        <v>33350.519999999997</v>
      </c>
      <c r="H9" s="230">
        <v>36604.199999999997</v>
      </c>
      <c r="I9" s="139">
        <v>40345.919999999998</v>
      </c>
      <c r="J9" s="139">
        <v>0</v>
      </c>
      <c r="K9" s="307">
        <v>0</v>
      </c>
      <c r="L9" s="139">
        <v>33350.520000000004</v>
      </c>
      <c r="M9" s="210"/>
      <c r="O9" s="140"/>
      <c r="P9" s="141"/>
      <c r="Q9" s="141"/>
      <c r="R9" s="141"/>
      <c r="S9" s="141"/>
      <c r="T9" s="142"/>
      <c r="U9" s="142"/>
      <c r="V9" s="142"/>
      <c r="W9" s="142"/>
      <c r="X9" s="142"/>
      <c r="Y9" s="144"/>
      <c r="Z9" s="144"/>
    </row>
    <row r="10" spans="1:26" ht="15" customHeight="1" x14ac:dyDescent="0.3">
      <c r="A10" s="360">
        <v>2004</v>
      </c>
      <c r="B10" s="230">
        <v>33219.870000000003</v>
      </c>
      <c r="C10" s="139">
        <v>30329.43</v>
      </c>
      <c r="D10" s="139">
        <v>33596.910000000003</v>
      </c>
      <c r="E10" s="139">
        <v>0</v>
      </c>
      <c r="F10" s="344">
        <v>34434.75</v>
      </c>
      <c r="G10" s="344">
        <f t="shared" si="0"/>
        <v>34434.75</v>
      </c>
      <c r="H10" s="230">
        <v>37702.32</v>
      </c>
      <c r="I10" s="354">
        <v>41556.239999999998</v>
      </c>
      <c r="J10" s="354">
        <v>0</v>
      </c>
      <c r="K10" s="307">
        <v>0</v>
      </c>
      <c r="L10" s="139">
        <v>34350.959999999999</v>
      </c>
      <c r="M10" s="210"/>
      <c r="O10" s="140"/>
      <c r="P10" s="142"/>
      <c r="Q10" s="142"/>
      <c r="R10" s="142"/>
      <c r="S10" s="142"/>
      <c r="T10" s="142"/>
      <c r="U10" s="142"/>
      <c r="V10" s="142"/>
      <c r="W10" s="142"/>
      <c r="X10" s="142"/>
      <c r="Y10" s="144"/>
      <c r="Z10" s="144"/>
    </row>
    <row r="11" spans="1:26" ht="15" customHeight="1" x14ac:dyDescent="0.3">
      <c r="A11" s="143">
        <v>2005</v>
      </c>
      <c r="B11" s="229">
        <v>34518.479999999996</v>
      </c>
      <c r="C11" s="139">
        <v>31584.36</v>
      </c>
      <c r="D11" s="139">
        <v>34863.72</v>
      </c>
      <c r="E11" s="139">
        <v>0</v>
      </c>
      <c r="F11" s="346">
        <v>35726.639999999999</v>
      </c>
      <c r="G11" s="346">
        <f t="shared" si="0"/>
        <v>35726.639999999999</v>
      </c>
      <c r="H11" s="355">
        <v>40904.399999999994</v>
      </c>
      <c r="I11" s="139">
        <v>43665.840000000004</v>
      </c>
      <c r="J11" s="139">
        <v>0</v>
      </c>
      <c r="K11" s="307">
        <v>0</v>
      </c>
      <c r="L11" s="139">
        <v>35640.300000000003</v>
      </c>
      <c r="M11" s="210"/>
      <c r="O11" s="140"/>
      <c r="P11" s="142"/>
      <c r="Q11" s="142"/>
      <c r="R11" s="142"/>
      <c r="S11" s="142"/>
      <c r="T11" s="142"/>
      <c r="U11" s="142"/>
      <c r="V11" s="142"/>
      <c r="W11" s="142"/>
      <c r="X11" s="142"/>
      <c r="Y11" s="144"/>
      <c r="Z11" s="144"/>
    </row>
    <row r="12" spans="1:26" ht="15" customHeight="1" x14ac:dyDescent="0.3">
      <c r="A12" s="145">
        <v>2006</v>
      </c>
      <c r="B12" s="229">
        <v>35561.760000000002</v>
      </c>
      <c r="C12" s="139">
        <v>32583.600000000002</v>
      </c>
      <c r="D12" s="139">
        <v>35912.04</v>
      </c>
      <c r="E12" s="139">
        <v>0</v>
      </c>
      <c r="F12" s="345">
        <v>37313.520000000004</v>
      </c>
      <c r="G12" s="346">
        <f t="shared" si="0"/>
        <v>37313.520000000004</v>
      </c>
      <c r="H12" s="230">
        <v>41517.840000000004</v>
      </c>
      <c r="I12" s="139">
        <v>44320.800000000003</v>
      </c>
      <c r="J12" s="139">
        <v>0</v>
      </c>
      <c r="K12" s="307">
        <v>0</v>
      </c>
      <c r="L12" s="139">
        <v>36963.120000000003</v>
      </c>
      <c r="M12" s="210"/>
      <c r="O12" s="140"/>
      <c r="P12" s="144"/>
      <c r="Q12" s="144"/>
      <c r="R12" s="144"/>
      <c r="S12" s="144"/>
      <c r="T12" s="144"/>
      <c r="U12" s="144"/>
      <c r="V12" s="144"/>
      <c r="W12" s="144"/>
      <c r="X12" s="144"/>
      <c r="Y12" s="144"/>
      <c r="Z12" s="144"/>
    </row>
    <row r="13" spans="1:26" ht="15" customHeight="1" x14ac:dyDescent="0.3">
      <c r="A13" s="145">
        <v>2007</v>
      </c>
      <c r="B13" s="229">
        <v>38189.399999999994</v>
      </c>
      <c r="C13" s="139">
        <v>35386.559999999998</v>
      </c>
      <c r="D13" s="139">
        <v>38539.800000000003</v>
      </c>
      <c r="E13" s="139">
        <v>0</v>
      </c>
      <c r="F13" s="345">
        <v>39941.279999999999</v>
      </c>
      <c r="G13" s="346">
        <f t="shared" si="0"/>
        <v>39941.279999999999</v>
      </c>
      <c r="H13" s="230">
        <v>51152.759999999995</v>
      </c>
      <c r="I13" s="139">
        <v>58685.520000000004</v>
      </c>
      <c r="J13" s="342">
        <v>28718.34</v>
      </c>
      <c r="K13" s="307">
        <v>0</v>
      </c>
      <c r="L13" s="139">
        <v>39590.879999999997</v>
      </c>
      <c r="M13" s="210"/>
      <c r="O13" s="144"/>
      <c r="P13" s="142"/>
      <c r="Q13" s="142"/>
      <c r="R13" s="142"/>
      <c r="S13" s="142"/>
      <c r="T13" s="144"/>
      <c r="U13" s="144"/>
      <c r="V13" s="144"/>
      <c r="W13" s="144"/>
      <c r="X13" s="144"/>
      <c r="Y13" s="144"/>
      <c r="Z13" s="144"/>
    </row>
    <row r="14" spans="1:26" x14ac:dyDescent="0.3">
      <c r="A14" s="145">
        <v>2008</v>
      </c>
      <c r="B14" s="229">
        <v>44444.159999999996</v>
      </c>
      <c r="C14" s="139">
        <v>42472.92</v>
      </c>
      <c r="D14" s="139">
        <v>44802.600000000006</v>
      </c>
      <c r="E14" s="139">
        <v>0</v>
      </c>
      <c r="F14" s="345">
        <v>46236.24</v>
      </c>
      <c r="G14" s="346">
        <f t="shared" si="0"/>
        <v>46236.24</v>
      </c>
      <c r="H14" s="230">
        <v>59856.240000000005</v>
      </c>
      <c r="I14" s="139">
        <v>60931.56</v>
      </c>
      <c r="J14" s="139">
        <v>69891.03</v>
      </c>
      <c r="K14" s="307">
        <v>0</v>
      </c>
      <c r="L14" s="139">
        <v>40501.56</v>
      </c>
      <c r="M14" s="210"/>
    </row>
    <row r="15" spans="1:26" x14ac:dyDescent="0.3">
      <c r="A15" s="145">
        <v>2009</v>
      </c>
      <c r="B15" s="229">
        <v>48440.639999999999</v>
      </c>
      <c r="C15" s="139">
        <v>47343.840000000004</v>
      </c>
      <c r="D15" s="139">
        <v>48806.159999999996</v>
      </c>
      <c r="E15" s="139">
        <v>0</v>
      </c>
      <c r="F15" s="345">
        <v>50451.360000000001</v>
      </c>
      <c r="G15" s="346">
        <f t="shared" si="0"/>
        <v>50451.360000000001</v>
      </c>
      <c r="H15" s="230">
        <v>62150.28</v>
      </c>
      <c r="I15" s="139">
        <v>69644.759999999995</v>
      </c>
      <c r="J15" s="139">
        <v>63978.240000000005</v>
      </c>
      <c r="K15" s="307">
        <v>0</v>
      </c>
      <c r="L15" s="139">
        <v>41311.68</v>
      </c>
      <c r="M15" s="210"/>
    </row>
    <row r="16" spans="1:26" x14ac:dyDescent="0.3">
      <c r="A16" s="145">
        <v>2010</v>
      </c>
      <c r="B16" s="229">
        <v>48440.639999999999</v>
      </c>
      <c r="C16" s="139">
        <v>47343.840000000004</v>
      </c>
      <c r="D16" s="139">
        <v>48806.159999999996</v>
      </c>
      <c r="E16" s="139">
        <v>0</v>
      </c>
      <c r="F16" s="345">
        <v>50451.360000000001</v>
      </c>
      <c r="G16" s="346">
        <f t="shared" si="0"/>
        <v>50451.360000000001</v>
      </c>
      <c r="H16" s="230">
        <v>62150.28</v>
      </c>
      <c r="I16" s="139">
        <v>69644.759999999995</v>
      </c>
      <c r="J16" s="139">
        <v>63978.240000000005</v>
      </c>
      <c r="K16" s="307">
        <v>0</v>
      </c>
      <c r="L16" s="139">
        <v>41311.68</v>
      </c>
      <c r="M16" s="210"/>
    </row>
    <row r="17" spans="1:16" x14ac:dyDescent="0.3">
      <c r="A17" s="145">
        <v>2011</v>
      </c>
      <c r="B17" s="229">
        <v>48440.639999999999</v>
      </c>
      <c r="C17" s="139">
        <v>47343.840000000004</v>
      </c>
      <c r="D17" s="139">
        <v>48806.159999999996</v>
      </c>
      <c r="E17" s="139">
        <v>0</v>
      </c>
      <c r="F17" s="345">
        <v>50451.360000000001</v>
      </c>
      <c r="G17" s="346">
        <f t="shared" si="0"/>
        <v>50451.360000000001</v>
      </c>
      <c r="H17" s="230">
        <v>62150.28</v>
      </c>
      <c r="I17" s="139">
        <v>69644.759999999995</v>
      </c>
      <c r="J17" s="139">
        <v>63978.240000000005</v>
      </c>
      <c r="K17" s="307">
        <v>0</v>
      </c>
      <c r="L17" s="139">
        <v>41311.68</v>
      </c>
      <c r="M17" s="210"/>
    </row>
    <row r="18" spans="1:16" x14ac:dyDescent="0.3">
      <c r="A18" s="146">
        <v>2012</v>
      </c>
      <c r="B18" s="230">
        <v>50451.360000000001</v>
      </c>
      <c r="C18" s="139">
        <v>49354.559999999998</v>
      </c>
      <c r="D18" s="139">
        <v>50816.94</v>
      </c>
      <c r="E18" s="139">
        <v>0</v>
      </c>
      <c r="F18" s="344">
        <v>51456.72</v>
      </c>
      <c r="G18" s="344">
        <v>51456.72</v>
      </c>
      <c r="H18" s="230">
        <v>62150.28</v>
      </c>
      <c r="I18" s="354">
        <v>69644.759999999995</v>
      </c>
      <c r="J18" s="354">
        <v>63978.240000000005</v>
      </c>
      <c r="K18" s="307">
        <v>0</v>
      </c>
      <c r="L18" s="139">
        <v>46429.919999999998</v>
      </c>
      <c r="M18" s="210"/>
    </row>
    <row r="19" spans="1:16" x14ac:dyDescent="0.3">
      <c r="A19" s="145">
        <v>2013</v>
      </c>
      <c r="B19" s="229">
        <v>52462.080000000002</v>
      </c>
      <c r="C19" s="139">
        <v>51365.279999999999</v>
      </c>
      <c r="D19" s="139">
        <v>52827.72</v>
      </c>
      <c r="E19" s="139">
        <v>0</v>
      </c>
      <c r="F19" s="345">
        <v>54472.799999999996</v>
      </c>
      <c r="G19" s="346">
        <f t="shared" si="0"/>
        <v>54472.799999999996</v>
      </c>
      <c r="H19" s="230">
        <v>62150.28</v>
      </c>
      <c r="I19" s="139">
        <v>69644.759999999995</v>
      </c>
      <c r="J19" s="139">
        <v>63978.240000000005</v>
      </c>
      <c r="K19" s="307">
        <v>0</v>
      </c>
      <c r="L19" s="139">
        <v>51548.160000000003</v>
      </c>
      <c r="M19" s="210"/>
    </row>
    <row r="20" spans="1:16" x14ac:dyDescent="0.3">
      <c r="A20" s="145">
        <v>2014</v>
      </c>
      <c r="B20" s="229">
        <v>52462.080000000002</v>
      </c>
      <c r="C20" s="139">
        <v>51365.279999999999</v>
      </c>
      <c r="D20" s="139">
        <v>52827.72</v>
      </c>
      <c r="E20" s="139">
        <v>0</v>
      </c>
      <c r="F20" s="345">
        <v>54472.799999999996</v>
      </c>
      <c r="G20" s="346">
        <f t="shared" si="0"/>
        <v>54472.799999999996</v>
      </c>
      <c r="H20" s="230">
        <v>62150.28</v>
      </c>
      <c r="I20" s="139">
        <v>69644.759999999995</v>
      </c>
      <c r="J20" s="139">
        <v>63978.240000000005</v>
      </c>
      <c r="K20" s="307">
        <v>0</v>
      </c>
      <c r="L20" s="139">
        <v>51548.160000000003</v>
      </c>
      <c r="M20" s="210"/>
    </row>
    <row r="21" spans="1:16" x14ac:dyDescent="0.3">
      <c r="A21" s="145">
        <v>2015</v>
      </c>
      <c r="B21" s="229">
        <v>52462.080000000002</v>
      </c>
      <c r="C21" s="139">
        <v>51365.279999999999</v>
      </c>
      <c r="D21" s="139">
        <v>52827.72</v>
      </c>
      <c r="E21" s="139">
        <v>0</v>
      </c>
      <c r="F21" s="345">
        <v>54472.799999999996</v>
      </c>
      <c r="G21" s="346">
        <f t="shared" si="0"/>
        <v>54472.799999999996</v>
      </c>
      <c r="H21" s="230">
        <v>62150.28</v>
      </c>
      <c r="I21" s="139">
        <v>69644.759999999995</v>
      </c>
      <c r="J21" s="139">
        <v>63978.240000000005</v>
      </c>
      <c r="K21" s="307">
        <v>0</v>
      </c>
      <c r="L21" s="139">
        <v>51548.160000000003</v>
      </c>
      <c r="M21" s="210"/>
    </row>
    <row r="22" spans="1:16" x14ac:dyDescent="0.3">
      <c r="A22" s="147">
        <v>2016</v>
      </c>
      <c r="B22" s="229">
        <v>55021.200000000004</v>
      </c>
      <c r="C22" s="139">
        <v>53924.520000000004</v>
      </c>
      <c r="D22" s="139">
        <v>55386.84</v>
      </c>
      <c r="E22" s="139">
        <v>0</v>
      </c>
      <c r="F22" s="345">
        <v>57214.799999999996</v>
      </c>
      <c r="G22" s="346">
        <f t="shared" si="0"/>
        <v>57214.799999999996</v>
      </c>
      <c r="H22" s="230">
        <v>65806.080000000002</v>
      </c>
      <c r="I22" s="139">
        <v>79881.36</v>
      </c>
      <c r="J22" s="139">
        <v>63978.240000000005</v>
      </c>
      <c r="K22" s="307">
        <v>0</v>
      </c>
      <c r="L22" s="139">
        <v>53924.520000000004</v>
      </c>
      <c r="M22" s="210"/>
    </row>
    <row r="23" spans="1:16" x14ac:dyDescent="0.3">
      <c r="A23" s="148">
        <v>2017</v>
      </c>
      <c r="B23" s="229">
        <v>58311.600000000006</v>
      </c>
      <c r="C23" s="139">
        <v>57214.799999999996</v>
      </c>
      <c r="D23" s="139">
        <v>58677.120000000003</v>
      </c>
      <c r="E23" s="139">
        <v>0</v>
      </c>
      <c r="F23" s="345">
        <v>60505.08</v>
      </c>
      <c r="G23" s="346">
        <f t="shared" si="0"/>
        <v>60505.08</v>
      </c>
      <c r="H23" s="230">
        <v>65806.080000000002</v>
      </c>
      <c r="I23" s="139">
        <v>79881.36</v>
      </c>
      <c r="J23" s="139">
        <v>63978.240000000005</v>
      </c>
      <c r="K23" s="307">
        <v>0</v>
      </c>
      <c r="L23" s="139">
        <v>58494.36</v>
      </c>
      <c r="M23" s="210"/>
    </row>
    <row r="24" spans="1:16" x14ac:dyDescent="0.3">
      <c r="A24" s="146">
        <v>2018</v>
      </c>
      <c r="B24" s="231">
        <v>59408.32</v>
      </c>
      <c r="C24" s="149">
        <v>58311.519999999997</v>
      </c>
      <c r="D24" s="149">
        <v>59530.16</v>
      </c>
      <c r="E24" s="342">
        <v>63749.71</v>
      </c>
      <c r="F24" s="343">
        <v>5042.09</v>
      </c>
      <c r="G24" s="358">
        <f>E24+F24</f>
        <v>68791.8</v>
      </c>
      <c r="H24" s="230">
        <v>70558.799999999988</v>
      </c>
      <c r="I24" s="139">
        <v>79881.36</v>
      </c>
      <c r="J24" s="139">
        <v>63978.240000000005</v>
      </c>
      <c r="K24" s="307">
        <v>0</v>
      </c>
      <c r="L24" s="139">
        <v>58494.36</v>
      </c>
      <c r="M24" s="210"/>
    </row>
    <row r="25" spans="1:16" x14ac:dyDescent="0.3">
      <c r="A25" s="145">
        <v>2019</v>
      </c>
      <c r="B25" s="229">
        <v>67816.92</v>
      </c>
      <c r="C25" s="139">
        <v>66720.12</v>
      </c>
      <c r="D25" s="139">
        <v>67816.92</v>
      </c>
      <c r="E25" s="139">
        <v>80795.28</v>
      </c>
      <c r="F25" s="345">
        <v>0</v>
      </c>
      <c r="G25" s="303">
        <v>80795.28</v>
      </c>
      <c r="H25" s="230">
        <v>70558.799999999988</v>
      </c>
      <c r="I25" s="139">
        <v>79881.36</v>
      </c>
      <c r="J25" s="139">
        <v>63978.240000000005</v>
      </c>
      <c r="K25" s="307">
        <v>0</v>
      </c>
      <c r="L25" s="139">
        <v>66354.48</v>
      </c>
      <c r="M25" s="210"/>
    </row>
    <row r="26" spans="1:16" x14ac:dyDescent="0.3">
      <c r="A26" s="145">
        <v>2020</v>
      </c>
      <c r="B26" s="229">
        <v>73823.64</v>
      </c>
      <c r="C26" s="139">
        <v>72738.600000000006</v>
      </c>
      <c r="D26" s="139">
        <v>73823.64</v>
      </c>
      <c r="E26" s="139">
        <v>86805.72</v>
      </c>
      <c r="F26" s="345">
        <v>0</v>
      </c>
      <c r="G26" s="303">
        <v>86805.72</v>
      </c>
      <c r="H26" s="230">
        <v>74792.399999999994</v>
      </c>
      <c r="I26" s="139">
        <v>84674.4</v>
      </c>
      <c r="J26" s="139">
        <v>67817.040000000008</v>
      </c>
      <c r="K26" s="307">
        <v>0</v>
      </c>
      <c r="L26" s="139">
        <v>73842.959999999992</v>
      </c>
      <c r="M26" s="210"/>
    </row>
    <row r="27" spans="1:16" x14ac:dyDescent="0.3">
      <c r="A27" s="145">
        <v>2021</v>
      </c>
      <c r="B27" s="229">
        <v>73823.64</v>
      </c>
      <c r="C27" s="139">
        <v>72738.600000000006</v>
      </c>
      <c r="D27" s="139">
        <v>73823.64</v>
      </c>
      <c r="E27" s="139">
        <v>86805.72</v>
      </c>
      <c r="F27" s="345">
        <v>0</v>
      </c>
      <c r="G27" s="303">
        <v>86805.72</v>
      </c>
      <c r="H27" s="230">
        <v>74792.399999999994</v>
      </c>
      <c r="I27" s="139">
        <v>84674.4</v>
      </c>
      <c r="J27" s="139">
        <v>67817.040000000008</v>
      </c>
      <c r="K27" s="307">
        <v>0</v>
      </c>
      <c r="L27" s="139">
        <v>73842.959999999992</v>
      </c>
      <c r="M27" s="210"/>
    </row>
    <row r="28" spans="1:16" x14ac:dyDescent="0.3">
      <c r="A28" s="145">
        <v>2022</v>
      </c>
      <c r="B28" s="229">
        <v>81942.240000000005</v>
      </c>
      <c r="C28" s="139">
        <v>80857.200000000012</v>
      </c>
      <c r="D28" s="139">
        <v>81942.240000000005</v>
      </c>
      <c r="E28" s="139">
        <v>94924.44</v>
      </c>
      <c r="F28" s="345">
        <v>0</v>
      </c>
      <c r="G28" s="303">
        <v>94924.44</v>
      </c>
      <c r="H28" s="230">
        <v>74792.399999999994</v>
      </c>
      <c r="I28" s="139">
        <v>84674.4</v>
      </c>
      <c r="J28" s="139">
        <v>67817.040000000008</v>
      </c>
      <c r="K28" s="307">
        <v>0</v>
      </c>
      <c r="L28" s="139">
        <v>81961.680000000008</v>
      </c>
      <c r="M28" s="209"/>
      <c r="N28" s="150"/>
      <c r="O28" s="150"/>
      <c r="P28" s="150"/>
    </row>
    <row r="29" spans="1:16" x14ac:dyDescent="0.3">
      <c r="A29" s="146">
        <v>2023</v>
      </c>
      <c r="B29" s="230">
        <v>87268.739999999991</v>
      </c>
      <c r="C29" s="139">
        <v>86113.099999999991</v>
      </c>
      <c r="D29" s="139">
        <v>87268.739999999991</v>
      </c>
      <c r="E29" s="303">
        <v>101094.74</v>
      </c>
      <c r="F29" s="345">
        <v>0</v>
      </c>
      <c r="G29" s="358">
        <v>101094.74</v>
      </c>
      <c r="H29" s="230">
        <v>79654.099999999991</v>
      </c>
      <c r="I29" s="139">
        <v>90178.4</v>
      </c>
      <c r="J29" s="363">
        <v>72225.240000000005</v>
      </c>
      <c r="K29" s="307">
        <v>0</v>
      </c>
      <c r="L29" s="139">
        <v>90770.68</v>
      </c>
      <c r="M29" s="210"/>
    </row>
    <row r="30" spans="1:16" x14ac:dyDescent="0.3">
      <c r="A30" s="145">
        <v>2024</v>
      </c>
      <c r="B30" s="230">
        <v>106000.92</v>
      </c>
      <c r="C30" s="139">
        <v>104597.28</v>
      </c>
      <c r="D30" s="139">
        <v>106000.92</v>
      </c>
      <c r="E30" s="139">
        <v>122794.56</v>
      </c>
      <c r="F30" s="345">
        <v>0</v>
      </c>
      <c r="G30" s="303">
        <v>122794.56</v>
      </c>
      <c r="H30" s="230">
        <v>96751.799999999988</v>
      </c>
      <c r="I30" s="139">
        <v>109535.04000000001</v>
      </c>
      <c r="J30" s="139">
        <v>87728.4</v>
      </c>
      <c r="K30" s="307">
        <v>0</v>
      </c>
      <c r="L30" s="139">
        <v>111039</v>
      </c>
      <c r="M30" s="210"/>
    </row>
    <row r="31" spans="1:16" x14ac:dyDescent="0.3">
      <c r="A31" s="146">
        <v>2025</v>
      </c>
      <c r="B31" s="230">
        <v>111301.08</v>
      </c>
      <c r="C31" s="139">
        <v>109827.24</v>
      </c>
      <c r="D31" s="139">
        <v>111301.08</v>
      </c>
      <c r="E31" s="139">
        <v>128934.48000000001</v>
      </c>
      <c r="F31" s="345">
        <v>0</v>
      </c>
      <c r="G31" s="303">
        <v>128934.48000000001</v>
      </c>
      <c r="H31" s="230">
        <v>101589.48000000001</v>
      </c>
      <c r="I31" s="139">
        <v>115011.95999999999</v>
      </c>
      <c r="J31" s="139">
        <v>92114.880000000005</v>
      </c>
      <c r="K31" s="307">
        <v>0</v>
      </c>
      <c r="L31" s="139">
        <v>116591.04000000001</v>
      </c>
      <c r="M31" s="210"/>
    </row>
    <row r="32" spans="1:16" x14ac:dyDescent="0.3">
      <c r="A32" s="200">
        <v>2026</v>
      </c>
      <c r="B32" s="232"/>
      <c r="C32" s="173"/>
      <c r="D32" s="173"/>
      <c r="E32" s="301"/>
      <c r="F32" s="356"/>
      <c r="G32" s="304"/>
      <c r="H32" s="232"/>
      <c r="I32" s="173"/>
      <c r="J32" s="173"/>
      <c r="K32" s="308"/>
      <c r="L32" s="201"/>
      <c r="M32" s="237"/>
    </row>
    <row r="33" spans="1:13" x14ac:dyDescent="0.3">
      <c r="A33" s="200">
        <v>2027</v>
      </c>
      <c r="B33" s="232"/>
      <c r="C33" s="173"/>
      <c r="D33" s="173"/>
      <c r="E33" s="301"/>
      <c r="F33" s="356"/>
      <c r="G33" s="304"/>
      <c r="H33" s="232"/>
      <c r="I33" s="173"/>
      <c r="J33" s="173"/>
      <c r="K33" s="308"/>
      <c r="L33" s="201"/>
      <c r="M33" s="237"/>
    </row>
    <row r="34" spans="1:13" x14ac:dyDescent="0.3">
      <c r="A34" s="200">
        <v>2028</v>
      </c>
      <c r="B34" s="232"/>
      <c r="C34" s="173"/>
      <c r="D34" s="173"/>
      <c r="E34" s="301"/>
      <c r="F34" s="356"/>
      <c r="G34" s="304"/>
      <c r="H34" s="232"/>
      <c r="I34" s="173"/>
      <c r="J34" s="173"/>
      <c r="K34" s="308"/>
      <c r="L34" s="201"/>
      <c r="M34" s="237"/>
    </row>
    <row r="35" spans="1:13" x14ac:dyDescent="0.3">
      <c r="A35" s="200">
        <v>2029</v>
      </c>
      <c r="B35" s="232"/>
      <c r="C35" s="173"/>
      <c r="D35" s="173"/>
      <c r="E35" s="301"/>
      <c r="F35" s="356"/>
      <c r="G35" s="304"/>
      <c r="H35" s="232"/>
      <c r="I35" s="173"/>
      <c r="J35" s="173"/>
      <c r="K35" s="308"/>
      <c r="L35" s="201"/>
      <c r="M35" s="237"/>
    </row>
    <row r="36" spans="1:13" ht="15" thickBot="1" x14ac:dyDescent="0.35">
      <c r="A36" s="200">
        <v>2030</v>
      </c>
      <c r="B36" s="233"/>
      <c r="C36" s="234"/>
      <c r="D36" s="234"/>
      <c r="E36" s="302"/>
      <c r="F36" s="357"/>
      <c r="G36" s="305"/>
      <c r="H36" s="233"/>
      <c r="I36" s="234"/>
      <c r="J36" s="234"/>
      <c r="K36" s="309"/>
      <c r="L36" s="238"/>
      <c r="M36" s="239"/>
    </row>
    <row r="50" spans="1:1" x14ac:dyDescent="0.3">
      <c r="A50" s="274" t="s">
        <v>54</v>
      </c>
    </row>
    <row r="51" spans="1:1" x14ac:dyDescent="0.3">
      <c r="A51" s="274" t="s">
        <v>7</v>
      </c>
    </row>
    <row r="52" spans="1:1" x14ac:dyDescent="0.3">
      <c r="A52" s="274" t="s">
        <v>6</v>
      </c>
    </row>
    <row r="53" spans="1:1" x14ac:dyDescent="0.3">
      <c r="A53" s="274" t="s">
        <v>13</v>
      </c>
    </row>
    <row r="54" spans="1:1" x14ac:dyDescent="0.3">
      <c r="A54" s="274" t="s">
        <v>4</v>
      </c>
    </row>
    <row r="55" spans="1:1" x14ac:dyDescent="0.3">
      <c r="A55" s="274" t="s">
        <v>134</v>
      </c>
    </row>
    <row r="56" spans="1:1" x14ac:dyDescent="0.3">
      <c r="A56" s="274" t="s">
        <v>136</v>
      </c>
    </row>
    <row r="57" spans="1:1" x14ac:dyDescent="0.3">
      <c r="A57" s="274" t="s">
        <v>137</v>
      </c>
    </row>
    <row r="58" spans="1:1" x14ac:dyDescent="0.3">
      <c r="A58" s="274" t="s">
        <v>5</v>
      </c>
    </row>
  </sheetData>
  <sheetProtection algorithmName="SHA-512" hashValue="dkGG8mtNptAxalJqoKoU3kpKoZ/+fMcAMLPXdizxhMrhWOltyAiStDoESN0MjWAB41DhBRyTCSMOFjpPgb++Og==" saltValue="kR7MmkcWjDQWJHxuCiJwGA==" spinCount="100000" sheet="1" objects="1" scenarios="1"/>
  <mergeCells count="2">
    <mergeCell ref="O2:Z2"/>
    <mergeCell ref="P3:Z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sqref="A1:XFD1048576"/>
    </sheetView>
  </sheetViews>
  <sheetFormatPr defaultColWidth="8.88671875" defaultRowHeight="14.4" x14ac:dyDescent="0.3"/>
  <cols>
    <col min="1" max="2" width="24.88671875" style="123" customWidth="1"/>
    <col min="3" max="3" width="28.6640625" style="123" customWidth="1"/>
    <col min="4" max="5" width="8.88671875" style="123"/>
    <col min="6" max="6" width="16.33203125" style="123" customWidth="1"/>
    <col min="7" max="8" width="8.88671875" style="123"/>
    <col min="9" max="9" width="15.33203125" style="123" customWidth="1"/>
    <col min="10" max="16384" width="8.88671875" style="123"/>
  </cols>
  <sheetData>
    <row r="1" spans="1:10" x14ac:dyDescent="0.3">
      <c r="I1" s="123" t="s">
        <v>55</v>
      </c>
    </row>
    <row r="2" spans="1:10" x14ac:dyDescent="0.3">
      <c r="A2" s="263" t="s">
        <v>2</v>
      </c>
      <c r="B2" s="263" t="s">
        <v>2</v>
      </c>
      <c r="C2" s="263" t="s">
        <v>2</v>
      </c>
    </row>
    <row r="3" spans="1:10" x14ac:dyDescent="0.3">
      <c r="A3" s="263" t="s">
        <v>3</v>
      </c>
      <c r="B3" s="263" t="s">
        <v>3</v>
      </c>
      <c r="C3" s="263" t="s">
        <v>3</v>
      </c>
      <c r="F3" s="123" t="s">
        <v>37</v>
      </c>
      <c r="G3" s="123">
        <v>1</v>
      </c>
    </row>
    <row r="4" spans="1:10" x14ac:dyDescent="0.3">
      <c r="A4" s="263" t="s">
        <v>4</v>
      </c>
      <c r="B4" s="263" t="s">
        <v>4</v>
      </c>
      <c r="C4" s="263" t="s">
        <v>4</v>
      </c>
      <c r="F4" s="123" t="s">
        <v>35</v>
      </c>
      <c r="G4" s="123">
        <v>2</v>
      </c>
      <c r="I4" s="123" t="s">
        <v>56</v>
      </c>
    </row>
    <row r="5" spans="1:10" x14ac:dyDescent="0.3">
      <c r="A5" s="263" t="s">
        <v>5</v>
      </c>
      <c r="B5" s="263" t="s">
        <v>5</v>
      </c>
      <c r="C5" s="263" t="s">
        <v>19</v>
      </c>
      <c r="D5" s="263" t="s">
        <v>19</v>
      </c>
      <c r="F5" s="263" t="s">
        <v>36</v>
      </c>
      <c r="G5" s="123">
        <v>3</v>
      </c>
      <c r="I5" s="123" t="s">
        <v>6</v>
      </c>
      <c r="J5" s="123" t="s">
        <v>6</v>
      </c>
    </row>
    <row r="6" spans="1:10" x14ac:dyDescent="0.3">
      <c r="A6" s="263" t="s">
        <v>19</v>
      </c>
      <c r="B6" s="263" t="s">
        <v>19</v>
      </c>
      <c r="C6" s="263" t="s">
        <v>5</v>
      </c>
      <c r="D6" s="263" t="s">
        <v>11</v>
      </c>
      <c r="F6" s="263" t="s">
        <v>38</v>
      </c>
      <c r="G6" s="123">
        <v>4</v>
      </c>
      <c r="I6" s="123" t="s">
        <v>7</v>
      </c>
      <c r="J6" s="123" t="s">
        <v>7</v>
      </c>
    </row>
    <row r="7" spans="1:10" x14ac:dyDescent="0.3">
      <c r="A7" s="263" t="s">
        <v>11</v>
      </c>
      <c r="B7" s="263" t="s">
        <v>11</v>
      </c>
      <c r="C7" s="263" t="s">
        <v>11</v>
      </c>
      <c r="I7" s="123" t="s">
        <v>54</v>
      </c>
      <c r="J7" s="123" t="s">
        <v>54</v>
      </c>
    </row>
    <row r="8" spans="1:10" x14ac:dyDescent="0.3">
      <c r="A8" s="263" t="s">
        <v>6</v>
      </c>
      <c r="B8" s="263" t="s">
        <v>6</v>
      </c>
      <c r="C8" s="263" t="s">
        <v>6</v>
      </c>
      <c r="J8" s="123" t="s">
        <v>13</v>
      </c>
    </row>
    <row r="9" spans="1:10" x14ac:dyDescent="0.3">
      <c r="A9" s="263" t="s">
        <v>7</v>
      </c>
      <c r="B9" s="263" t="s">
        <v>7</v>
      </c>
      <c r="C9" s="263" t="s">
        <v>7</v>
      </c>
      <c r="F9" s="263" t="s">
        <v>36</v>
      </c>
      <c r="G9" s="123" t="s">
        <v>41</v>
      </c>
    </row>
    <row r="10" spans="1:10" x14ac:dyDescent="0.3">
      <c r="A10" s="263" t="s">
        <v>1</v>
      </c>
      <c r="B10" s="263" t="s">
        <v>1</v>
      </c>
      <c r="C10" s="263" t="s">
        <v>1</v>
      </c>
      <c r="F10" s="123" t="s">
        <v>35</v>
      </c>
      <c r="G10" s="123" t="s">
        <v>42</v>
      </c>
    </row>
    <row r="11" spans="1:10" x14ac:dyDescent="0.3">
      <c r="A11" s="263" t="s">
        <v>13</v>
      </c>
      <c r="B11" s="263" t="s">
        <v>57</v>
      </c>
      <c r="C11" s="263" t="s">
        <v>13</v>
      </c>
      <c r="F11" s="123" t="s">
        <v>40</v>
      </c>
      <c r="G11" s="123" t="s">
        <v>43</v>
      </c>
    </row>
    <row r="12" spans="1:10" x14ac:dyDescent="0.3">
      <c r="A12" s="263" t="s">
        <v>9</v>
      </c>
      <c r="B12" s="263" t="s">
        <v>9</v>
      </c>
      <c r="C12" s="263" t="s">
        <v>8</v>
      </c>
      <c r="F12" s="263" t="s">
        <v>39</v>
      </c>
      <c r="G12" s="123" t="s">
        <v>44</v>
      </c>
    </row>
    <row r="13" spans="1:10" x14ac:dyDescent="0.3">
      <c r="A13" s="263" t="s">
        <v>10</v>
      </c>
      <c r="B13" s="263" t="s">
        <v>13</v>
      </c>
      <c r="C13" s="263"/>
    </row>
    <row r="14" spans="1:10" x14ac:dyDescent="0.3">
      <c r="A14" s="263" t="s">
        <v>12</v>
      </c>
      <c r="B14" s="263" t="s">
        <v>10</v>
      </c>
      <c r="C14" s="263"/>
    </row>
    <row r="15" spans="1:10" x14ac:dyDescent="0.3">
      <c r="A15" s="263" t="s">
        <v>46</v>
      </c>
      <c r="B15" s="263" t="s">
        <v>12</v>
      </c>
      <c r="C15" s="263"/>
    </row>
    <row r="16" spans="1:10" x14ac:dyDescent="0.3">
      <c r="A16" s="263" t="s">
        <v>8</v>
      </c>
      <c r="B16" s="263" t="s">
        <v>8</v>
      </c>
      <c r="C16" s="263"/>
    </row>
    <row r="17" spans="1:9" x14ac:dyDescent="0.3">
      <c r="C17" s="264" t="s">
        <v>74</v>
      </c>
      <c r="F17" s="263" t="s">
        <v>45</v>
      </c>
      <c r="I17" s="123" t="s">
        <v>131</v>
      </c>
    </row>
    <row r="18" spans="1:9" x14ac:dyDescent="0.3">
      <c r="F18" s="263" t="s">
        <v>2</v>
      </c>
    </row>
    <row r="19" spans="1:9" x14ac:dyDescent="0.3">
      <c r="C19" s="263" t="s">
        <v>2</v>
      </c>
      <c r="F19" s="263" t="s">
        <v>3</v>
      </c>
      <c r="I19" s="263" t="s">
        <v>2</v>
      </c>
    </row>
    <row r="20" spans="1:9" x14ac:dyDescent="0.3">
      <c r="C20" s="263" t="s">
        <v>3</v>
      </c>
      <c r="F20" s="263" t="s">
        <v>5</v>
      </c>
      <c r="I20" s="263" t="s">
        <v>3</v>
      </c>
    </row>
    <row r="21" spans="1:9" x14ac:dyDescent="0.3">
      <c r="A21" s="263" t="s">
        <v>22</v>
      </c>
      <c r="B21" s="263"/>
      <c r="C21" s="263" t="s">
        <v>5</v>
      </c>
      <c r="F21" s="263" t="s">
        <v>7</v>
      </c>
      <c r="I21" s="263" t="s">
        <v>5</v>
      </c>
    </row>
    <row r="22" spans="1:9" x14ac:dyDescent="0.3">
      <c r="A22" s="263" t="s">
        <v>23</v>
      </c>
      <c r="B22" s="263"/>
      <c r="C22" s="263" t="s">
        <v>46</v>
      </c>
      <c r="F22" s="263" t="s">
        <v>1</v>
      </c>
    </row>
    <row r="23" spans="1:9" x14ac:dyDescent="0.3">
      <c r="F23" s="263" t="s">
        <v>13</v>
      </c>
      <c r="I23" s="263" t="s">
        <v>7</v>
      </c>
    </row>
    <row r="24" spans="1:9" x14ac:dyDescent="0.3">
      <c r="C24" s="263" t="s">
        <v>7</v>
      </c>
      <c r="F24" s="263"/>
      <c r="I24" s="263" t="s">
        <v>1</v>
      </c>
    </row>
    <row r="25" spans="1:9" x14ac:dyDescent="0.3">
      <c r="C25" s="263" t="s">
        <v>1</v>
      </c>
      <c r="I25" s="263" t="s">
        <v>6</v>
      </c>
    </row>
    <row r="26" spans="1:9" x14ac:dyDescent="0.3">
      <c r="C26" s="263" t="s">
        <v>6</v>
      </c>
      <c r="I26" s="263" t="s">
        <v>13</v>
      </c>
    </row>
    <row r="27" spans="1:9" x14ac:dyDescent="0.3">
      <c r="C27" s="263" t="s">
        <v>13</v>
      </c>
      <c r="I27" s="263" t="s">
        <v>97</v>
      </c>
    </row>
    <row r="28" spans="1:9" x14ac:dyDescent="0.3">
      <c r="C28" s="263" t="s">
        <v>4</v>
      </c>
      <c r="I28" s="263" t="s">
        <v>12</v>
      </c>
    </row>
    <row r="29" spans="1:9" x14ac:dyDescent="0.3">
      <c r="C29" s="263"/>
    </row>
    <row r="30" spans="1:9" x14ac:dyDescent="0.3">
      <c r="I30" s="263" t="s">
        <v>11</v>
      </c>
    </row>
    <row r="31" spans="1:9" x14ac:dyDescent="0.3">
      <c r="I31" s="263" t="s">
        <v>57</v>
      </c>
    </row>
  </sheetData>
  <sheetProtection algorithmName="SHA-512" hashValue="uVQ4SZAzE0G4HKhABo7bnzo3PrMSuFy8btdq9OBCDT4xh/yIPMl9RwlrgJ+UwWYH8zBIn2actl4JnVAqZ5oeDQ==" saltValue="mf8sVsR6k0Vpp00GJuTeR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5</vt:i4>
      </vt:variant>
    </vt:vector>
  </HeadingPairs>
  <TitlesOfParts>
    <vt:vector size="13" baseType="lpstr">
      <vt:lpstr>INSTRUKCJA</vt:lpstr>
      <vt:lpstr>art. 15 albo 15a</vt:lpstr>
      <vt:lpstr>art. 15aa</vt:lpstr>
      <vt:lpstr>Podstawa wymiaru 10 lat</vt:lpstr>
      <vt:lpstr>art. 18e albo 18h</vt:lpstr>
      <vt:lpstr>PRZECIĘTNE</vt:lpstr>
      <vt:lpstr>PRZECIĘTNE Robocze</vt:lpstr>
      <vt:lpstr>Roboczy</vt:lpstr>
      <vt:lpstr>'art. 15 albo 15a'!Obszar_wydruku</vt:lpstr>
      <vt:lpstr>'art. 15aa'!Obszar_wydruku</vt:lpstr>
      <vt:lpstr>'art. 18e albo 18h'!Obszar_wydruku</vt:lpstr>
      <vt:lpstr>INSTRUKCJA!Obszar_wydruku</vt:lpstr>
      <vt:lpstr>'Podstawa wymiaru 10 lat'!Obszar_wydruku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2025-11-18T21:08:00Z</cp:lastPrinted>
  <dcterms:created xsi:type="dcterms:W3CDTF">2018-06-27T19:52:39Z</dcterms:created>
  <dcterms:modified xsi:type="dcterms:W3CDTF">2026-02-02T16:24:13Z</dcterms:modified>
</cp:coreProperties>
</file>