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95CBE6F9-1F8F-4517-8218-AC524E1ED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J27" i="4" s="1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K21" i="4"/>
  <c r="K68" i="4"/>
  <c r="D96" i="4"/>
  <c r="B61" i="4" s="1"/>
  <c r="K26" i="4"/>
  <c r="K74" i="4"/>
  <c r="K32" i="4"/>
  <c r="K11" i="4"/>
  <c r="K80" i="4"/>
  <c r="K33" i="4"/>
  <c r="K15" i="4"/>
  <c r="C14" i="4"/>
  <c r="C13" i="4" s="1"/>
  <c r="K49" i="4"/>
  <c r="J51" i="4"/>
  <c r="J56" i="4"/>
  <c r="J49" i="4"/>
  <c r="J57" i="4"/>
  <c r="K57" i="4"/>
  <c r="K20" i="4"/>
  <c r="I52" i="4"/>
  <c r="I58" i="4" s="1"/>
  <c r="K51" i="4"/>
  <c r="K67" i="4"/>
  <c r="K75" i="4"/>
  <c r="K22" i="4"/>
  <c r="K28" i="4"/>
  <c r="K54" i="4"/>
  <c r="K69" i="4"/>
  <c r="H52" i="4"/>
  <c r="H58" i="4" s="1"/>
  <c r="K76" i="4"/>
  <c r="K17" i="4"/>
  <c r="K23" i="4"/>
  <c r="K35" i="4"/>
  <c r="K56" i="4"/>
  <c r="K70" i="4"/>
  <c r="J79" i="4"/>
  <c r="J78" i="4"/>
  <c r="J76" i="4"/>
  <c r="J81" i="4"/>
  <c r="J80" i="4"/>
  <c r="J77" i="4"/>
  <c r="K50" i="4"/>
  <c r="K77" i="4"/>
  <c r="K9" i="4"/>
  <c r="K24" i="4"/>
  <c r="K30" i="4"/>
  <c r="K65" i="4"/>
  <c r="K71" i="4"/>
  <c r="K53" i="4"/>
  <c r="J75" i="4"/>
  <c r="J70" i="4"/>
  <c r="K78" i="4"/>
  <c r="K10" i="4"/>
  <c r="K19" i="4"/>
  <c r="K25" i="4"/>
  <c r="K31" i="4"/>
  <c r="K39" i="4"/>
  <c r="F52" i="4"/>
  <c r="F58" i="4"/>
  <c r="K66" i="4"/>
  <c r="K72" i="4"/>
  <c r="K81" i="4"/>
  <c r="K16" i="4"/>
  <c r="K34" i="4"/>
  <c r="J32" i="4"/>
  <c r="J39" i="4"/>
  <c r="J19" i="4"/>
  <c r="J23" i="4"/>
  <c r="J34" i="4"/>
  <c r="J15" i="4"/>
  <c r="J24" i="4"/>
  <c r="J29" i="4"/>
  <c r="J8" i="4"/>
  <c r="D38" i="4"/>
  <c r="D40" i="4"/>
  <c r="J33" i="4"/>
  <c r="J31" i="4"/>
  <c r="J40" i="4"/>
  <c r="J35" i="4"/>
  <c r="J9" i="4"/>
  <c r="J16" i="4"/>
  <c r="D59" i="4"/>
  <c r="J26" i="4"/>
  <c r="J30" i="4"/>
  <c r="J20" i="4"/>
  <c r="J25" i="4"/>
  <c r="J22" i="4"/>
  <c r="J36" i="4"/>
  <c r="J17" i="4"/>
  <c r="K8" i="4"/>
  <c r="K29" i="4"/>
  <c r="K18" i="4"/>
  <c r="K36" i="4"/>
  <c r="E52" i="4"/>
  <c r="E58" i="4"/>
  <c r="G52" i="4"/>
  <c r="G58" i="4" s="1"/>
  <c r="K55" i="4"/>
  <c r="K79" i="4"/>
  <c r="B42" i="4"/>
  <c r="J68" i="4"/>
  <c r="J72" i="4"/>
  <c r="C52" i="4"/>
  <c r="C58" i="4" s="1"/>
  <c r="J54" i="4"/>
  <c r="K6" i="4"/>
  <c r="J66" i="4"/>
  <c r="J50" i="4"/>
  <c r="J10" i="4"/>
  <c r="J18" i="4"/>
  <c r="J21" i="4"/>
  <c r="C38" i="4"/>
  <c r="C40" i="4" s="1"/>
  <c r="J28" i="4"/>
  <c r="C59" i="4"/>
  <c r="J67" i="4"/>
  <c r="J74" i="4"/>
  <c r="J73" i="4"/>
  <c r="J71" i="4"/>
  <c r="D52" i="4"/>
  <c r="J52" i="4" s="1"/>
  <c r="D58" i="4"/>
  <c r="J58" i="4"/>
  <c r="J69" i="4"/>
  <c r="J55" i="4"/>
  <c r="J65" i="4"/>
  <c r="J53" i="4"/>
  <c r="J6" i="4"/>
  <c r="J11" i="4"/>
  <c r="J38" i="4"/>
  <c r="K58" i="4" l="1"/>
  <c r="K40" i="4"/>
  <c r="B1" i="4"/>
  <c r="K52" i="4"/>
  <c r="D14" i="4"/>
  <c r="K14" i="4" s="1"/>
  <c r="K27" i="4"/>
  <c r="D13" i="4"/>
  <c r="J14" i="4"/>
  <c r="C7" i="4"/>
  <c r="C12" i="4" s="1"/>
  <c r="K13" i="4"/>
  <c r="K38" i="4"/>
  <c r="D7" i="4" l="1"/>
  <c r="J13" i="4"/>
  <c r="L8" i="4" l="1"/>
  <c r="J7" i="4"/>
  <c r="L9" i="4"/>
  <c r="L10" i="4"/>
  <c r="K7" i="4"/>
  <c r="D12" i="4"/>
  <c r="L7" i="4"/>
  <c r="L11" i="4"/>
  <c r="J12" i="4" l="1"/>
  <c r="K12" i="4"/>
  <c r="L12" i="4"/>
</calcChain>
</file>

<file path=xl/sharedStrings.xml><?xml version="1.0" encoding="utf-8"?>
<sst xmlns="http://schemas.openxmlformats.org/spreadsheetml/2006/main" count="372" uniqueCount="96">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</sst>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99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",$D$96," ",$C$97," rok    ",$C$99,"")</f>
        <v>Informacja z wykonania budżetów związków jednostek samorządu terytorialnego za III Kwartały 2024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19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19"/>
      <c r="C4" s="125" t="s">
        <v>40</v>
      </c>
      <c r="D4" s="127"/>
      <c r="E4" s="128" t="s">
        <v>79</v>
      </c>
      <c r="F4" s="129"/>
      <c r="G4" s="129"/>
      <c r="H4" s="129"/>
      <c r="I4" s="130"/>
      <c r="J4" s="125" t="s">
        <v>4</v>
      </c>
      <c r="K4" s="126"/>
      <c r="L4" s="127"/>
    </row>
    <row r="5" spans="2:12" x14ac:dyDescent="0.2">
      <c r="B5" s="41">
        <v>1</v>
      </c>
      <c r="C5" s="40">
        <v>2</v>
      </c>
      <c r="D5" s="40">
        <v>3</v>
      </c>
      <c r="E5" s="131"/>
      <c r="F5" s="132"/>
      <c r="G5" s="132"/>
      <c r="H5" s="132"/>
      <c r="I5" s="133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5019033575.93</f>
        <v>5019033575.9300003</v>
      </c>
      <c r="D6" s="51">
        <f>3478686717.64</f>
        <v>3478686717.6399999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69.309891336907782</v>
      </c>
      <c r="L6" s="52"/>
    </row>
    <row r="7" spans="2:12" ht="27" customHeight="1" x14ac:dyDescent="0.2">
      <c r="B7" s="94" t="s">
        <v>27</v>
      </c>
      <c r="C7" s="15">
        <f>C6-C13</f>
        <v>4300136214.4099998</v>
      </c>
      <c r="D7" s="15">
        <f>D6-D13</f>
        <v>3180011328.9299998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91.41413375353828</v>
      </c>
      <c r="K7" s="19">
        <f t="shared" si="1"/>
        <v>73.95140921986615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522744586</f>
        <v>522744586</v>
      </c>
      <c r="D8" s="54">
        <f>392058432</f>
        <v>392058432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11.270300082267227</v>
      </c>
      <c r="K8" s="20">
        <f t="shared" si="1"/>
        <v>74.999998565264917</v>
      </c>
      <c r="L8" s="20">
        <f t="shared" si="2"/>
        <v>12.328837587252199</v>
      </c>
    </row>
    <row r="9" spans="2:12" ht="22.5" outlineLevel="1" x14ac:dyDescent="0.2">
      <c r="B9" s="56" t="s">
        <v>68</v>
      </c>
      <c r="C9" s="53">
        <f>1456599865.53</f>
        <v>1456599865.53</v>
      </c>
      <c r="D9" s="54">
        <f>1076525413.37</f>
        <v>1076525413.3699999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30.946316835921717</v>
      </c>
      <c r="K9" s="20">
        <f t="shared" si="1"/>
        <v>73.906735737497414</v>
      </c>
      <c r="L9" s="20">
        <f t="shared" si="2"/>
        <v>33.852879817639696</v>
      </c>
    </row>
    <row r="10" spans="2:12" ht="33.75" outlineLevel="1" x14ac:dyDescent="0.2">
      <c r="B10" s="56" t="s">
        <v>85</v>
      </c>
      <c r="C10" s="53">
        <f>891143181.54</f>
        <v>891143181.53999996</v>
      </c>
      <c r="D10" s="54">
        <f>671889133.59</f>
        <v>671889133.59000003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19.314447897332389</v>
      </c>
      <c r="K10" s="20">
        <f t="shared" si="1"/>
        <v>75.396316496401482</v>
      </c>
      <c r="L10" s="20">
        <f t="shared" si="2"/>
        <v>21.128513835077285</v>
      </c>
    </row>
    <row r="11" spans="2:12" ht="12.75" customHeight="1" outlineLevel="1" x14ac:dyDescent="0.2">
      <c r="B11" s="56" t="s">
        <v>19</v>
      </c>
      <c r="C11" s="53">
        <f>83703970.8</f>
        <v>83703970.799999997</v>
      </c>
      <c r="D11" s="54">
        <f>64601005.81</f>
        <v>64601005.810000002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1.8570515557614347</v>
      </c>
      <c r="K11" s="20">
        <f t="shared" si="1"/>
        <v>77.177946509080073</v>
      </c>
      <c r="L11" s="20">
        <f t="shared" si="2"/>
        <v>2.0314709328955991</v>
      </c>
    </row>
    <row r="12" spans="2:12" ht="12.75" customHeight="1" outlineLevel="1" x14ac:dyDescent="0.2">
      <c r="B12" s="56" t="s">
        <v>20</v>
      </c>
      <c r="C12" s="53">
        <f>C7-SUM(C8:C11)</f>
        <v>1345944610.54</v>
      </c>
      <c r="D12" s="53">
        <f>D7-SUM(D8:D11)</f>
        <v>974937344.15999985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28.026017382255507</v>
      </c>
      <c r="K12" s="20">
        <f t="shared" si="1"/>
        <v>72.435175751314901</v>
      </c>
      <c r="L12" s="20">
        <f t="shared" si="2"/>
        <v>30.658297827135215</v>
      </c>
    </row>
    <row r="13" spans="2:12" ht="27" customHeight="1" x14ac:dyDescent="0.2">
      <c r="B13" s="95" t="s">
        <v>59</v>
      </c>
      <c r="C13" s="51">
        <f>C14+C33+C35</f>
        <v>718897361.52000022</v>
      </c>
      <c r="D13" s="51">
        <f>D14+D33+D35</f>
        <v>298675388.71000004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8.585866246461725</v>
      </c>
      <c r="K13" s="52">
        <f t="shared" si="1"/>
        <v>41.54631866759059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643799047.3900001</v>
      </c>
      <c r="D14" s="51">
        <f>D15+D17+D19+D21+D23+D25+D27+D29+D31</f>
        <v>257435321.23000002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7.4003594495755136</v>
      </c>
      <c r="K14" s="52">
        <f t="shared" si="1"/>
        <v>39.986906205229445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5000000</f>
        <v>5000000</v>
      </c>
      <c r="D17" s="53">
        <f>5000000</f>
        <v>5000000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0.14373240265200096</v>
      </c>
      <c r="K17" s="20">
        <f t="shared" si="1"/>
        <v>100</v>
      </c>
      <c r="L17" s="17"/>
    </row>
    <row r="18" spans="2:12" ht="12.75" customHeight="1" outlineLevel="1" x14ac:dyDescent="0.2">
      <c r="B18" s="98" t="s">
        <v>6</v>
      </c>
      <c r="C18" s="53">
        <f>5000000</f>
        <v>5000000</v>
      </c>
      <c r="D18" s="53">
        <f>5000000</f>
        <v>5000000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0.14373240265200096</v>
      </c>
      <c r="K18" s="20">
        <f t="shared" si="1"/>
        <v>100</v>
      </c>
      <c r="L18" s="17"/>
    </row>
    <row r="19" spans="2:12" ht="33.75" outlineLevel="1" x14ac:dyDescent="0.2">
      <c r="B19" s="96" t="s">
        <v>10</v>
      </c>
      <c r="C19" s="53">
        <f>13715</f>
        <v>13715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>
        <f t="shared" si="1"/>
        <v>0</v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32146230.76</f>
        <v>32146230.760000002</v>
      </c>
      <c r="D21" s="53">
        <f>24103778.84</f>
        <v>24103778.84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0.69289880913313207</v>
      </c>
      <c r="K21" s="20">
        <f t="shared" si="1"/>
        <v>74.98166432001311</v>
      </c>
      <c r="L21" s="17"/>
    </row>
    <row r="22" spans="2:12" ht="12.75" customHeight="1" outlineLevel="1" x14ac:dyDescent="0.2">
      <c r="B22" s="98" t="s">
        <v>6</v>
      </c>
      <c r="C22" s="53">
        <f>1008263.64</f>
        <v>1008263.64</v>
      </c>
      <c r="D22" s="53">
        <f>988263.64</f>
        <v>988263.64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2.8409101486162422E-2</v>
      </c>
      <c r="K22" s="20">
        <f t="shared" si="1"/>
        <v>98.016391823868602</v>
      </c>
      <c r="L22" s="17"/>
    </row>
    <row r="23" spans="2:12" ht="34.5" customHeight="1" outlineLevel="1" x14ac:dyDescent="0.2">
      <c r="B23" s="99" t="s">
        <v>41</v>
      </c>
      <c r="C23" s="53">
        <f>11255735.69</f>
        <v>11255735.689999999</v>
      </c>
      <c r="D23" s="53">
        <f>7125095.74</f>
        <v>7125095.7400000002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0.20482142596714734</v>
      </c>
      <c r="K23" s="20">
        <f t="shared" si="1"/>
        <v>63.301910565741089</v>
      </c>
      <c r="L23" s="17"/>
    </row>
    <row r="24" spans="2:12" ht="12.75" customHeight="1" outlineLevel="1" x14ac:dyDescent="0.2">
      <c r="B24" s="98" t="s">
        <v>6</v>
      </c>
      <c r="C24" s="53">
        <f>10471962.69</f>
        <v>10471962.689999999</v>
      </c>
      <c r="D24" s="53">
        <f>6587822.26</f>
        <v>6587822.2599999998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0.18937670433482698</v>
      </c>
      <c r="K24" s="20">
        <f t="shared" si="1"/>
        <v>62.909145639822754</v>
      </c>
      <c r="L24" s="17"/>
    </row>
    <row r="25" spans="2:12" ht="12.75" customHeight="1" outlineLevel="1" x14ac:dyDescent="0.2">
      <c r="B25" s="96" t="s">
        <v>8</v>
      </c>
      <c r="C25" s="53">
        <f>2320787</f>
        <v>2320787</v>
      </c>
      <c r="D25" s="53">
        <f>647130</f>
        <v>647130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1.8602709945637876E-2</v>
      </c>
      <c r="K25" s="20">
        <f t="shared" si="1"/>
        <v>27.884075531274519</v>
      </c>
      <c r="L25" s="17"/>
    </row>
    <row r="26" spans="2:12" ht="12.75" customHeight="1" outlineLevel="1" x14ac:dyDescent="0.2">
      <c r="B26" s="98" t="s">
        <v>6</v>
      </c>
      <c r="C26" s="53">
        <f>2261297</f>
        <v>2261297</v>
      </c>
      <c r="D26" s="53">
        <f>587640</f>
        <v>587640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1.6892581818884367E-2</v>
      </c>
      <c r="K26" s="20">
        <f t="shared" si="1"/>
        <v>25.986856215702758</v>
      </c>
      <c r="L26" s="17"/>
    </row>
    <row r="27" spans="2:12" ht="67.5" outlineLevel="1" x14ac:dyDescent="0.2">
      <c r="B27" s="100" t="s">
        <v>70</v>
      </c>
      <c r="C27" s="53">
        <f>619000</f>
        <v>619000</v>
      </c>
      <c r="D27" s="53">
        <f>215792</f>
        <v>215792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6.2032605266161183E-3</v>
      </c>
      <c r="K27" s="20">
        <f t="shared" si="1"/>
        <v>34.861389337641356</v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592443578.94</f>
        <v>592443578.94000006</v>
      </c>
      <c r="D29" s="53">
        <f>220343524.65</f>
        <v>220343524.65000001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6.3341008413509794</v>
      </c>
      <c r="K29" s="66">
        <f t="shared" si="1"/>
        <v>37.192322186061766</v>
      </c>
      <c r="L29" s="17"/>
    </row>
    <row r="30" spans="2:12" ht="12.75" customHeight="1" outlineLevel="1" x14ac:dyDescent="0.2">
      <c r="B30" s="98" t="s">
        <v>6</v>
      </c>
      <c r="C30" s="53">
        <f>592443578.94</f>
        <v>592443578.94000006</v>
      </c>
      <c r="D30" s="53">
        <f>220343524.65</f>
        <v>220343524.65000001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6.3341008413509794</v>
      </c>
      <c r="K30" s="20">
        <f t="shared" si="1"/>
        <v>37.192322186061766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341915.82</f>
        <v>341915.82</v>
      </c>
      <c r="D33" s="53">
        <f>173924.54</f>
        <v>173924.54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4.9997184028688088E-3</v>
      </c>
      <c r="K33" s="19">
        <f t="shared" si="1"/>
        <v>50.867649236002009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88652.33</f>
        <v>88652.33</v>
      </c>
      <c r="D34" s="53">
        <f>0</f>
        <v>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</v>
      </c>
      <c r="K34" s="20">
        <f t="shared" si="1"/>
        <v>0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74756398.31</f>
        <v>74756398.310000002</v>
      </c>
      <c r="D35" s="53">
        <f>41066142.94</f>
        <v>41066142.939999998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1.1805070784833411</v>
      </c>
      <c r="K35" s="57">
        <f t="shared" si="1"/>
        <v>54.933281790418562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58606040.38</f>
        <v>58606040.380000003</v>
      </c>
      <c r="D36" s="53">
        <f>35916274.11</f>
        <v>35916274.109999999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1.0324664744276315</v>
      </c>
      <c r="K36" s="20">
        <f t="shared" si="1"/>
        <v>61.284253085722625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5019033575.9300003</v>
      </c>
      <c r="D38" s="51">
        <f>+D6</f>
        <v>3478686717.6399999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69.309891336907782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882640438.49</f>
        <v>882640438.49000001</v>
      </c>
      <c r="D39" s="14">
        <f>393452879.64</f>
        <v>393452879.63999999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11.31038554420115</v>
      </c>
      <c r="K39" s="20">
        <f t="shared" si="1"/>
        <v>44.576801886973328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4136393137.4400005</v>
      </c>
      <c r="D40" s="14">
        <f>D38-D39</f>
        <v>3085233838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88.689614455798861</v>
      </c>
      <c r="K40" s="20">
        <f t="shared" si="1"/>
        <v>74.587538840890758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",$D$96," ",$C$97," rok        ",$C$99,"")</f>
        <v>Informacja z wykonania budżetów związków jednostek samorządu terytorialnego za III Kwartały 2024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19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50" t="s">
        <v>53</v>
      </c>
      <c r="J44" s="135" t="s">
        <v>2</v>
      </c>
      <c r="K44" s="149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19"/>
      <c r="C45" s="135"/>
      <c r="D45" s="135"/>
      <c r="E45" s="121"/>
      <c r="F45" s="120" t="s">
        <v>54</v>
      </c>
      <c r="G45" s="137" t="s">
        <v>23</v>
      </c>
      <c r="H45" s="121"/>
      <c r="I45" s="151"/>
      <c r="J45" s="135"/>
      <c r="K45" s="149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19"/>
      <c r="C46" s="135"/>
      <c r="D46" s="135"/>
      <c r="E46" s="121"/>
      <c r="F46" s="121"/>
      <c r="G46" s="38" t="s">
        <v>55</v>
      </c>
      <c r="H46" s="38" t="s">
        <v>56</v>
      </c>
      <c r="I46" s="152"/>
      <c r="J46" s="135"/>
      <c r="K46" s="149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19"/>
      <c r="C47" s="125" t="s">
        <v>40</v>
      </c>
      <c r="D47" s="126"/>
      <c r="E47" s="126"/>
      <c r="F47" s="126"/>
      <c r="G47" s="126"/>
      <c r="H47" s="126"/>
      <c r="I47" s="127"/>
      <c r="J47" s="134" t="s">
        <v>4</v>
      </c>
      <c r="K47" s="134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5518315200.18</f>
        <v>5518315200.1800003</v>
      </c>
      <c r="D49" s="68">
        <f>3380852440.83</f>
        <v>3380852440.8299999</v>
      </c>
      <c r="E49" s="68">
        <f>4208242353.72</f>
        <v>4208242353.7199998</v>
      </c>
      <c r="F49" s="58">
        <f>268606872.85</f>
        <v>268606872.85000002</v>
      </c>
      <c r="G49" s="58">
        <f>25561.26</f>
        <v>25561.26</v>
      </c>
      <c r="H49" s="58">
        <f>0</f>
        <v>0</v>
      </c>
      <c r="I49" s="77">
        <f>0</f>
        <v>0</v>
      </c>
      <c r="J49" s="34">
        <f>IF($D$49=0,"",100*$D49/$D$49)</f>
        <v>100</v>
      </c>
      <c r="K49" s="34">
        <f>IF(C49=0,"",100*D49/C49)</f>
        <v>61.266026281349802</v>
      </c>
      <c r="L49" s="22"/>
      <c r="M49" s="74"/>
    </row>
    <row r="50" spans="2:16" x14ac:dyDescent="0.2">
      <c r="B50" s="94" t="s">
        <v>14</v>
      </c>
      <c r="C50" s="16">
        <f>1341757125.02</f>
        <v>1341757125.02</v>
      </c>
      <c r="D50" s="16">
        <f>499604300.38</f>
        <v>499604300.38</v>
      </c>
      <c r="E50" s="16">
        <f>811405415.43</f>
        <v>811405415.42999995</v>
      </c>
      <c r="F50" s="16">
        <f>30328401.86</f>
        <v>30328401.859999999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14.777465421038816</v>
      </c>
      <c r="K50" s="34">
        <f t="shared" ref="K50:K58" si="4">IF(C50=0,"",100*D50/C50)</f>
        <v>37.23507712862363</v>
      </c>
      <c r="L50" s="22"/>
      <c r="M50" s="76"/>
    </row>
    <row r="51" spans="2:16" ht="12.75" customHeight="1" outlineLevel="1" x14ac:dyDescent="0.2">
      <c r="B51" s="56" t="s">
        <v>13</v>
      </c>
      <c r="C51" s="53">
        <f>1319343085.96</f>
        <v>1319343085.96</v>
      </c>
      <c r="D51" s="53">
        <f>497480300.38</f>
        <v>497480300.38</v>
      </c>
      <c r="E51" s="53">
        <f>809219535.43</f>
        <v>809219535.42999995</v>
      </c>
      <c r="F51" s="53">
        <f>30328401.86</f>
        <v>30328401.859999999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14.714641028753935</v>
      </c>
      <c r="K51" s="34">
        <f t="shared" si="4"/>
        <v>37.706666724828139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4176558075.1600003</v>
      </c>
      <c r="D52" s="67">
        <f>D49-D50</f>
        <v>2881248140.4499998</v>
      </c>
      <c r="E52" s="67">
        <f>E49-E50</f>
        <v>3396836938.29</v>
      </c>
      <c r="F52" s="59">
        <f t="shared" si="5"/>
        <v>238278470.99000001</v>
      </c>
      <c r="G52" s="59">
        <f t="shared" si="5"/>
        <v>25561.26</v>
      </c>
      <c r="H52" s="59">
        <f t="shared" si="5"/>
        <v>0</v>
      </c>
      <c r="I52" s="78">
        <f t="shared" si="5"/>
        <v>0</v>
      </c>
      <c r="J52" s="34">
        <f t="shared" si="3"/>
        <v>85.222534578961188</v>
      </c>
      <c r="K52" s="34">
        <f t="shared" si="4"/>
        <v>68.986186438689032</v>
      </c>
      <c r="L52" s="22"/>
      <c r="M52" s="76"/>
    </row>
    <row r="53" spans="2:16" ht="22.5" outlineLevel="1" x14ac:dyDescent="0.2">
      <c r="B53" s="56" t="s">
        <v>72</v>
      </c>
      <c r="C53" s="53">
        <f>323693596.8</f>
        <v>323693596.80000001</v>
      </c>
      <c r="D53" s="53">
        <f>211734914.07</f>
        <v>211734914.06999999</v>
      </c>
      <c r="E53" s="53">
        <f>276004689.96</f>
        <v>276004689.95999998</v>
      </c>
      <c r="F53" s="53">
        <f>9369385.67</f>
        <v>9369385.6699999999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6.2627670913084579</v>
      </c>
      <c r="K53" s="34">
        <f t="shared" si="4"/>
        <v>65.412141655932814</v>
      </c>
      <c r="L53" s="22"/>
      <c r="M53" s="75"/>
    </row>
    <row r="54" spans="2:16" ht="12.75" customHeight="1" outlineLevel="1" x14ac:dyDescent="0.2">
      <c r="B54" s="56" t="s">
        <v>26</v>
      </c>
      <c r="C54" s="61">
        <f>146323803.44</f>
        <v>146323803.44</v>
      </c>
      <c r="D54" s="61">
        <f>124348794.84</f>
        <v>124348794.84</v>
      </c>
      <c r="E54" s="61">
        <f>140148594.59</f>
        <v>140148594.59</v>
      </c>
      <c r="F54" s="61">
        <f>787343.55</f>
        <v>787343.55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3.6780308225895935</v>
      </c>
      <c r="K54" s="34">
        <f t="shared" si="4"/>
        <v>84.981931795525782</v>
      </c>
      <c r="L54" s="22"/>
      <c r="M54" s="75"/>
    </row>
    <row r="55" spans="2:16" ht="12.75" customHeight="1" outlineLevel="1" x14ac:dyDescent="0.2">
      <c r="B55" s="56" t="s">
        <v>25</v>
      </c>
      <c r="C55" s="53">
        <f>23932064.94</f>
        <v>23932064.940000001</v>
      </c>
      <c r="D55" s="53">
        <f>13625430.54</f>
        <v>13625430.539999999</v>
      </c>
      <c r="E55" s="53">
        <f>17421978.45</f>
        <v>17421978.449999999</v>
      </c>
      <c r="F55" s="53">
        <f>2636658.18</f>
        <v>2636658.1800000002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0.40301760512963869</v>
      </c>
      <c r="K55" s="34">
        <f t="shared" si="4"/>
        <v>56.933785589167798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2842916.9</f>
        <v>2842916.9</v>
      </c>
      <c r="D57" s="61">
        <f>1101742.35</f>
        <v>1101742.3500000001</v>
      </c>
      <c r="E57" s="61">
        <f>1526301.64</f>
        <v>1526301.64</v>
      </c>
      <c r="F57" s="61">
        <f>36035.84</f>
        <v>36035.839999999997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3.258770884805378E-2</v>
      </c>
      <c r="K57" s="34">
        <f t="shared" si="4"/>
        <v>38.75394141840728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3679765693.0799999</v>
      </c>
      <c r="D58" s="53">
        <f>D52-D53-D54-D55-D56-D57</f>
        <v>2530437258.6499996</v>
      </c>
      <c r="E58" s="71">
        <f>E52-E53-E54-E55-E56-E57</f>
        <v>2961735373.6500001</v>
      </c>
      <c r="F58" s="71">
        <f t="shared" si="6"/>
        <v>225449047.75</v>
      </c>
      <c r="G58" s="71">
        <f t="shared" si="6"/>
        <v>25561.26</v>
      </c>
      <c r="H58" s="71">
        <f t="shared" si="6"/>
        <v>0</v>
      </c>
      <c r="I58" s="82">
        <f t="shared" si="6"/>
        <v>0</v>
      </c>
      <c r="J58" s="34">
        <f t="shared" si="3"/>
        <v>74.846131351085432</v>
      </c>
      <c r="K58" s="34">
        <f t="shared" si="4"/>
        <v>68.76626040099849</v>
      </c>
      <c r="L58" s="22"/>
      <c r="M58" s="75"/>
    </row>
    <row r="59" spans="2:16" x14ac:dyDescent="0.2">
      <c r="B59" s="93" t="s">
        <v>15</v>
      </c>
      <c r="C59" s="59">
        <f>C6-C49</f>
        <v>-499281624.25</v>
      </c>
      <c r="D59" s="67">
        <f>D6-D49</f>
        <v>97834276.809999943</v>
      </c>
      <c r="E59" s="72"/>
      <c r="F59" s="73"/>
      <c r="G59" s="73"/>
      <c r="H59" s="73"/>
      <c r="I59" s="136"/>
      <c r="J59" s="136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tr">
        <f>CONCATENATE("Informacja z wykonania budżetów związków jednostek samorządu terytorialnego za ",$D$96," ",$C$97," rok        ",$C$99,"")</f>
        <v>Informacja z wykonania budżetów związków jednostek samorządu terytorialnego za III Kwartały 2024 rok        =""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40" t="s">
        <v>79</v>
      </c>
      <c r="F62" s="141"/>
      <c r="G62" s="141"/>
      <c r="H62" s="141"/>
      <c r="I62" s="142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20" t="s">
        <v>40</v>
      </c>
      <c r="D63" s="122"/>
      <c r="E63" s="143"/>
      <c r="F63" s="144"/>
      <c r="G63" s="144"/>
      <c r="H63" s="144"/>
      <c r="I63" s="145"/>
      <c r="J63" s="153" t="s">
        <v>4</v>
      </c>
      <c r="K63" s="154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46"/>
      <c r="F64" s="147"/>
      <c r="G64" s="147"/>
      <c r="H64" s="147"/>
      <c r="I64" s="148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557579864.95</f>
        <v>557579864.95000005</v>
      </c>
      <c r="D65" s="27">
        <f>1100722519.88</f>
        <v>1100722519.8800001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197.41073684192406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40868812.12</f>
        <v>40868812.119999997</v>
      </c>
      <c r="D66" s="28">
        <f>26276667.36</f>
        <v>26276667.359999999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2.3872199292210956</v>
      </c>
      <c r="K66" s="33">
        <f t="shared" si="7"/>
        <v>64.295158084961741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20000000</f>
        <v>20000000</v>
      </c>
      <c r="D67" s="64">
        <f>20000000</f>
        <v>20000000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1.8169883543565897</v>
      </c>
      <c r="K67" s="60">
        <f t="shared" si="7"/>
        <v>100</v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750000</f>
        <v>750000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>
        <f t="shared" si="7"/>
        <v>0</v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432422320.02</f>
        <v>432422320.01999998</v>
      </c>
      <c r="D69" s="64">
        <f>930796995.72</f>
        <v>930796995.72000003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84.562365074667028</v>
      </c>
      <c r="K69" s="60">
        <f t="shared" si="7"/>
        <v>215.25183891454762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34315119.96</f>
        <v>34315119.960000001</v>
      </c>
      <c r="D70" s="64">
        <f>73744959.51</f>
        <v>73744959.510000005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6.6996866311084124</v>
      </c>
      <c r="K70" s="60">
        <f t="shared" si="7"/>
        <v>214.90514850585419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43125612.85</f>
        <v>43125612.850000001</v>
      </c>
      <c r="D72" s="64">
        <f>62272626.54</f>
        <v>62272626.539999999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5.6574318609188543</v>
      </c>
      <c r="K72" s="60">
        <f t="shared" si="7"/>
        <v>144.39824138058597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1985234.97</f>
        <v>1985234.97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0.18035744105757268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6098000</f>
        <v>6098000</v>
      </c>
      <c r="D74" s="64">
        <f>5646035.78</f>
        <v>5646035.7800000003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0.51293906302703118</v>
      </c>
      <c r="K74" s="60">
        <f>IF(C74=0,"",100*D74/C74)</f>
        <v>92.588320432928825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5948000</f>
        <v>5948000</v>
      </c>
      <c r="D75" s="64">
        <f>5500000</f>
        <v>5500000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0.49967179744806217</v>
      </c>
      <c r="K75" s="60">
        <f t="shared" si="7"/>
        <v>92.468056489576327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58298231.99</f>
        <v>58298231.990000002</v>
      </c>
      <c r="D76" s="31">
        <f>44258231.31</f>
        <v>44258231.310000002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75.916935727299062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41477728.2</f>
        <v>41477728.200000003</v>
      </c>
      <c r="D77" s="30">
        <f>26117475.29</f>
        <v>26117475.289999999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59.011565796798664</v>
      </c>
      <c r="K77" s="33">
        <f t="shared" si="7"/>
        <v>62.967468141131214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750000</f>
        <v>750000</v>
      </c>
      <c r="D79" s="64">
        <f>0</f>
        <v>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</v>
      </c>
      <c r="K79" s="60">
        <f t="shared" si="7"/>
        <v>0</v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16070503.79</f>
        <v>16070503.789999999</v>
      </c>
      <c r="D80" s="64">
        <f>18140756.02</f>
        <v>18140756.02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40.988434203201329</v>
      </c>
      <c r="K80" s="60">
        <f>IF(C80=0,"",100*D80/C80)</f>
        <v>112.88231070446113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1773221.55</f>
        <v>1773221.55</v>
      </c>
      <c r="D81" s="64">
        <f>273221.55</f>
        <v>273221.55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0.61733499489905397</v>
      </c>
      <c r="K81" s="60">
        <f>IF(C81=0,"",100*D81/C81)</f>
        <v>15.408201530147206</v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23" t="s">
        <v>40</v>
      </c>
      <c r="D84" s="124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514281177.71</f>
        <v>514281177.70999998</v>
      </c>
      <c r="D86" s="85">
        <f>0</f>
        <v>0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14070000</f>
        <v>14070000</v>
      </c>
      <c r="D87" s="84">
        <f>0</f>
        <v>0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18655692.92</f>
        <v>18655692.920000002</v>
      </c>
      <c r="D88" s="84">
        <f>0</f>
        <v>0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430201284.12</f>
        <v>430201284.12</v>
      </c>
      <c r="D90" s="84">
        <f>0</f>
        <v>0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21806728.41</f>
        <v>21806728.41</v>
      </c>
      <c r="D91" s="84">
        <f>0</f>
        <v>0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23599472.26</f>
        <v>23599472.260000002</v>
      </c>
      <c r="D92" s="84">
        <f>0</f>
        <v>0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5948000</f>
        <v>5948000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3</f>
        <v>3</v>
      </c>
      <c r="D96" s="114" t="str">
        <f>IF(C96=1,"I Kwartał",IF(C96=2,"II Kwartały",IF(C96=3,"III Kwartały",IF(C96=4,"IV Kwartały",IF(C96="M1","Styczeń",IF(C96="M11","Listopad",IF(C96="M12","Grudzień","-")))))))</f>
        <v>III Kwartały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2024</f>
        <v>2024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38" t="str">
        <f>"Nov 14 2024 12:00AM"</f>
        <v>Nov 14 2024 12:00AM</v>
      </c>
      <c r="D98" s="139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C98:D98"/>
    <mergeCell ref="E62:I64"/>
    <mergeCell ref="K44:K46"/>
    <mergeCell ref="B44:B47"/>
    <mergeCell ref="I44:I46"/>
    <mergeCell ref="J44:J46"/>
    <mergeCell ref="D44:D46"/>
    <mergeCell ref="J63:K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63:D63"/>
    <mergeCell ref="C84:D84"/>
    <mergeCell ref="C47:I47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2024-12-09T09:25:25Z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2024-12-09T10:25:15.0228401+01:00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GRN-d9f917fb-2c4a-4be8-8408-743c1173e28c</vt:lpwstr>
  </property>
  <property fmtid="{D5CDD505-2E9C-101B-9397-08002B2CF9AE}" pid="7" name="MFHash">
    <vt:lpwstr>2UR4Ms/7gpeoCWjHEFJhLpxbwDeVh6ZYwsLmYpefRJY=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