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'doch_wyd'!$B$1:$L$100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<sst xmlns="http://schemas.openxmlformats.org/spreadsheetml/2006/main" count="119" uniqueCount="96">
  <si>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</si>
  <si>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</si>
  <si>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</si>
  <si>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</si>
  <si>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</si>
  <si>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</si>
  <si>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</si>
  <si>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</si>
  <si>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</si>
  <si>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</si>
  <si>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</si>
  <si>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</si>
  <si>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</si>
  <si>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</si>
  <si>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</si>
  <si>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</si>
  <si>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</si>
  <si>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</si>
  <si>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</si>
  <si>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</si>
  <si>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</si>
  <si>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</si>
  <si>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</si>
  <si>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</si>
  <si>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</si>
  <si>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</si>
  <si>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</si>
  <si>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</si>
  <si>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</si>
  <si>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</si>
  <si>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</si>
  <si>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t>uzupełnienie subwencji ogólnej</t>
  </si>
  <si>
    <t>część równoważąca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</si>
  <si>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</si>
  <si>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</si>
  <si>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</si>
  <si>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</si>
  <si>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</si>
  <si>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</si>
  <si>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</si>
  <si>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</si>
  <si>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</si>
  <si>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</si>
  <si>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</si>
  <si>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</si>
  <si>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</si>
  <si>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</si>
  <si>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</si>
  <si>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</si>
  <si>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</si>
  <si>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</si>
  <si>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</si>
  <si>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      z tego:</t>
  </si>
  <si>
    <t>świadczenia na rzecz osób fizycznych</t>
  </si>
  <si>
    <t>w tym: inwestycyjne § 620</t>
  </si>
  <si>
    <t>majątkowe</t>
  </si>
  <si>
    <t>bieżące</t>
  </si>
  <si>
    <t>UE</t>
  </si>
  <si>
    <t>wydatki majątkowe</t>
  </si>
  <si>
    <t>wydatki bieżące</t>
  </si>
  <si>
    <t>w złotych</t>
  </si>
  <si>
    <t>z tytułu pomocy finansowej udzielanej między jst na dofinansowanie własnych zadań</t>
  </si>
  <si>
    <t>wolne środki, o których mowa w art. 217 ust. 2 pkt 6 ustawy o finansach publicznych  w tym: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</si>
  <si>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</si>
  <si>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</si>
  <si>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</si>
  <si>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</si>
  <si>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</si>
  <si>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</si>
  <si>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</si>
  <si>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</si>
  <si>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</si>
  <si>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</si>
  <si>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</si>
  <si>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</si>
  <si>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</si>
  <si>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</si>
  <si>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t>w tym: inwestycyjne § 625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</si>
  <si>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</si>
  <si>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Dotacje §§ 200 i 620</t>
  </si>
  <si>
    <t>Dotacje §§ 205 i 625</t>
  </si>
  <si>
    <t>Dochody bieżące                minus                                       wydatki bieżące</t>
  </si>
  <si>
    <t>Wydatki ogółem UE  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</si>
  <si>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</si>
  <si>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</si>
  <si>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</si>
  <si>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</si>
  <si>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</si>
  <si>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wykup papierów wartościowych</t>
  </si>
  <si>
    <t xml:space="preserve"> udzielone pożyczki</t>
  </si>
  <si>
    <t>spłaty kredytów i  pożyczek, wykup papierów wartościowych w tym: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</si>
  <si>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</si>
  <si>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</si>
  <si>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</si>
  <si>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>wydatki na wynagrodzenia i pochodne od wynagrodzeń</t>
  </si>
  <si>
    <t xml:space="preserve">Informacja z wykonania budżetów powiatów za I Kwartał 2020 rok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</si>
</sst>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vertAlign val="subscript"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5" fillId="42" borderId="3" applyNumberFormat="0" applyAlignment="0" applyProtection="0"/>
    <xf numFmtId="0" fontId="46" fillId="43" borderId="4" applyNumberFormat="0" applyAlignment="0" applyProtection="0"/>
    <xf numFmtId="0" fontId="47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8" fillId="0" borderId="8" applyNumberFormat="0" applyFill="0" applyAlignment="0" applyProtection="0"/>
    <xf numFmtId="0" fontId="49" fillId="46" borderId="9" applyNumberFormat="0" applyAlignment="0" applyProtection="0"/>
    <xf numFmtId="0" fontId="26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53" fillId="47" borderId="0" applyNumberFormat="0" applyBorder="0" applyAlignment="0" applyProtection="0"/>
    <xf numFmtId="0" fontId="43" fillId="0" borderId="0">
      <alignment/>
      <protection/>
    </xf>
    <xf numFmtId="0" fontId="0" fillId="4" borderId="14" applyNumberFormat="0" applyFont="0" applyAlignment="0" applyProtection="0"/>
    <xf numFmtId="0" fontId="54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9" fillId="49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3" fillId="40" borderId="19" xfId="0" applyFont="1" applyFill="1" applyBorder="1" applyAlignment="1">
      <alignment horizontal="left" vertical="center" wrapText="1"/>
    </xf>
    <xf numFmtId="4" fontId="33" fillId="40" borderId="19" xfId="0" applyNumberFormat="1" applyFont="1" applyFill="1" applyBorder="1" applyAlignment="1">
      <alignment horizontal="right" vertical="center"/>
    </xf>
    <xf numFmtId="164" fontId="33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/>
    </xf>
    <xf numFmtId="164" fontId="34" fillId="0" borderId="19" xfId="0" applyNumberFormat="1" applyFont="1" applyFill="1" applyBorder="1" applyAlignment="1">
      <alignment horizontal="right" vertical="center"/>
    </xf>
    <xf numFmtId="164" fontId="34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4" fontId="33" fillId="40" borderId="19" xfId="0" applyNumberFormat="1" applyFont="1" applyFill="1" applyBorder="1" applyAlignment="1">
      <alignment horizontal="right" vertical="center" wrapText="1"/>
    </xf>
    <xf numFmtId="164" fontId="36" fillId="40" borderId="19" xfId="0" applyNumberFormat="1" applyFont="1" applyFill="1" applyBorder="1" applyAlignment="1">
      <alignment horizontal="right" vertical="center"/>
    </xf>
    <xf numFmtId="164" fontId="35" fillId="0" borderId="19" xfId="0" applyNumberFormat="1" applyFont="1" applyBorder="1" applyAlignment="1">
      <alignment horizontal="right"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3" fontId="33" fillId="0" borderId="0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/>
    </xf>
    <xf numFmtId="4" fontId="36" fillId="40" borderId="20" xfId="0" applyNumberFormat="1" applyFont="1" applyFill="1" applyBorder="1" applyAlignment="1">
      <alignment horizontal="right" vertical="center"/>
    </xf>
    <xf numFmtId="4" fontId="36" fillId="40" borderId="21" xfId="0" applyNumberFormat="1" applyFont="1" applyFill="1" applyBorder="1" applyAlignment="1">
      <alignment horizontal="right" vertical="center"/>
    </xf>
    <xf numFmtId="164" fontId="36" fillId="40" borderId="19" xfId="71" applyNumberFormat="1" applyFont="1" applyFill="1" applyBorder="1" applyAlignment="1">
      <alignment horizontal="right" vertical="center"/>
    </xf>
    <xf numFmtId="4" fontId="35" fillId="0" borderId="20" xfId="0" applyNumberFormat="1" applyFont="1" applyBorder="1" applyAlignment="1">
      <alignment horizontal="right" vertical="center"/>
    </xf>
    <xf numFmtId="4" fontId="35" fillId="0" borderId="21" xfId="0" applyNumberFormat="1" applyFont="1" applyBorder="1" applyAlignment="1">
      <alignment horizontal="right" vertical="center"/>
    </xf>
    <xf numFmtId="164" fontId="36" fillId="50" borderId="19" xfId="71" applyNumberFormat="1" applyFont="1" applyFill="1" applyBorder="1" applyAlignment="1">
      <alignment horizontal="right" vertical="center"/>
    </xf>
    <xf numFmtId="164" fontId="36" fillId="50" borderId="19" xfId="0" applyNumberFormat="1" applyFont="1" applyFill="1" applyBorder="1" applyAlignment="1">
      <alignment horizontal="right" vertical="center"/>
    </xf>
    <xf numFmtId="4" fontId="35" fillId="51" borderId="20" xfId="0" applyNumberFormat="1" applyFont="1" applyFill="1" applyBorder="1" applyAlignment="1">
      <alignment horizontal="right" vertical="center"/>
    </xf>
    <xf numFmtId="4" fontId="35" fillId="51" borderId="21" xfId="0" applyNumberFormat="1" applyFont="1" applyFill="1" applyBorder="1" applyAlignment="1">
      <alignment horizontal="right" vertical="center"/>
    </xf>
    <xf numFmtId="164" fontId="36" fillId="51" borderId="19" xfId="0" applyNumberFormat="1" applyFont="1" applyFill="1" applyBorder="1" applyAlignment="1">
      <alignment horizontal="right" vertical="center"/>
    </xf>
    <xf numFmtId="4" fontId="35" fillId="50" borderId="20" xfId="0" applyNumberFormat="1" applyFont="1" applyFill="1" applyBorder="1" applyAlignment="1">
      <alignment horizontal="right" vertical="center"/>
    </xf>
    <xf numFmtId="4" fontId="35" fillId="50" borderId="21" xfId="0" applyNumberFormat="1" applyFont="1" applyFill="1" applyBorder="1" applyAlignment="1">
      <alignment horizontal="right" vertical="center"/>
    </xf>
    <xf numFmtId="4" fontId="36" fillId="51" borderId="20" xfId="0" applyNumberFormat="1" applyFont="1" applyFill="1" applyBorder="1" applyAlignment="1">
      <alignment horizontal="right" vertical="center"/>
    </xf>
    <xf numFmtId="4" fontId="36" fillId="51" borderId="21" xfId="0" applyNumberFormat="1" applyFont="1" applyFill="1" applyBorder="1" applyAlignment="1">
      <alignment horizontal="right" vertical="center"/>
    </xf>
    <xf numFmtId="0" fontId="12" fillId="2" borderId="19" xfId="0" applyFont="1" applyFill="1" applyBorder="1" applyAlignment="1">
      <alignment horizontal="center" vertical="center" wrapText="1"/>
    </xf>
    <xf numFmtId="0" fontId="13" fillId="4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 indent="1"/>
    </xf>
    <xf numFmtId="0" fontId="5" fillId="0" borderId="19" xfId="0" applyFont="1" applyBorder="1" applyAlignment="1">
      <alignment horizontal="left" vertical="top" wrapText="1" indent="2"/>
    </xf>
    <xf numFmtId="0" fontId="60" fillId="0" borderId="19" xfId="89" applyFont="1" applyBorder="1" applyAlignment="1">
      <alignment horizontal="left" vertical="top" wrapText="1"/>
      <protection/>
    </xf>
    <xf numFmtId="0" fontId="60" fillId="51" borderId="19" xfId="89" applyFont="1" applyFill="1" applyBorder="1" applyAlignment="1">
      <alignment horizontal="left" vertical="top" wrapText="1"/>
      <protection/>
    </xf>
    <xf numFmtId="0" fontId="12" fillId="40" borderId="19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52" borderId="19" xfId="0" applyFont="1" applyFill="1" applyBorder="1" applyAlignment="1">
      <alignment horizontal="left" vertical="top" wrapText="1"/>
    </xf>
    <xf numFmtId="0" fontId="13" fillId="51" borderId="19" xfId="0" applyFont="1" applyFill="1" applyBorder="1" applyAlignment="1">
      <alignment horizontal="left" vertical="top" wrapText="1"/>
    </xf>
    <xf numFmtId="4" fontId="33" fillId="51" borderId="19" xfId="0" applyNumberFormat="1" applyFont="1" applyFill="1" applyBorder="1" applyAlignment="1">
      <alignment horizontal="right" vertical="center"/>
    </xf>
    <xf numFmtId="164" fontId="33" fillId="51" borderId="19" xfId="0" applyNumberFormat="1" applyFont="1" applyFill="1" applyBorder="1" applyAlignment="1">
      <alignment horizontal="right" vertical="center"/>
    </xf>
    <xf numFmtId="4" fontId="35" fillId="0" borderId="19" xfId="0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top" wrapText="1" indent="2"/>
    </xf>
    <xf numFmtId="4" fontId="34" fillId="51" borderId="19" xfId="0" applyNumberFormat="1" applyFont="1" applyFill="1" applyBorder="1" applyAlignment="1">
      <alignment horizontal="right" vertical="center"/>
    </xf>
    <xf numFmtId="164" fontId="34" fillId="51" borderId="19" xfId="0" applyNumberFormat="1" applyFont="1" applyFill="1" applyBorder="1" applyAlignment="1">
      <alignment horizontal="right" vertical="center"/>
    </xf>
    <xf numFmtId="0" fontId="13" fillId="51" borderId="19" xfId="0" applyFont="1" applyFill="1" applyBorder="1" applyAlignment="1">
      <alignment horizontal="left" vertical="top" wrapText="1" indent="1"/>
    </xf>
    <xf numFmtId="0" fontId="13" fillId="51" borderId="19" xfId="0" applyFont="1" applyFill="1" applyBorder="1" applyAlignment="1">
      <alignment horizontal="left" vertical="center" wrapText="1"/>
    </xf>
    <xf numFmtId="4" fontId="36" fillId="51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 wrapText="1"/>
    </xf>
    <xf numFmtId="164" fontId="35" fillId="0" borderId="19" xfId="0" applyNumberFormat="1" applyFont="1" applyFill="1" applyBorder="1" applyAlignment="1">
      <alignment horizontal="right" vertical="center"/>
    </xf>
    <xf numFmtId="4" fontId="34" fillId="51" borderId="19" xfId="0" applyNumberFormat="1" applyFont="1" applyFill="1" applyBorder="1" applyAlignment="1">
      <alignment horizontal="right" vertical="center" wrapText="1"/>
    </xf>
    <xf numFmtId="164" fontId="35" fillId="51" borderId="19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/>
    </xf>
    <xf numFmtId="0" fontId="13" fillId="51" borderId="23" xfId="0" applyFont="1" applyFill="1" applyBorder="1" applyAlignment="1">
      <alignment horizontal="left" vertical="top" wrapText="1"/>
    </xf>
    <xf numFmtId="4" fontId="33" fillId="51" borderId="19" xfId="0" applyNumberFormat="1" applyFont="1" applyFill="1" applyBorder="1" applyAlignment="1">
      <alignment horizontal="right" vertical="center" wrapText="1"/>
    </xf>
    <xf numFmtId="0" fontId="12" fillId="51" borderId="24" xfId="0" applyFont="1" applyFill="1" applyBorder="1" applyAlignment="1">
      <alignment horizontal="center" vertical="top" wrapText="1"/>
    </xf>
    <xf numFmtId="4" fontId="33" fillId="40" borderId="24" xfId="0" applyNumberFormat="1" applyFont="1" applyFill="1" applyBorder="1" applyAlignment="1">
      <alignment horizontal="right" vertical="center" wrapText="1"/>
    </xf>
    <xf numFmtId="0" fontId="33" fillId="0" borderId="24" xfId="0" applyFont="1" applyBorder="1" applyAlignment="1">
      <alignment horizontal="left" vertical="center"/>
    </xf>
    <xf numFmtId="4" fontId="35" fillId="51" borderId="25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top" wrapText="1" indent="1"/>
    </xf>
    <xf numFmtId="4" fontId="35" fillId="0" borderId="20" xfId="0" applyNumberFormat="1" applyFont="1" applyFill="1" applyBorder="1" applyAlignment="1">
      <alignment horizontal="right" vertical="center"/>
    </xf>
    <xf numFmtId="4" fontId="35" fillId="0" borderId="21" xfId="0" applyNumberFormat="1" applyFont="1" applyFill="1" applyBorder="1" applyAlignment="1">
      <alignment horizontal="right" vertical="center"/>
    </xf>
    <xf numFmtId="164" fontId="36" fillId="0" borderId="19" xfId="71" applyNumberFormat="1" applyFont="1" applyFill="1" applyBorder="1" applyAlignment="1">
      <alignment horizontal="right" vertical="center"/>
    </xf>
    <xf numFmtId="164" fontId="36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top" wrapText="1"/>
    </xf>
    <xf numFmtId="0" fontId="7" fillId="0" borderId="19" xfId="89" applyFont="1" applyFill="1" applyBorder="1" applyAlignment="1">
      <alignment horizontal="left" vertical="top" wrapText="1"/>
      <protection/>
    </xf>
    <xf numFmtId="0" fontId="60" fillId="0" borderId="19" xfId="89" applyFont="1" applyFill="1" applyBorder="1" applyAlignment="1">
      <alignment horizontal="left" vertical="top" wrapText="1"/>
      <protection/>
    </xf>
    <xf numFmtId="4" fontId="38" fillId="51" borderId="20" xfId="0" applyNumberFormat="1" applyFont="1" applyFill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4" fontId="34" fillId="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 wrapText="1"/>
    </xf>
    <xf numFmtId="4" fontId="34" fillId="0" borderId="20" xfId="0" applyNumberFormat="1" applyFont="1" applyBorder="1" applyAlignment="1">
      <alignment horizontal="right" vertical="center" wrapText="1"/>
    </xf>
    <xf numFmtId="0" fontId="37" fillId="0" borderId="21" xfId="0" applyFont="1" applyBorder="1" applyAlignment="1">
      <alignment horizontal="right" vertical="center" wrapText="1"/>
    </xf>
    <xf numFmtId="4" fontId="33" fillId="51" borderId="19" xfId="0" applyNumberFormat="1" applyFont="1" applyFill="1" applyBorder="1" applyAlignment="1">
      <alignment horizontal="right" vertical="center" wrapText="1"/>
    </xf>
    <xf numFmtId="4" fontId="34" fillId="0" borderId="20" xfId="0" applyNumberFormat="1" applyFont="1" applyFill="1" applyBorder="1" applyAlignment="1">
      <alignment horizontal="right" vertical="center" wrapText="1"/>
    </xf>
    <xf numFmtId="0" fontId="37" fillId="0" borderId="21" xfId="0" applyFont="1" applyFill="1" applyBorder="1" applyAlignment="1">
      <alignment horizontal="righ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4" fontId="34" fillId="0" borderId="19" xfId="0" applyNumberFormat="1" applyFont="1" applyBorder="1" applyAlignment="1">
      <alignment horizontal="right" vertical="center"/>
    </xf>
    <xf numFmtId="4" fontId="34" fillId="29" borderId="19" xfId="0" applyNumberFormat="1" applyFont="1" applyFill="1" applyBorder="1" applyAlignment="1">
      <alignment horizontal="right" vertical="center"/>
    </xf>
    <xf numFmtId="4" fontId="36" fillId="51" borderId="19" xfId="0" applyNumberFormat="1" applyFont="1" applyFill="1" applyBorder="1" applyAlignment="1">
      <alignment horizontal="right" vertical="center"/>
    </xf>
    <xf numFmtId="4" fontId="33" fillId="29" borderId="19" xfId="0" applyNumberFormat="1" applyFont="1" applyFill="1" applyBorder="1" applyAlignment="1">
      <alignment horizontal="right" vertical="center" wrapText="1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2" fillId="0" borderId="0" xfId="0" applyFont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99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1" hidden="1" customWidth="1"/>
    <col min="2" max="2" width="24.25390625" style="1" customWidth="1"/>
    <col min="3" max="5" width="14.625" style="1" customWidth="1"/>
    <col min="6" max="6" width="13.875" style="1" customWidth="1"/>
    <col min="7" max="10" width="13.00390625" style="1" customWidth="1"/>
    <col min="11" max="11" width="7.375" style="1" customWidth="1"/>
    <col min="12" max="12" width="6.625" style="1" customWidth="1"/>
    <col min="13" max="13" width="8.125" style="1" hidden="1" customWidth="1"/>
    <col min="14" max="16384" width="9.125" style="1" customWidth="1"/>
  </cols>
  <sheetData>
    <row r="1" spans="2:13" ht="21" customHeight="1">
      <c r="B1" s="126" t="s">
        <v>95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2:8" ht="57.75" customHeight="1">
      <c r="B2" s="128" t="s">
        <v>0</v>
      </c>
      <c r="C2" s="14" t="s">
        <v>28</v>
      </c>
      <c r="D2" s="14" t="s">
        <v>29</v>
      </c>
      <c r="E2" s="14" t="s">
        <v>30</v>
      </c>
      <c r="F2" s="16" t="s">
        <v>2</v>
      </c>
      <c r="G2" s="14" t="s">
        <v>18</v>
      </c>
      <c r="H2" s="14" t="s">
        <v>3</v>
      </c>
    </row>
    <row r="3" spans="2:8" ht="12.75">
      <c r="B3" s="128"/>
      <c r="C3" s="129" t="s">
        <v>60</v>
      </c>
      <c r="D3" s="129"/>
      <c r="E3" s="129"/>
      <c r="F3" s="129" t="s">
        <v>4</v>
      </c>
      <c r="G3" s="129"/>
      <c r="H3" s="129"/>
    </row>
    <row r="4" spans="2:8" ht="9" customHeight="1">
      <c r="B4" s="16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</row>
    <row r="5" spans="2:8" ht="12.75">
      <c r="B5" s="69" t="s">
        <v>5</v>
      </c>
      <c r="C5" s="70">
        <f>31247271602.51</f>
        <v>31247271602.51</v>
      </c>
      <c r="D5" s="70">
        <f>8812954065.4</f>
        <v>8812954065.4</v>
      </c>
      <c r="E5" s="70">
        <f>7848176131.56</f>
        <v>7848176131.56</v>
      </c>
      <c r="F5" s="71">
        <f aca="true" t="shared" si="0" ref="F5:F33">IF($D$5=0,"",100*$D5/$D$5)</f>
        <v>100</v>
      </c>
      <c r="G5" s="71">
        <f aca="true" t="shared" si="1" ref="G5:G36">IF(C5=0,"",100*D5/C5)</f>
        <v>28.20391545702852</v>
      </c>
      <c r="H5" s="71"/>
    </row>
    <row r="6" spans="2:8" ht="25.5" customHeight="1">
      <c r="B6" s="61" t="s">
        <v>44</v>
      </c>
      <c r="C6" s="30">
        <f>C5-C11-C29</f>
        <v>11635611891.55</v>
      </c>
      <c r="D6" s="30">
        <f>D5-D11-D29</f>
        <v>2677717048.039999</v>
      </c>
      <c r="E6" s="30">
        <f>E5-E11-E29</f>
        <v>2516319849.1800003</v>
      </c>
      <c r="F6" s="31">
        <f t="shared" si="0"/>
        <v>30.383876146056636</v>
      </c>
      <c r="G6" s="31">
        <f t="shared" si="1"/>
        <v>23.013117599639152</v>
      </c>
      <c r="H6" s="31">
        <f>IF($D$6=0,"",100*$D6/$D$6)</f>
        <v>100</v>
      </c>
    </row>
    <row r="7" spans="2:8" ht="22.5" customHeight="1">
      <c r="B7" s="62" t="s">
        <v>19</v>
      </c>
      <c r="C7" s="32">
        <f>6312351386.08</f>
        <v>6312351386.08</v>
      </c>
      <c r="D7" s="32">
        <f>1334072487</f>
        <v>1334072487</v>
      </c>
      <c r="E7" s="32">
        <f>1205447784.05</f>
        <v>1205447784.05</v>
      </c>
      <c r="F7" s="33">
        <f t="shared" si="0"/>
        <v>15.137631231253327</v>
      </c>
      <c r="G7" s="33">
        <f t="shared" si="1"/>
        <v>21.13431913726947</v>
      </c>
      <c r="H7" s="33">
        <f>IF($D$6=0,"",100*$D7/$D$6)</f>
        <v>49.82126427347868</v>
      </c>
    </row>
    <row r="8" spans="2:8" ht="22.5" customHeight="1">
      <c r="B8" s="62" t="s">
        <v>26</v>
      </c>
      <c r="C8" s="32">
        <f>190801564.63</f>
        <v>190801564.63</v>
      </c>
      <c r="D8" s="32">
        <f>50973406.5</f>
        <v>50973406.5</v>
      </c>
      <c r="E8" s="32">
        <f>54320242.22</f>
        <v>54320242.22</v>
      </c>
      <c r="F8" s="33">
        <f t="shared" si="0"/>
        <v>0.5783918323156089</v>
      </c>
      <c r="G8" s="33">
        <f t="shared" si="1"/>
        <v>26.715402779241874</v>
      </c>
      <c r="H8" s="33">
        <f>IF($D$6=0,"",100*$D8/$D$6)</f>
        <v>1.9036143694611372</v>
      </c>
    </row>
    <row r="9" spans="2:8" ht="13.5" customHeight="1">
      <c r="B9" s="62" t="s">
        <v>20</v>
      </c>
      <c r="C9" s="32">
        <f>365403322.55</f>
        <v>365403322.55</v>
      </c>
      <c r="D9" s="72">
        <f>63948780.1</f>
        <v>63948780.1</v>
      </c>
      <c r="E9" s="32">
        <f>63681982.13</f>
        <v>63681982.13</v>
      </c>
      <c r="F9" s="33">
        <f t="shared" si="0"/>
        <v>0.7256225282174725</v>
      </c>
      <c r="G9" s="33">
        <f t="shared" si="1"/>
        <v>17.500875376208317</v>
      </c>
      <c r="H9" s="33">
        <f>IF($D$6=0,"",100*$D9/$D$6)</f>
        <v>2.388182879397523</v>
      </c>
    </row>
    <row r="10" spans="2:8" ht="13.5" customHeight="1">
      <c r="B10" s="62" t="s">
        <v>21</v>
      </c>
      <c r="C10" s="32">
        <f>C6-C8-C7-C9</f>
        <v>4767055618.29</v>
      </c>
      <c r="D10" s="32">
        <f>D6-D8-D7-D9</f>
        <v>1228722374.439999</v>
      </c>
      <c r="E10" s="32">
        <f>E6-E8-E7-E9</f>
        <v>1192869840.7800004</v>
      </c>
      <c r="F10" s="33">
        <f t="shared" si="0"/>
        <v>13.94223055427023</v>
      </c>
      <c r="G10" s="33">
        <f t="shared" si="1"/>
        <v>25.775289252462226</v>
      </c>
      <c r="H10" s="33">
        <f>IF($D$6=0,"",100*$D10/$D$6)</f>
        <v>45.88693847766266</v>
      </c>
    </row>
    <row r="11" spans="2:8" ht="26.25" customHeight="1">
      <c r="B11" s="69" t="s">
        <v>52</v>
      </c>
      <c r="C11" s="70">
        <f>C12+C25+C27</f>
        <v>6476061230.959999</v>
      </c>
      <c r="D11" s="70">
        <f>D12+D25+D27</f>
        <v>1541306779.3600001</v>
      </c>
      <c r="E11" s="70">
        <f>E12+E25+E27</f>
        <v>1450577119.5100002</v>
      </c>
      <c r="F11" s="71">
        <f t="shared" si="0"/>
        <v>17.489104878138765</v>
      </c>
      <c r="G11" s="71">
        <f t="shared" si="1"/>
        <v>23.800064952930033</v>
      </c>
      <c r="H11" s="73"/>
    </row>
    <row r="12" spans="2:8" ht="25.5" customHeight="1">
      <c r="B12" s="69" t="s">
        <v>45</v>
      </c>
      <c r="C12" s="70">
        <f>C13+C15+C17+C19+C21+C23</f>
        <v>4731124475.999999</v>
      </c>
      <c r="D12" s="70">
        <f>D13+D15+D17+D19+D21+D23</f>
        <v>1254171866.55</v>
      </c>
      <c r="E12" s="70">
        <f>E13+E15+E17+E19+E21+E23</f>
        <v>1179995207.3000002</v>
      </c>
      <c r="F12" s="71">
        <f t="shared" si="0"/>
        <v>14.231004238112707</v>
      </c>
      <c r="G12" s="71">
        <f t="shared" si="1"/>
        <v>26.50895940092362</v>
      </c>
      <c r="H12" s="36"/>
    </row>
    <row r="13" spans="2:8" ht="22.5" customHeight="1">
      <c r="B13" s="62" t="s">
        <v>9</v>
      </c>
      <c r="C13" s="32">
        <f>2846500753.92</f>
        <v>2846500753.92</v>
      </c>
      <c r="D13" s="32">
        <f>934831950.25</f>
        <v>934831950.25</v>
      </c>
      <c r="E13" s="32">
        <f>863441172.44</f>
        <v>863441172.44</v>
      </c>
      <c r="F13" s="33">
        <f t="shared" si="0"/>
        <v>10.607475578707332</v>
      </c>
      <c r="G13" s="33">
        <f t="shared" si="1"/>
        <v>32.84144397160673</v>
      </c>
      <c r="H13" s="36"/>
    </row>
    <row r="14" spans="2:8" ht="12.75">
      <c r="B14" s="74" t="s">
        <v>6</v>
      </c>
      <c r="C14" s="32">
        <f>52439102.75</f>
        <v>52439102.75</v>
      </c>
      <c r="D14" s="32">
        <f>24022173.34</f>
        <v>24022173.34</v>
      </c>
      <c r="E14" s="32">
        <f>24022173.34</f>
        <v>24022173.34</v>
      </c>
      <c r="F14" s="33">
        <f t="shared" si="0"/>
        <v>0.27257799327823556</v>
      </c>
      <c r="G14" s="33">
        <f t="shared" si="1"/>
        <v>45.809657450708386</v>
      </c>
      <c r="H14" s="36"/>
    </row>
    <row r="15" spans="2:8" ht="13.5" customHeight="1">
      <c r="B15" s="62" t="s">
        <v>7</v>
      </c>
      <c r="C15" s="32">
        <f>809080345.41</f>
        <v>809080345.41</v>
      </c>
      <c r="D15" s="32">
        <f>177111635.6</f>
        <v>177111635.6</v>
      </c>
      <c r="E15" s="32">
        <f>175089166.37</f>
        <v>175089166.37</v>
      </c>
      <c r="F15" s="33">
        <f t="shared" si="0"/>
        <v>2.009673876496726</v>
      </c>
      <c r="G15" s="33">
        <f t="shared" si="1"/>
        <v>21.89048796016037</v>
      </c>
      <c r="H15" s="36"/>
    </row>
    <row r="16" spans="2:8" ht="12.75">
      <c r="B16" s="74" t="s">
        <v>6</v>
      </c>
      <c r="C16" s="32">
        <f>128457522.65</f>
        <v>128457522.65</v>
      </c>
      <c r="D16" s="32">
        <f>3021086.76</f>
        <v>3021086.76</v>
      </c>
      <c r="E16" s="32">
        <f>1024008.87</f>
        <v>1024008.87</v>
      </c>
      <c r="F16" s="33">
        <f t="shared" si="0"/>
        <v>0.034280069288695196</v>
      </c>
      <c r="G16" s="33">
        <f t="shared" si="1"/>
        <v>2.3518177041537394</v>
      </c>
      <c r="H16" s="36"/>
    </row>
    <row r="17" spans="2:8" ht="33" customHeight="1">
      <c r="B17" s="62" t="s">
        <v>10</v>
      </c>
      <c r="C17" s="32">
        <f>57034764.91</f>
        <v>57034764.91</v>
      </c>
      <c r="D17" s="32">
        <f>24583727.45</f>
        <v>24583727.45</v>
      </c>
      <c r="E17" s="32">
        <f>24519662.23</f>
        <v>24519662.23</v>
      </c>
      <c r="F17" s="33">
        <f t="shared" si="0"/>
        <v>0.2789499101841081</v>
      </c>
      <c r="G17" s="33">
        <f t="shared" si="1"/>
        <v>43.10305738752979</v>
      </c>
      <c r="H17" s="36"/>
    </row>
    <row r="18" spans="2:8" ht="12.75">
      <c r="B18" s="74" t="s">
        <v>6</v>
      </c>
      <c r="C18" s="32">
        <f>11327651</f>
        <v>11327651</v>
      </c>
      <c r="D18" s="32">
        <f>0</f>
        <v>0</v>
      </c>
      <c r="E18" s="32">
        <f>0</f>
        <v>0</v>
      </c>
      <c r="F18" s="33">
        <f t="shared" si="0"/>
        <v>0</v>
      </c>
      <c r="G18" s="33">
        <f t="shared" si="1"/>
        <v>0</v>
      </c>
      <c r="H18" s="36"/>
    </row>
    <row r="19" spans="2:8" ht="25.5" customHeight="1">
      <c r="B19" s="62" t="s">
        <v>11</v>
      </c>
      <c r="C19" s="32">
        <f>375005961.13</f>
        <v>375005961.13</v>
      </c>
      <c r="D19" s="32">
        <f>79762507.98</f>
        <v>79762507.98</v>
      </c>
      <c r="E19" s="32">
        <f>79525358.76</f>
        <v>79525358.76</v>
      </c>
      <c r="F19" s="33">
        <f t="shared" si="0"/>
        <v>0.9050598401862856</v>
      </c>
      <c r="G19" s="33">
        <f t="shared" si="1"/>
        <v>21.269664018047287</v>
      </c>
      <c r="H19" s="36"/>
    </row>
    <row r="20" spans="2:8" ht="12.75">
      <c r="B20" s="74" t="s">
        <v>6</v>
      </c>
      <c r="C20" s="32">
        <f>70140065.45</f>
        <v>70140065.45</v>
      </c>
      <c r="D20" s="32">
        <f>6629124.08</f>
        <v>6629124.08</v>
      </c>
      <c r="E20" s="32">
        <f>6629124.08</f>
        <v>6629124.08</v>
      </c>
      <c r="F20" s="33">
        <f t="shared" si="0"/>
        <v>0.07522022730183286</v>
      </c>
      <c r="G20" s="33">
        <f t="shared" si="1"/>
        <v>9.451265888432387</v>
      </c>
      <c r="H20" s="36"/>
    </row>
    <row r="21" spans="2:8" ht="33.75">
      <c r="B21" s="62" t="s">
        <v>61</v>
      </c>
      <c r="C21" s="32">
        <f>586831544.44</f>
        <v>586831544.44</v>
      </c>
      <c r="D21" s="32">
        <f>33582222.36</f>
        <v>33582222.36</v>
      </c>
      <c r="E21" s="32">
        <f>33591831.44</f>
        <v>33591831.44</v>
      </c>
      <c r="F21" s="33">
        <f t="shared" si="0"/>
        <v>0.3810552297310287</v>
      </c>
      <c r="G21" s="33">
        <f t="shared" si="1"/>
        <v>5.72263414913163</v>
      </c>
      <c r="H21" s="36"/>
    </row>
    <row r="22" spans="2:8" ht="12.75">
      <c r="B22" s="74" t="s">
        <v>6</v>
      </c>
      <c r="C22" s="32">
        <f>495084803.93</f>
        <v>495084803.93</v>
      </c>
      <c r="D22" s="32">
        <f>19259745.98</f>
        <v>19259745.98</v>
      </c>
      <c r="E22" s="32">
        <f>19259745.98</f>
        <v>19259745.98</v>
      </c>
      <c r="F22" s="33">
        <f t="shared" si="0"/>
        <v>0.2185390487352534</v>
      </c>
      <c r="G22" s="33">
        <f t="shared" si="1"/>
        <v>3.89019130199826</v>
      </c>
      <c r="H22" s="36"/>
    </row>
    <row r="23" spans="2:8" ht="15" customHeight="1">
      <c r="B23" s="62" t="s">
        <v>8</v>
      </c>
      <c r="C23" s="32">
        <f>56671106.19</f>
        <v>56671106.19</v>
      </c>
      <c r="D23" s="32">
        <f>4299822.91</f>
        <v>4299822.91</v>
      </c>
      <c r="E23" s="32">
        <f>3828016.06</f>
        <v>3828016.06</v>
      </c>
      <c r="F23" s="33">
        <f t="shared" si="0"/>
        <v>0.04878980280722524</v>
      </c>
      <c r="G23" s="33">
        <f t="shared" si="1"/>
        <v>7.5873283566833445</v>
      </c>
      <c r="H23" s="36"/>
    </row>
    <row r="24" spans="2:8" ht="12.75">
      <c r="B24" s="74" t="s">
        <v>6</v>
      </c>
      <c r="C24" s="32">
        <f>47249743</f>
        <v>47249743</v>
      </c>
      <c r="D24" s="32">
        <f>1943298.97</f>
        <v>1943298.97</v>
      </c>
      <c r="E24" s="32">
        <f>1689807.47</f>
        <v>1689807.47</v>
      </c>
      <c r="F24" s="33">
        <f t="shared" si="0"/>
        <v>0.022050483363228537</v>
      </c>
      <c r="G24" s="33">
        <f t="shared" si="1"/>
        <v>4.1128244231931586</v>
      </c>
      <c r="H24" s="36"/>
    </row>
    <row r="25" spans="2:8" ht="13.5" customHeight="1">
      <c r="B25" s="69" t="s">
        <v>79</v>
      </c>
      <c r="C25" s="30">
        <f>137740021.47</f>
        <v>137740021.47</v>
      </c>
      <c r="D25" s="30">
        <f>31935132.64</f>
        <v>31935132.64</v>
      </c>
      <c r="E25" s="30">
        <f>28906645.78</f>
        <v>28906645.78</v>
      </c>
      <c r="F25" s="34">
        <f t="shared" si="0"/>
        <v>0.36236581290464875</v>
      </c>
      <c r="G25" s="34">
        <f t="shared" si="1"/>
        <v>23.185078889330306</v>
      </c>
      <c r="H25" s="20"/>
    </row>
    <row r="26" spans="2:8" ht="13.5" customHeight="1">
      <c r="B26" s="63" t="s">
        <v>54</v>
      </c>
      <c r="C26" s="35">
        <f>82433599.68</f>
        <v>82433599.68</v>
      </c>
      <c r="D26" s="35">
        <f>10205721.75</f>
        <v>10205721.75</v>
      </c>
      <c r="E26" s="35">
        <f>11630683.5</f>
        <v>11630683.5</v>
      </c>
      <c r="F26" s="33">
        <f t="shared" si="0"/>
        <v>0.1158036417104233</v>
      </c>
      <c r="G26" s="33">
        <f t="shared" si="1"/>
        <v>12.380536322103747</v>
      </c>
      <c r="H26" s="20"/>
    </row>
    <row r="27" spans="2:8" ht="13.5" customHeight="1">
      <c r="B27" s="69" t="s">
        <v>80</v>
      </c>
      <c r="C27" s="75">
        <f>1607196733.49</f>
        <v>1607196733.49</v>
      </c>
      <c r="D27" s="75">
        <f>255199780.17</f>
        <v>255199780.17</v>
      </c>
      <c r="E27" s="75">
        <f>241675266.43</f>
        <v>241675266.43</v>
      </c>
      <c r="F27" s="76">
        <f t="shared" si="0"/>
        <v>2.8957348271214105</v>
      </c>
      <c r="G27" s="76">
        <f t="shared" si="1"/>
        <v>15.878565134701219</v>
      </c>
      <c r="H27" s="20"/>
    </row>
    <row r="28" spans="2:8" ht="10.5" customHeight="1">
      <c r="B28" s="63" t="s">
        <v>77</v>
      </c>
      <c r="C28" s="35">
        <f>1123388457.63</f>
        <v>1123388457.63</v>
      </c>
      <c r="D28" s="35">
        <f>117323902.92</f>
        <v>117323902.92</v>
      </c>
      <c r="E28" s="35">
        <f>118593589.22</f>
        <v>118593589.22</v>
      </c>
      <c r="F28" s="33">
        <f t="shared" si="0"/>
        <v>1.3312664748885756</v>
      </c>
      <c r="G28" s="33">
        <f t="shared" si="1"/>
        <v>10.44375185833019</v>
      </c>
      <c r="H28" s="20"/>
    </row>
    <row r="29" spans="2:8" s="5" customFormat="1" ht="23.25" customHeight="1">
      <c r="B29" s="61" t="s">
        <v>46</v>
      </c>
      <c r="C29" s="30">
        <f>C30+C31+C32+C33</f>
        <v>13135598480</v>
      </c>
      <c r="D29" s="30">
        <f>D30+D31+D32+D33</f>
        <v>4593930238</v>
      </c>
      <c r="E29" s="30">
        <f>E30+E31+E32+E33</f>
        <v>3881279162.87</v>
      </c>
      <c r="F29" s="31">
        <f t="shared" si="0"/>
        <v>52.12701897580459</v>
      </c>
      <c r="G29" s="31">
        <f t="shared" si="1"/>
        <v>34.973132324306555</v>
      </c>
      <c r="H29" s="21"/>
    </row>
    <row r="30" spans="2:8" ht="11.25" customHeight="1">
      <c r="B30" s="62" t="s">
        <v>33</v>
      </c>
      <c r="C30" s="32">
        <f>9781543531</f>
        <v>9781543531</v>
      </c>
      <c r="D30" s="32">
        <f>3762390640</f>
        <v>3762390640</v>
      </c>
      <c r="E30" s="32">
        <f>3050144583.36</f>
        <v>3050144583.36</v>
      </c>
      <c r="F30" s="33">
        <f t="shared" si="0"/>
        <v>42.691594805552114</v>
      </c>
      <c r="G30" s="33">
        <f t="shared" si="1"/>
        <v>38.46418132349055</v>
      </c>
      <c r="H30" s="20"/>
    </row>
    <row r="31" spans="2:8" ht="10.5" customHeight="1">
      <c r="B31" s="62" t="s">
        <v>32</v>
      </c>
      <c r="C31" s="32">
        <f>719078374</f>
        <v>719078374</v>
      </c>
      <c r="D31" s="32">
        <f>179769630</f>
        <v>179769630</v>
      </c>
      <c r="E31" s="32">
        <f>179769630</f>
        <v>179769630</v>
      </c>
      <c r="F31" s="33">
        <f t="shared" si="0"/>
        <v>2.039833961075351</v>
      </c>
      <c r="G31" s="33">
        <f t="shared" si="1"/>
        <v>25.000005075941832</v>
      </c>
      <c r="H31" s="20"/>
    </row>
    <row r="32" spans="2:8" ht="11.25" customHeight="1">
      <c r="B32" s="62" t="s">
        <v>34</v>
      </c>
      <c r="C32" s="32">
        <f>2606760522</f>
        <v>2606760522</v>
      </c>
      <c r="D32" s="32">
        <f>651769968</f>
        <v>651769968</v>
      </c>
      <c r="E32" s="32">
        <f>651364949.51</f>
        <v>651364949.51</v>
      </c>
      <c r="F32" s="33">
        <f t="shared" si="0"/>
        <v>7.3955902091771275</v>
      </c>
      <c r="G32" s="33">
        <f t="shared" si="1"/>
        <v>25.003062709417538</v>
      </c>
      <c r="H32" s="20"/>
    </row>
    <row r="33" spans="2:8" s="5" customFormat="1" ht="12" customHeight="1">
      <c r="B33" s="62" t="s">
        <v>31</v>
      </c>
      <c r="C33" s="32">
        <f>28216053</f>
        <v>28216053</v>
      </c>
      <c r="D33" s="32">
        <f>0</f>
        <v>0</v>
      </c>
      <c r="E33" s="32">
        <f>0</f>
        <v>0</v>
      </c>
      <c r="F33" s="33">
        <f t="shared" si="0"/>
        <v>0</v>
      </c>
      <c r="G33" s="33">
        <f t="shared" si="1"/>
        <v>0</v>
      </c>
      <c r="H33" s="21"/>
    </row>
    <row r="34" spans="2:7" s="5" customFormat="1" ht="12.75">
      <c r="B34" s="77" t="s">
        <v>5</v>
      </c>
      <c r="C34" s="75">
        <f>+C5</f>
        <v>31247271602.51</v>
      </c>
      <c r="D34" s="75">
        <f>+D5</f>
        <v>8812954065.4</v>
      </c>
      <c r="E34" s="75">
        <f>+E5</f>
        <v>7848176131.56</v>
      </c>
      <c r="F34" s="76">
        <f>IF($D$5=0,"",100*$D34/$D$34)</f>
        <v>100</v>
      </c>
      <c r="G34" s="76">
        <f t="shared" si="1"/>
        <v>28.20391545702852</v>
      </c>
    </row>
    <row r="35" spans="2:7" s="5" customFormat="1" ht="13.5" customHeight="1">
      <c r="B35" s="62" t="s">
        <v>55</v>
      </c>
      <c r="C35" s="32">
        <f>3090679785.14</f>
        <v>3090679785.14</v>
      </c>
      <c r="D35" s="32">
        <f>312466323.97</f>
        <v>312466323.97</v>
      </c>
      <c r="E35" s="32">
        <f>297246944.87</f>
        <v>297246944.87</v>
      </c>
      <c r="F35" s="33">
        <f>IF($D$5=0,"",100*$D35/$D$34)</f>
        <v>3.545534467231084</v>
      </c>
      <c r="G35" s="33">
        <f t="shared" si="1"/>
        <v>10.10995462785693</v>
      </c>
    </row>
    <row r="36" spans="1:13" s="5" customFormat="1" ht="14.25" customHeight="1">
      <c r="A36" s="2"/>
      <c r="B36" s="62" t="s">
        <v>56</v>
      </c>
      <c r="C36" s="32">
        <f>C34-C35</f>
        <v>28156591817.37</v>
      </c>
      <c r="D36" s="32">
        <f>D34-D35</f>
        <v>8500487741.429999</v>
      </c>
      <c r="E36" s="32">
        <f>E34-E35</f>
        <v>7550929186.690001</v>
      </c>
      <c r="F36" s="33">
        <f>IF($D$5=0,"",100*$D36/$D$34)</f>
        <v>96.45446553276891</v>
      </c>
      <c r="G36" s="33">
        <f t="shared" si="1"/>
        <v>30.190045004615893</v>
      </c>
      <c r="I36" s="15"/>
      <c r="J36" s="15"/>
      <c r="K36" s="9"/>
      <c r="L36" s="9"/>
      <c r="M36" s="3"/>
    </row>
    <row r="37" spans="2:13" ht="32.25" customHeight="1">
      <c r="B37" s="126" t="s">
        <v>95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8" spans="2:13" s="5" customFormat="1" ht="9" customHeight="1">
      <c r="B38" s="6"/>
      <c r="C38" s="7"/>
      <c r="D38" s="8"/>
      <c r="E38" s="8"/>
      <c r="F38" s="4"/>
      <c r="G38" s="4"/>
      <c r="H38" s="4"/>
      <c r="I38" s="4"/>
      <c r="J38" s="4"/>
      <c r="K38" s="9"/>
      <c r="L38" s="9"/>
      <c r="M38" s="3"/>
    </row>
    <row r="39" spans="2:27" ht="29.25" customHeight="1">
      <c r="B39" s="128" t="s">
        <v>0</v>
      </c>
      <c r="C39" s="114" t="s">
        <v>40</v>
      </c>
      <c r="D39" s="114" t="s">
        <v>41</v>
      </c>
      <c r="E39" s="114" t="s">
        <v>42</v>
      </c>
      <c r="F39" s="114" t="s">
        <v>12</v>
      </c>
      <c r="G39" s="114"/>
      <c r="H39" s="114"/>
      <c r="I39" s="114" t="s">
        <v>78</v>
      </c>
      <c r="J39" s="114"/>
      <c r="K39" s="114" t="s">
        <v>2</v>
      </c>
      <c r="L39" s="127" t="s">
        <v>27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8" customHeight="1">
      <c r="B40" s="128"/>
      <c r="C40" s="114"/>
      <c r="D40" s="113"/>
      <c r="E40" s="114"/>
      <c r="F40" s="112" t="s">
        <v>43</v>
      </c>
      <c r="G40" s="115" t="s">
        <v>25</v>
      </c>
      <c r="H40" s="113"/>
      <c r="I40" s="114"/>
      <c r="J40" s="114"/>
      <c r="K40" s="114"/>
      <c r="L40" s="127"/>
      <c r="M40" s="11"/>
      <c r="N40" s="12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ht="36" customHeight="1">
      <c r="B41" s="128"/>
      <c r="C41" s="114"/>
      <c r="D41" s="113"/>
      <c r="E41" s="114"/>
      <c r="F41" s="113"/>
      <c r="G41" s="17" t="s">
        <v>38</v>
      </c>
      <c r="H41" s="17" t="s">
        <v>39</v>
      </c>
      <c r="I41" s="114"/>
      <c r="J41" s="114"/>
      <c r="K41" s="114"/>
      <c r="L41" s="127"/>
      <c r="M41" s="11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27" ht="13.5" customHeight="1">
      <c r="B42" s="128"/>
      <c r="C42" s="129" t="s">
        <v>60</v>
      </c>
      <c r="D42" s="129"/>
      <c r="E42" s="129"/>
      <c r="F42" s="129"/>
      <c r="G42" s="129"/>
      <c r="H42" s="129"/>
      <c r="I42" s="129"/>
      <c r="J42" s="129"/>
      <c r="K42" s="129" t="s">
        <v>4</v>
      </c>
      <c r="L42" s="129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7" ht="11.25" customHeight="1">
      <c r="B43" s="16">
        <v>1</v>
      </c>
      <c r="C43" s="18">
        <v>2</v>
      </c>
      <c r="D43" s="18">
        <v>3</v>
      </c>
      <c r="E43" s="18">
        <v>4</v>
      </c>
      <c r="F43" s="16">
        <v>5</v>
      </c>
      <c r="G43" s="16">
        <v>6</v>
      </c>
      <c r="H43" s="18">
        <v>7</v>
      </c>
      <c r="I43" s="113">
        <v>8</v>
      </c>
      <c r="J43" s="113"/>
      <c r="K43" s="16">
        <v>9</v>
      </c>
      <c r="L43" s="18">
        <v>10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12" ht="25.5" customHeight="1">
      <c r="B44" s="78" t="s">
        <v>47</v>
      </c>
      <c r="C44" s="79">
        <f>32905632436.71</f>
        <v>32905632436.71</v>
      </c>
      <c r="D44" s="79">
        <f>20973236737.02</f>
        <v>20973236737.02</v>
      </c>
      <c r="E44" s="79">
        <f>6913536323.14</f>
        <v>6913536323.14</v>
      </c>
      <c r="F44" s="79">
        <f>768709977.52</f>
        <v>768709977.52</v>
      </c>
      <c r="G44" s="79">
        <f>357935.87</f>
        <v>357935.87</v>
      </c>
      <c r="H44" s="79">
        <f>3003651.57</f>
        <v>3003651.57</v>
      </c>
      <c r="I44" s="118">
        <f>0</f>
        <v>0</v>
      </c>
      <c r="J44" s="118"/>
      <c r="K44" s="55">
        <f aca="true" t="shared" si="2" ref="K44:K53">IF($E$44=0,"",100*$E44/$E$44)</f>
        <v>100</v>
      </c>
      <c r="L44" s="55">
        <f aca="true" t="shared" si="3" ref="L44:L53">IF(C44=0,"",100*E44/C44)</f>
        <v>21.010191299125918</v>
      </c>
    </row>
    <row r="45" spans="2:12" ht="12.75">
      <c r="B45" s="29" t="s">
        <v>14</v>
      </c>
      <c r="C45" s="39">
        <f>6019771741.43</f>
        <v>6019771741.43</v>
      </c>
      <c r="D45" s="39">
        <f>2439880740.68</f>
        <v>2439880740.68</v>
      </c>
      <c r="E45" s="39">
        <f>370346980.76</f>
        <v>370346980.76</v>
      </c>
      <c r="F45" s="39">
        <f>119827440.51</f>
        <v>119827440.51</v>
      </c>
      <c r="G45" s="39">
        <f>108356.34</f>
        <v>108356.34</v>
      </c>
      <c r="H45" s="39">
        <f>0</f>
        <v>0</v>
      </c>
      <c r="I45" s="109">
        <f>0</f>
        <v>0</v>
      </c>
      <c r="J45" s="119"/>
      <c r="K45" s="40">
        <f t="shared" si="2"/>
        <v>5.3568385765245425</v>
      </c>
      <c r="L45" s="40">
        <f t="shared" si="3"/>
        <v>6.152176472259791</v>
      </c>
    </row>
    <row r="46" spans="2:12" ht="22.5" customHeight="1">
      <c r="B46" s="19" t="s">
        <v>13</v>
      </c>
      <c r="C46" s="35">
        <f>5960219141.43</f>
        <v>5960219141.43</v>
      </c>
      <c r="D46" s="35">
        <f>2419260340.68</f>
        <v>2419260340.68</v>
      </c>
      <c r="E46" s="35">
        <f>353728580.76</f>
        <v>353728580.76</v>
      </c>
      <c r="F46" s="35">
        <f>119827440.51</f>
        <v>119827440.51</v>
      </c>
      <c r="G46" s="35">
        <f>108356.34</f>
        <v>108356.34</v>
      </c>
      <c r="H46" s="35">
        <f>0</f>
        <v>0</v>
      </c>
      <c r="I46" s="116">
        <f>0</f>
        <v>0</v>
      </c>
      <c r="J46" s="117"/>
      <c r="K46" s="41">
        <f t="shared" si="2"/>
        <v>5.116463763646547</v>
      </c>
      <c r="L46" s="41">
        <f t="shared" si="3"/>
        <v>5.934825085561065</v>
      </c>
    </row>
    <row r="47" spans="2:12" ht="25.5" customHeight="1">
      <c r="B47" s="29" t="s">
        <v>48</v>
      </c>
      <c r="C47" s="39">
        <f aca="true" t="shared" si="4" ref="C47:I47">C44-C45</f>
        <v>26885860695.28</v>
      </c>
      <c r="D47" s="39">
        <f t="shared" si="4"/>
        <v>18533355996.34</v>
      </c>
      <c r="E47" s="39">
        <f t="shared" si="4"/>
        <v>6543189342.38</v>
      </c>
      <c r="F47" s="39">
        <f t="shared" si="4"/>
        <v>648882537.01</v>
      </c>
      <c r="G47" s="39">
        <f t="shared" si="4"/>
        <v>249579.53</v>
      </c>
      <c r="H47" s="39">
        <f t="shared" si="4"/>
        <v>3003651.57</v>
      </c>
      <c r="I47" s="109">
        <f t="shared" si="4"/>
        <v>0</v>
      </c>
      <c r="J47" s="109"/>
      <c r="K47" s="40">
        <f t="shared" si="2"/>
        <v>94.64316142347545</v>
      </c>
      <c r="L47" s="40">
        <f t="shared" si="3"/>
        <v>24.336916033819602</v>
      </c>
    </row>
    <row r="48" spans="2:12" ht="22.5">
      <c r="B48" s="19" t="s">
        <v>94</v>
      </c>
      <c r="C48" s="35">
        <f>16577849586.88</f>
        <v>16577849586.88</v>
      </c>
      <c r="D48" s="35">
        <f>13727704028.86</f>
        <v>13727704028.86</v>
      </c>
      <c r="E48" s="35">
        <f>4556476881.39</f>
        <v>4556476881.39</v>
      </c>
      <c r="F48" s="35">
        <f>393449100.13</f>
        <v>393449100.13</v>
      </c>
      <c r="G48" s="35">
        <f>0</f>
        <v>0</v>
      </c>
      <c r="H48" s="35">
        <f>810920.68</f>
        <v>810920.68</v>
      </c>
      <c r="I48" s="116">
        <f>0</f>
        <v>0</v>
      </c>
      <c r="J48" s="117"/>
      <c r="K48" s="41">
        <f t="shared" si="2"/>
        <v>65.90660218474896</v>
      </c>
      <c r="L48" s="41">
        <f t="shared" si="3"/>
        <v>27.485331300122763</v>
      </c>
    </row>
    <row r="49" spans="2:12" ht="13.5" customHeight="1">
      <c r="B49" s="22" t="s">
        <v>37</v>
      </c>
      <c r="C49" s="80">
        <f>2085350003.32</f>
        <v>2085350003.32</v>
      </c>
      <c r="D49" s="80">
        <f>1206532614.32</f>
        <v>1206532614.32</v>
      </c>
      <c r="E49" s="80">
        <f>490156383.24</f>
        <v>490156383.24</v>
      </c>
      <c r="F49" s="80">
        <f>1994919.53</f>
        <v>1994919.53</v>
      </c>
      <c r="G49" s="80">
        <f>0</f>
        <v>0</v>
      </c>
      <c r="H49" s="80">
        <f>0</f>
        <v>0</v>
      </c>
      <c r="I49" s="106">
        <f>0</f>
        <v>0</v>
      </c>
      <c r="J49" s="106"/>
      <c r="K49" s="81">
        <f t="shared" si="2"/>
        <v>7.0898070152523625</v>
      </c>
      <c r="L49" s="81">
        <f t="shared" si="3"/>
        <v>23.504753756426606</v>
      </c>
    </row>
    <row r="50" spans="2:12" ht="13.5" customHeight="1">
      <c r="B50" s="22" t="s">
        <v>36</v>
      </c>
      <c r="C50" s="32">
        <f>210989318.19</f>
        <v>210989318.19</v>
      </c>
      <c r="D50" s="32">
        <f>81869967.72</f>
        <v>81869967.72</v>
      </c>
      <c r="E50" s="32">
        <f>31610817.92</f>
        <v>31610817.92</v>
      </c>
      <c r="F50" s="32">
        <f>6114814.43</f>
        <v>6114814.43</v>
      </c>
      <c r="G50" s="32">
        <f>0</f>
        <v>0</v>
      </c>
      <c r="H50" s="32">
        <f>0</f>
        <v>0</v>
      </c>
      <c r="I50" s="105">
        <f>0</f>
        <v>0</v>
      </c>
      <c r="J50" s="105"/>
      <c r="K50" s="81">
        <f t="shared" si="2"/>
        <v>0.45723080696338847</v>
      </c>
      <c r="L50" s="81">
        <f t="shared" si="3"/>
        <v>14.9821887625296</v>
      </c>
    </row>
    <row r="51" spans="2:12" ht="22.5" customHeight="1">
      <c r="B51" s="22" t="s">
        <v>51</v>
      </c>
      <c r="C51" s="80">
        <f>67026749.16</f>
        <v>67026749.16</v>
      </c>
      <c r="D51" s="80">
        <f>6175523.83</f>
        <v>6175523.83</v>
      </c>
      <c r="E51" s="80">
        <f>1204689.61</f>
        <v>1204689.61</v>
      </c>
      <c r="F51" s="80">
        <f>112200</f>
        <v>112200</v>
      </c>
      <c r="G51" s="80">
        <f>0</f>
        <v>0</v>
      </c>
      <c r="H51" s="80">
        <f>0</f>
        <v>0</v>
      </c>
      <c r="I51" s="106">
        <f>0</f>
        <v>0</v>
      </c>
      <c r="J51" s="106"/>
      <c r="K51" s="81">
        <f t="shared" si="2"/>
        <v>0.017425085422171506</v>
      </c>
      <c r="L51" s="81">
        <f t="shared" si="3"/>
        <v>1.7973266272011457</v>
      </c>
    </row>
    <row r="52" spans="2:12" ht="22.5" customHeight="1">
      <c r="B52" s="22" t="s">
        <v>53</v>
      </c>
      <c r="C52" s="80">
        <f>1166979516.23</f>
        <v>1166979516.23</v>
      </c>
      <c r="D52" s="80">
        <f>636646533.41</f>
        <v>636646533.41</v>
      </c>
      <c r="E52" s="80">
        <f>255484616.86</f>
        <v>255484616.86</v>
      </c>
      <c r="F52" s="80">
        <f>13285409.77</f>
        <v>13285409.77</v>
      </c>
      <c r="G52" s="80">
        <f>853</f>
        <v>853</v>
      </c>
      <c r="H52" s="80">
        <f>387</f>
        <v>387</v>
      </c>
      <c r="I52" s="110">
        <f>0</f>
        <v>0</v>
      </c>
      <c r="J52" s="111"/>
      <c r="K52" s="81">
        <f t="shared" si="2"/>
        <v>3.695425971870263</v>
      </c>
      <c r="L52" s="81">
        <f t="shared" si="3"/>
        <v>21.892810739759938</v>
      </c>
    </row>
    <row r="53" spans="2:12" ht="13.5" customHeight="1">
      <c r="B53" s="19" t="s">
        <v>35</v>
      </c>
      <c r="C53" s="35">
        <f aca="true" t="shared" si="5" ref="C53:I53">C47-C48-C49-C50-C51-C52</f>
        <v>6777665521.5</v>
      </c>
      <c r="D53" s="35">
        <f t="shared" si="5"/>
        <v>2874427328.2000003</v>
      </c>
      <c r="E53" s="35">
        <f t="shared" si="5"/>
        <v>1208255953.3599997</v>
      </c>
      <c r="F53" s="35">
        <f t="shared" si="5"/>
        <v>233926093.14999998</v>
      </c>
      <c r="G53" s="35">
        <f t="shared" si="5"/>
        <v>248726.53</v>
      </c>
      <c r="H53" s="35">
        <f t="shared" si="5"/>
        <v>2192343.8899999997</v>
      </c>
      <c r="I53" s="107">
        <f t="shared" si="5"/>
        <v>0</v>
      </c>
      <c r="J53" s="108"/>
      <c r="K53" s="41">
        <f t="shared" si="2"/>
        <v>17.476670359218307</v>
      </c>
      <c r="L53" s="41">
        <f t="shared" si="3"/>
        <v>17.827022439026976</v>
      </c>
    </row>
    <row r="54" spans="2:13" ht="12.75">
      <c r="B54" s="78" t="s">
        <v>15</v>
      </c>
      <c r="C54" s="86">
        <f>C5-C44</f>
        <v>-1658360834.2000008</v>
      </c>
      <c r="D54" s="86"/>
      <c r="E54" s="86">
        <f>D5-E44</f>
        <v>1899417742.2599993</v>
      </c>
      <c r="F54" s="86"/>
      <c r="G54" s="86"/>
      <c r="H54" s="86"/>
      <c r="I54" s="109"/>
      <c r="J54" s="109"/>
      <c r="K54" s="90"/>
      <c r="L54" s="90"/>
      <c r="M54" s="13"/>
    </row>
    <row r="55" spans="2:13" ht="39" customHeight="1">
      <c r="B55" s="87" t="s">
        <v>81</v>
      </c>
      <c r="C55" s="88">
        <f>C36-C47</f>
        <v>1270731122.0900002</v>
      </c>
      <c r="D55" s="89"/>
      <c r="E55" s="88">
        <f>D36-E47</f>
        <v>1957298399.0499992</v>
      </c>
      <c r="F55" s="89"/>
      <c r="G55" s="89"/>
      <c r="H55" s="89"/>
      <c r="I55" s="89"/>
      <c r="J55" s="89"/>
      <c r="K55" s="42"/>
      <c r="L55" s="43"/>
      <c r="M55" s="10"/>
    </row>
    <row r="56" spans="2:13" ht="12" customHeight="1" thickBot="1">
      <c r="B56" s="37"/>
      <c r="C56" s="44"/>
      <c r="D56" s="44"/>
      <c r="E56" s="44"/>
      <c r="F56" s="45"/>
      <c r="G56" s="45"/>
      <c r="H56" s="45"/>
      <c r="I56" s="45"/>
      <c r="J56" s="42"/>
      <c r="K56" s="42"/>
      <c r="L56" s="43"/>
      <c r="M56" s="10"/>
    </row>
    <row r="57" spans="2:13" ht="12" customHeight="1" thickBot="1">
      <c r="B57" s="38" t="s">
        <v>57</v>
      </c>
      <c r="C57" s="44"/>
      <c r="D57" s="44"/>
      <c r="E57" s="44"/>
      <c r="F57" s="45"/>
      <c r="G57" s="45"/>
      <c r="H57" s="45"/>
      <c r="I57" s="45"/>
      <c r="J57" s="42"/>
      <c r="K57" s="42"/>
      <c r="L57" s="43"/>
      <c r="M57" s="10"/>
    </row>
    <row r="58" spans="2:13" ht="30" customHeight="1" thickBot="1">
      <c r="B58" s="85" t="s">
        <v>82</v>
      </c>
      <c r="C58" s="82">
        <f>2328202598.92</f>
        <v>2328202598.92</v>
      </c>
      <c r="D58" s="82">
        <f>921348811.82</f>
        <v>921348811.82</v>
      </c>
      <c r="E58" s="82">
        <f>246108190.69</f>
        <v>246108190.69</v>
      </c>
      <c r="F58" s="82">
        <f>35199263.74</f>
        <v>35199263.74</v>
      </c>
      <c r="G58" s="82">
        <f>537.17</f>
        <v>537.17</v>
      </c>
      <c r="H58" s="82">
        <f>0</f>
        <v>0</v>
      </c>
      <c r="I58" s="82">
        <f>0</f>
        <v>0</v>
      </c>
      <c r="J58" s="82">
        <f>0</f>
        <v>0</v>
      </c>
      <c r="K58" s="55">
        <f>IF($E$44=0,"",100*$E58/$E$58)</f>
        <v>100</v>
      </c>
      <c r="L58" s="83">
        <f>IF(C58=0,"",100*E58/C58)</f>
        <v>10.570737735803746</v>
      </c>
      <c r="M58" s="10"/>
    </row>
    <row r="59" spans="2:12" ht="13.5" thickBot="1">
      <c r="B59" s="84" t="s">
        <v>58</v>
      </c>
      <c r="C59" s="80">
        <f>1568331330</f>
        <v>1568331330</v>
      </c>
      <c r="D59" s="80">
        <f>636744843.13</f>
        <v>636744843.13</v>
      </c>
      <c r="E59" s="80">
        <f>122804261.08</f>
        <v>122804261.08</v>
      </c>
      <c r="F59" s="80">
        <f>28134936.49</f>
        <v>28134936.49</v>
      </c>
      <c r="G59" s="80">
        <f>537.17</f>
        <v>537.17</v>
      </c>
      <c r="H59" s="80">
        <f>0</f>
        <v>0</v>
      </c>
      <c r="I59" s="80">
        <f>0</f>
        <v>0</v>
      </c>
      <c r="J59" s="80">
        <f>0</f>
        <v>0</v>
      </c>
      <c r="K59" s="81">
        <f>IF($E$44=0,"",100*$E59/$E$58)</f>
        <v>49.89848600150221</v>
      </c>
      <c r="L59" s="81">
        <f>IF(C59=0,"",100*E59/C59)</f>
        <v>7.830249815898277</v>
      </c>
    </row>
    <row r="60" spans="2:12" ht="13.5" thickBot="1">
      <c r="B60" s="84" t="s">
        <v>59</v>
      </c>
      <c r="C60" s="80">
        <f>C58-C59</f>
        <v>759871268.9200001</v>
      </c>
      <c r="D60" s="80">
        <f aca="true" t="shared" si="6" ref="D60:J60">D58-D59</f>
        <v>284603968.69000006</v>
      </c>
      <c r="E60" s="80">
        <f t="shared" si="6"/>
        <v>123303929.61</v>
      </c>
      <c r="F60" s="80">
        <f t="shared" si="6"/>
        <v>7064327.250000004</v>
      </c>
      <c r="G60" s="80">
        <f t="shared" si="6"/>
        <v>0</v>
      </c>
      <c r="H60" s="80">
        <f t="shared" si="6"/>
        <v>0</v>
      </c>
      <c r="I60" s="80">
        <f t="shared" si="6"/>
        <v>0</v>
      </c>
      <c r="J60" s="80">
        <f t="shared" si="6"/>
        <v>0</v>
      </c>
      <c r="K60" s="81">
        <f>IF($E$44=0,"",100*$E60/$E$58)</f>
        <v>50.10151399849779</v>
      </c>
      <c r="L60" s="81">
        <f>IF(C60=0,"",100*E60/C60)</f>
        <v>16.226949833917402</v>
      </c>
    </row>
    <row r="61" spans="2:13" ht="25.5" customHeight="1">
      <c r="B61" s="126" t="s">
        <v>95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</row>
    <row r="62" spans="2:8" ht="12.75">
      <c r="B62" s="26" t="s">
        <v>16</v>
      </c>
      <c r="C62" s="120" t="s">
        <v>17</v>
      </c>
      <c r="D62" s="121"/>
      <c r="E62" s="120" t="s">
        <v>1</v>
      </c>
      <c r="F62" s="121"/>
      <c r="G62" s="18" t="s">
        <v>22</v>
      </c>
      <c r="H62" s="18" t="s">
        <v>23</v>
      </c>
    </row>
    <row r="63" spans="2:8" ht="12.75">
      <c r="B63" s="26"/>
      <c r="C63" s="112" t="s">
        <v>60</v>
      </c>
      <c r="D63" s="122"/>
      <c r="E63" s="122"/>
      <c r="F63" s="123"/>
      <c r="G63" s="124" t="s">
        <v>4</v>
      </c>
      <c r="H63" s="125"/>
    </row>
    <row r="64" spans="2:8" ht="12.75">
      <c r="B64" s="24">
        <v>1</v>
      </c>
      <c r="C64" s="27">
        <v>2</v>
      </c>
      <c r="D64" s="28"/>
      <c r="E64" s="27">
        <v>3</v>
      </c>
      <c r="F64" s="28"/>
      <c r="G64" s="25">
        <v>4</v>
      </c>
      <c r="H64" s="25">
        <v>5</v>
      </c>
    </row>
    <row r="65" spans="2:8" ht="22.5">
      <c r="B65" s="66" t="s">
        <v>49</v>
      </c>
      <c r="C65" s="46">
        <f>2511942241.84</f>
        <v>2511942241.84</v>
      </c>
      <c r="D65" s="47"/>
      <c r="E65" s="46">
        <f>3001826172.75</f>
        <v>3001826172.75</v>
      </c>
      <c r="F65" s="47"/>
      <c r="G65" s="48">
        <f>IF($E$65=0,"",100*$E65/$E$65)</f>
        <v>100</v>
      </c>
      <c r="H65" s="40">
        <f>IF(C65=0,"",100*E65/C65)</f>
        <v>119.50219725399256</v>
      </c>
    </row>
    <row r="66" spans="2:8" ht="25.5" customHeight="1">
      <c r="B66" s="67" t="s">
        <v>83</v>
      </c>
      <c r="C66" s="49">
        <f>1098133545.55</f>
        <v>1098133545.55</v>
      </c>
      <c r="D66" s="50"/>
      <c r="E66" s="49">
        <f>7773377.48</f>
        <v>7773377.48</v>
      </c>
      <c r="F66" s="50"/>
      <c r="G66" s="51">
        <f aca="true" t="shared" si="7" ref="G66:G72">IF($E$65=0,"",100*$E66/$E$65)</f>
        <v>0.2589549505086345</v>
      </c>
      <c r="H66" s="52">
        <f aca="true" t="shared" si="8" ref="H66:H77">IF(C66=0,"",100*E66/C66)</f>
        <v>0.7078717803950434</v>
      </c>
    </row>
    <row r="67" spans="2:8" ht="24" customHeight="1">
      <c r="B67" s="91" t="s">
        <v>84</v>
      </c>
      <c r="C67" s="92">
        <f>24671000</f>
        <v>24671000</v>
      </c>
      <c r="D67" s="93"/>
      <c r="E67" s="92">
        <f>0</f>
        <v>0</v>
      </c>
      <c r="F67" s="93"/>
      <c r="G67" s="94">
        <f t="shared" si="7"/>
        <v>0</v>
      </c>
      <c r="H67" s="95">
        <f t="shared" si="8"/>
        <v>0</v>
      </c>
    </row>
    <row r="68" spans="2:8" ht="12.75">
      <c r="B68" s="96" t="s">
        <v>85</v>
      </c>
      <c r="C68" s="92">
        <f>54365269.4</f>
        <v>54365269.4</v>
      </c>
      <c r="D68" s="93"/>
      <c r="E68" s="92">
        <f>1740650.56</f>
        <v>1740650.56</v>
      </c>
      <c r="F68" s="93"/>
      <c r="G68" s="94">
        <f t="shared" si="7"/>
        <v>0.05798638761302339</v>
      </c>
      <c r="H68" s="95">
        <f t="shared" si="8"/>
        <v>3.201769400226682</v>
      </c>
    </row>
    <row r="69" spans="2:8" ht="16.5" customHeight="1">
      <c r="B69" s="96" t="s">
        <v>86</v>
      </c>
      <c r="C69" s="92">
        <f>163803270.28</f>
        <v>163803270.28</v>
      </c>
      <c r="D69" s="93"/>
      <c r="E69" s="92">
        <f>501136342.62</f>
        <v>501136342.62</v>
      </c>
      <c r="F69" s="93"/>
      <c r="G69" s="94">
        <f t="shared" si="7"/>
        <v>16.694382478546533</v>
      </c>
      <c r="H69" s="95">
        <f t="shared" si="8"/>
        <v>305.9379350383993</v>
      </c>
    </row>
    <row r="70" spans="2:8" ht="12.75">
      <c r="B70" s="96" t="s">
        <v>87</v>
      </c>
      <c r="C70" s="92">
        <f>0</f>
        <v>0</v>
      </c>
      <c r="D70" s="93"/>
      <c r="E70" s="92">
        <f>0</f>
        <v>0</v>
      </c>
      <c r="F70" s="93"/>
      <c r="G70" s="94">
        <f t="shared" si="7"/>
        <v>0</v>
      </c>
      <c r="H70" s="95">
        <f t="shared" si="8"/>
      </c>
    </row>
    <row r="71" spans="2:8" ht="33.75">
      <c r="B71" s="96" t="s">
        <v>62</v>
      </c>
      <c r="C71" s="92">
        <f>789568799.75</f>
        <v>789568799.75</v>
      </c>
      <c r="D71" s="93"/>
      <c r="E71" s="92">
        <f>1917876401.61</f>
        <v>1917876401.61</v>
      </c>
      <c r="F71" s="93"/>
      <c r="G71" s="94">
        <f t="shared" si="7"/>
        <v>63.890321798780775</v>
      </c>
      <c r="H71" s="95">
        <f t="shared" si="8"/>
        <v>242.9017461451433</v>
      </c>
    </row>
    <row r="72" spans="2:8" ht="12.75">
      <c r="B72" s="91" t="s">
        <v>63</v>
      </c>
      <c r="C72" s="92">
        <f>157160</f>
        <v>157160</v>
      </c>
      <c r="D72" s="93"/>
      <c r="E72" s="92">
        <f>157160</f>
        <v>157160</v>
      </c>
      <c r="F72" s="93"/>
      <c r="G72" s="94">
        <f t="shared" si="7"/>
        <v>0.0052354797032109395</v>
      </c>
      <c r="H72" s="95">
        <f t="shared" si="8"/>
        <v>100</v>
      </c>
    </row>
    <row r="73" spans="2:8" ht="22.5">
      <c r="B73" s="66" t="s">
        <v>50</v>
      </c>
      <c r="C73" s="58">
        <f>850311608.64</f>
        <v>850311608.64</v>
      </c>
      <c r="D73" s="59"/>
      <c r="E73" s="58">
        <f>250805271.46</f>
        <v>250805271.46</v>
      </c>
      <c r="F73" s="59"/>
      <c r="G73" s="48">
        <f>IF($E$73=0,"",100*$E73/$E$73)</f>
        <v>100</v>
      </c>
      <c r="H73" s="40">
        <f t="shared" si="8"/>
        <v>29.49568945214583</v>
      </c>
    </row>
    <row r="74" spans="2:8" ht="33.75" customHeight="1">
      <c r="B74" s="67" t="s">
        <v>90</v>
      </c>
      <c r="C74" s="49">
        <f>775797162.06</f>
        <v>775797162.06</v>
      </c>
      <c r="D74" s="57"/>
      <c r="E74" s="56">
        <f>166666320.36</f>
        <v>166666320.36</v>
      </c>
      <c r="F74" s="57"/>
      <c r="G74" s="51">
        <f>IF($E$73=0,"",100*$E74/$E$73)</f>
        <v>66.4524790048446</v>
      </c>
      <c r="H74" s="52">
        <f t="shared" si="8"/>
        <v>21.48323408627139</v>
      </c>
    </row>
    <row r="75" spans="2:8" ht="12" customHeight="1">
      <c r="B75" s="96" t="s">
        <v>88</v>
      </c>
      <c r="C75" s="92">
        <f>21195000</f>
        <v>21195000</v>
      </c>
      <c r="D75" s="93"/>
      <c r="E75" s="92">
        <f>0</f>
        <v>0</v>
      </c>
      <c r="F75" s="93"/>
      <c r="G75" s="94">
        <f>IF($E$73=0,"",100*$E75/$E$73)</f>
        <v>0</v>
      </c>
      <c r="H75" s="95">
        <f t="shared" si="8"/>
        <v>0</v>
      </c>
    </row>
    <row r="76" spans="2:8" ht="12.75">
      <c r="B76" s="96" t="s">
        <v>89</v>
      </c>
      <c r="C76" s="92">
        <f>65867668.71</f>
        <v>65867668.71</v>
      </c>
      <c r="D76" s="93"/>
      <c r="E76" s="92">
        <f>38171385.69</f>
        <v>38171385.69</v>
      </c>
      <c r="F76" s="93"/>
      <c r="G76" s="94">
        <f>IF($E$73=0,"",100*$E76/$E$73)</f>
        <v>15.219530860653306</v>
      </c>
      <c r="H76" s="95">
        <f t="shared" si="8"/>
        <v>57.95162700847926</v>
      </c>
    </row>
    <row r="77" spans="2:8" ht="12.75">
      <c r="B77" s="68" t="s">
        <v>24</v>
      </c>
      <c r="C77" s="92">
        <f>8646777.87</f>
        <v>8646777.87</v>
      </c>
      <c r="D77" s="93"/>
      <c r="E77" s="92">
        <f>45967565.41</f>
        <v>45967565.41</v>
      </c>
      <c r="F77" s="93"/>
      <c r="G77" s="94">
        <f>IF($E$73=0,"",100*$E77/$E$73)</f>
        <v>18.327990134502095</v>
      </c>
      <c r="H77" s="95">
        <f t="shared" si="8"/>
        <v>531.6149680389558</v>
      </c>
    </row>
    <row r="78" ht="12.75">
      <c r="B78" s="23"/>
    </row>
    <row r="79" spans="2:8" ht="12.75">
      <c r="B79" s="60" t="s">
        <v>16</v>
      </c>
      <c r="C79" s="120" t="s">
        <v>17</v>
      </c>
      <c r="D79" s="121"/>
      <c r="E79" s="120" t="s">
        <v>1</v>
      </c>
      <c r="F79" s="121"/>
      <c r="G79" s="18" t="s">
        <v>22</v>
      </c>
      <c r="H79" s="18" t="s">
        <v>23</v>
      </c>
    </row>
    <row r="80" spans="2:8" ht="12.75">
      <c r="B80" s="60"/>
      <c r="C80" s="112" t="s">
        <v>60</v>
      </c>
      <c r="D80" s="122"/>
      <c r="E80" s="122"/>
      <c r="F80" s="123"/>
      <c r="G80" s="124" t="s">
        <v>4</v>
      </c>
      <c r="H80" s="125"/>
    </row>
    <row r="81" spans="2:8" ht="12.75">
      <c r="B81" s="24">
        <v>1</v>
      </c>
      <c r="C81" s="27">
        <v>2</v>
      </c>
      <c r="D81" s="28"/>
      <c r="E81" s="27">
        <v>3</v>
      </c>
      <c r="F81" s="28"/>
      <c r="G81" s="25">
        <v>4</v>
      </c>
      <c r="H81" s="25">
        <v>5</v>
      </c>
    </row>
    <row r="82" spans="2:8" ht="22.5">
      <c r="B82" s="65" t="s">
        <v>64</v>
      </c>
      <c r="C82" s="53">
        <f>1763353658.65</f>
        <v>1763353658.65</v>
      </c>
      <c r="D82" s="54"/>
      <c r="E82" s="53">
        <f>0</f>
        <v>0</v>
      </c>
      <c r="F82" s="47"/>
      <c r="G82" s="48"/>
      <c r="H82" s="40"/>
    </row>
    <row r="83" spans="2:8" ht="56.25">
      <c r="B83" s="97" t="s">
        <v>65</v>
      </c>
      <c r="C83" s="92">
        <f>16466612.44</f>
        <v>16466612.44</v>
      </c>
      <c r="D83" s="93"/>
      <c r="E83" s="92">
        <f>0</f>
        <v>0</v>
      </c>
      <c r="F83" s="93"/>
      <c r="G83" s="94"/>
      <c r="H83" s="95"/>
    </row>
    <row r="84" spans="2:8" ht="12.75">
      <c r="B84" s="97" t="s">
        <v>66</v>
      </c>
      <c r="C84" s="92">
        <f>731061275.71</f>
        <v>731061275.71</v>
      </c>
      <c r="D84" s="93"/>
      <c r="E84" s="92">
        <f>0</f>
        <v>0</v>
      </c>
      <c r="F84" s="93"/>
      <c r="G84" s="94"/>
      <c r="H84" s="95"/>
    </row>
    <row r="85" spans="2:8" ht="22.5">
      <c r="B85" s="97" t="s">
        <v>67</v>
      </c>
      <c r="C85" s="92">
        <f>0</f>
        <v>0</v>
      </c>
      <c r="D85" s="93"/>
      <c r="E85" s="92">
        <f>0</f>
        <v>0</v>
      </c>
      <c r="F85" s="93"/>
      <c r="G85" s="94"/>
      <c r="H85" s="95"/>
    </row>
    <row r="86" spans="2:8" ht="33.75">
      <c r="B86" s="97" t="s">
        <v>68</v>
      </c>
      <c r="C86" s="92">
        <f>138937912.95</f>
        <v>138937912.95</v>
      </c>
      <c r="D86" s="93"/>
      <c r="E86" s="92">
        <f>0</f>
        <v>0</v>
      </c>
      <c r="F86" s="93"/>
      <c r="G86" s="94"/>
      <c r="H86" s="95"/>
    </row>
    <row r="87" spans="2:8" ht="101.25">
      <c r="B87" s="97" t="s">
        <v>69</v>
      </c>
      <c r="C87" s="92">
        <f>510039312.65</f>
        <v>510039312.65</v>
      </c>
      <c r="D87" s="93"/>
      <c r="E87" s="92">
        <f>0</f>
        <v>0</v>
      </c>
      <c r="F87" s="93"/>
      <c r="G87" s="94"/>
      <c r="H87" s="95"/>
    </row>
    <row r="88" spans="2:6" ht="12.75">
      <c r="B88" s="60" t="s">
        <v>16</v>
      </c>
      <c r="C88" s="120" t="s">
        <v>93</v>
      </c>
      <c r="D88" s="130"/>
      <c r="E88" s="130"/>
      <c r="F88" s="121"/>
    </row>
    <row r="89" spans="2:6" ht="12.75">
      <c r="B89" s="60"/>
      <c r="C89" s="112" t="s">
        <v>60</v>
      </c>
      <c r="D89" s="122"/>
      <c r="E89" s="122"/>
      <c r="F89" s="123"/>
    </row>
    <row r="90" spans="2:6" ht="12.75">
      <c r="B90" s="24">
        <v>1</v>
      </c>
      <c r="C90" s="102">
        <v>2</v>
      </c>
      <c r="D90" s="103"/>
      <c r="E90" s="103"/>
      <c r="F90" s="104"/>
    </row>
    <row r="91" spans="2:6" ht="56.25">
      <c r="B91" s="65" t="s">
        <v>70</v>
      </c>
      <c r="C91" s="99">
        <f>0</f>
        <v>0</v>
      </c>
      <c r="D91" s="100"/>
      <c r="E91" s="100"/>
      <c r="F91" s="101"/>
    </row>
    <row r="92" spans="2:6" ht="33.75">
      <c r="B92" s="64" t="s">
        <v>71</v>
      </c>
      <c r="C92" s="99">
        <f>0</f>
        <v>0</v>
      </c>
      <c r="D92" s="100"/>
      <c r="E92" s="100"/>
      <c r="F92" s="101"/>
    </row>
    <row r="93" spans="2:6" ht="36" customHeight="1">
      <c r="B93" s="64" t="s">
        <v>72</v>
      </c>
      <c r="C93" s="99">
        <f>0</f>
        <v>0</v>
      </c>
      <c r="D93" s="100"/>
      <c r="E93" s="100"/>
      <c r="F93" s="101"/>
    </row>
    <row r="94" spans="2:6" ht="69" customHeight="1">
      <c r="B94" s="64" t="s">
        <v>73</v>
      </c>
      <c r="C94" s="99">
        <f>0</f>
        <v>0</v>
      </c>
      <c r="D94" s="100"/>
      <c r="E94" s="100"/>
      <c r="F94" s="101"/>
    </row>
    <row r="95" spans="2:6" ht="45">
      <c r="B95" s="64" t="s">
        <v>74</v>
      </c>
      <c r="C95" s="99">
        <f>0</f>
        <v>0</v>
      </c>
      <c r="D95" s="100"/>
      <c r="E95" s="100"/>
      <c r="F95" s="101"/>
    </row>
    <row r="96" spans="2:6" ht="56.25">
      <c r="B96" s="98" t="s">
        <v>75</v>
      </c>
      <c r="C96" s="99">
        <f>0</f>
        <v>0</v>
      </c>
      <c r="D96" s="100"/>
      <c r="E96" s="100"/>
      <c r="F96" s="101"/>
    </row>
    <row r="97" spans="2:6" ht="45">
      <c r="B97" s="98" t="s">
        <v>76</v>
      </c>
      <c r="C97" s="99">
        <f>0</f>
        <v>0</v>
      </c>
      <c r="D97" s="100"/>
      <c r="E97" s="100"/>
      <c r="F97" s="101"/>
    </row>
    <row r="98" spans="2:6" ht="90">
      <c r="B98" s="98" t="s">
        <v>91</v>
      </c>
      <c r="C98" s="99">
        <f>0</f>
        <v>0</v>
      </c>
      <c r="D98" s="100"/>
      <c r="E98" s="100"/>
      <c r="F98" s="101"/>
    </row>
    <row r="99" spans="2:6" ht="90">
      <c r="B99" s="98" t="s">
        <v>92</v>
      </c>
      <c r="C99" s="99">
        <f>0</f>
        <v>0</v>
      </c>
      <c r="D99" s="100"/>
      <c r="E99" s="100"/>
      <c r="F99" s="101"/>
    </row>
  </sheetData>
  <sheetProtection/>
  <mergeCells count="50">
    <mergeCell ref="C89:F89"/>
    <mergeCell ref="C79:D79"/>
    <mergeCell ref="E79:F79"/>
    <mergeCell ref="C80:F80"/>
    <mergeCell ref="G80:H80"/>
    <mergeCell ref="C88:F88"/>
    <mergeCell ref="L39:L41"/>
    <mergeCell ref="B2:B3"/>
    <mergeCell ref="C39:C41"/>
    <mergeCell ref="B39:B42"/>
    <mergeCell ref="K39:K41"/>
    <mergeCell ref="K42:L42"/>
    <mergeCell ref="F3:H3"/>
    <mergeCell ref="B37:M37"/>
    <mergeCell ref="C42:J42"/>
    <mergeCell ref="C3:E3"/>
    <mergeCell ref="C62:D62"/>
    <mergeCell ref="E62:F62"/>
    <mergeCell ref="C63:F63"/>
    <mergeCell ref="G63:H63"/>
    <mergeCell ref="I43:J43"/>
    <mergeCell ref="B1:M1"/>
    <mergeCell ref="B61:M61"/>
    <mergeCell ref="I39:J41"/>
    <mergeCell ref="D39:D41"/>
    <mergeCell ref="E39:E41"/>
    <mergeCell ref="F39:H39"/>
    <mergeCell ref="G40:H40"/>
    <mergeCell ref="I48:J48"/>
    <mergeCell ref="I49:J49"/>
    <mergeCell ref="I44:J44"/>
    <mergeCell ref="I45:J45"/>
    <mergeCell ref="I46:J46"/>
    <mergeCell ref="I47:J47"/>
    <mergeCell ref="I50:J50"/>
    <mergeCell ref="I51:J51"/>
    <mergeCell ref="I53:J53"/>
    <mergeCell ref="I54:J54"/>
    <mergeCell ref="I52:J52"/>
    <mergeCell ref="F40:F41"/>
    <mergeCell ref="C96:F96"/>
    <mergeCell ref="C97:F97"/>
    <mergeCell ref="C98:F98"/>
    <mergeCell ref="C99:F99"/>
    <mergeCell ref="C90:F90"/>
    <mergeCell ref="C91:F91"/>
    <mergeCell ref="C92:F92"/>
    <mergeCell ref="C93:F93"/>
    <mergeCell ref="C94:F94"/>
    <mergeCell ref="C95:F95"/>
  </mergeCells>
  <printOptions/>
  <pageMargins left="0.1968503937007874" right="0.1968503937007874" top="0.35433070866141736" bottom="0.3937007874015748" header="0.31496062992125984" footer="0.1968503937007874"/>
  <pageSetup firstPageNumber="1" useFirstPageNumber="1" horizontalDpi="600" verticalDpi="600" orientation="landscape" paperSize="9" scale="85" r:id="rId3"/>
  <headerFooter alignWithMargins="0">
    <oddFooter>&amp;RStrona &amp;P z &amp;N</oddFooter>
  </headerFooter>
  <rowBreaks count="3" manualBreakCount="3">
    <brk id="36" max="255" man="1"/>
    <brk id="60" max="255" man="1"/>
    <brk id="87" min="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2017-03-30T11:49:59Z</cp:lastPrinted>
  <dcterms:created xsi:type="dcterms:W3CDTF">2001-05-17T08:58:03Z</dcterms:created>
  <dcterms:modified xsi:type="dcterms:W3CDTF">2020-06-10T10:45:39Z</dcterms:modified>
  <cp:category/>
  <cp:version/>
  <cp:contentType/>
  <cp:contentStatus/>
</cp:coreProperties>
</file>