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HHCY\Documents\```ST7\Besti@\2025\I kwartał\2025.05.17 Dane ostateczne\Zbiorówki_2025_k1_2025.05.17\Publikacja\"/>
    </mc:Choice>
  </mc:AlternateContent>
  <xr:revisionPtr revIDLastSave="0" documentId="13_ncr:1_{FB3A5FCA-2381-47C2-8A72-1B92DDAB9CA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zob_nal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6" i="7" l="1"/>
  <c r="B95" i="7"/>
  <c r="B94" i="7"/>
  <c r="I91" i="7"/>
  <c r="G91" i="7"/>
  <c r="I90" i="7"/>
  <c r="G90" i="7"/>
  <c r="I89" i="7"/>
  <c r="G89" i="7"/>
  <c r="L83" i="7"/>
  <c r="K83" i="7"/>
  <c r="J83" i="7"/>
  <c r="I83" i="7"/>
  <c r="H83" i="7"/>
  <c r="G83" i="7"/>
  <c r="F83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4" i="7" l="1"/>
  <c r="A30" i="7" l="1"/>
  <c r="A86" i="7"/>
  <c r="A1" i="7"/>
  <c r="A67" i="7"/>
</calcChain>
</file>

<file path=xl/sharedStrings.xml><?xml version="1.0" encoding="utf-8"?>
<sst xmlns="http://schemas.openxmlformats.org/spreadsheetml/2006/main" count="93" uniqueCount="79">
  <si>
    <t>Wyszczególnienie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</si>
  <si>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</si>
  <si>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</si>
  <si>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</si>
  <si>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</si>
  <si>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</si>
  <si>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</si>
  <si>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</si>
  <si>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</si>
  <si>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</si>
  <si>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</si>
  <si>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</si>
  <si>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</si>
  <si>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</si>
  <si>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</si>
  <si>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</si>
  <si>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</si>
  <si>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</si>
  <si>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</si>
  <si>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</si>
  <si>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</si>
  <si>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</si>
  <si>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</si>
  <si>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</si>
  <si>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</si>
  <si>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</si>
  <si>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</si>
  <si>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</si>
  <si>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</si>
  <si>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</si>
  <si>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</si>
  <si>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</si>
  <si>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</si>
  <si>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</si>
  <si>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</si>
  <si>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</si>
  <si>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</si>
  <si>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</si>
  <si>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</si>
  <si>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</si>
  <si>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</si>
  <si>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</si>
  <si>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</si>
  <si>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</si>
  <si>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</si>
  <si>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</si>
  <si>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E1.1 krótkotermionowe</t>
  </si>
  <si>
    <t>E1.2 długoterminowe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</si>
  <si>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</si>
  <si>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</si>
  <si>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</si>
  <si>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</si>
  <si>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</si>
  <si>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</si>
  <si>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</si>
  <si>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</si>
  <si>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</si>
  <si>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</si>
  <si>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</si>
  <si>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</si>
  <si>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</si>
  <si>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</si>
  <si>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</si>
  <si>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</si>
  <si>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</si>
  <si>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</si>
  <si>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</si>
  <si>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</si>
  <si>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</si>
  <si>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</si>
  <si>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</si>
  <si>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</si>
  <si>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</si>
  <si>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sektora finansów publicznych (kol.5+6+7+8)</t>
  </si>
  <si>
    <t>wierzyciele i dłużnicy</t>
  </si>
  <si>
    <t>E1 papiery wartościowe (E1.1+E1.2)</t>
  </si>
  <si>
    <t>E2 kredyty i pożyczki (E2.1+E2.2)</t>
  </si>
  <si>
    <t>E4  wymagalne zobowiązania (E4.1+E4.2)</t>
  </si>
  <si>
    <t>N5.2 z tytułu podatków i składek na ubezpieczenia społ.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</si>
</sst>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\ h:mm;@"/>
  </numFmts>
  <fonts count="31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6"/>
      <name val="Arial"/>
      <family val="2"/>
      <charset val="238"/>
    </font>
    <font>
      <b/>
      <sz val="8"/>
      <name val="Arial CE"/>
      <charset val="238"/>
    </font>
    <font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75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7" fillId="0" borderId="0" xfId="37" applyFont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2" fillId="0" borderId="10" xfId="37" applyFont="1" applyBorder="1" applyAlignment="1">
      <alignment horizontal="left" vertical="center" wrapText="1"/>
    </xf>
    <xf numFmtId="0" fontId="2" fillId="0" borderId="10" xfId="37" applyFont="1" applyBorder="1" applyAlignment="1">
      <alignment horizontal="left" vertical="top" wrapText="1"/>
    </xf>
    <xf numFmtId="0" fontId="29" fillId="0" borderId="17" xfId="0" applyFont="1" applyFill="1" applyBorder="1" applyAlignment="1">
      <alignment vertical="top" wrapText="1"/>
    </xf>
    <xf numFmtId="0" fontId="8" fillId="20" borderId="10" xfId="37" applyFont="1" applyFill="1" applyBorder="1" applyAlignment="1">
      <alignment horizontal="left" vertical="top" wrapText="1"/>
    </xf>
    <xf numFmtId="0" fontId="2" fillId="20" borderId="10" xfId="37" applyFont="1" applyFill="1" applyBorder="1" applyAlignment="1">
      <alignment horizontal="left" vertical="top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horizontal="right" vertical="center" wrapText="1"/>
    </xf>
    <xf numFmtId="0" fontId="8" fillId="21" borderId="10" xfId="37" applyFont="1" applyFill="1" applyBorder="1" applyAlignment="1">
      <alignment horizontal="left" vertical="center" wrapText="1"/>
    </xf>
    <xf numFmtId="4" fontId="7" fillId="21" borderId="10" xfId="37" applyNumberFormat="1" applyFont="1" applyFill="1" applyBorder="1" applyAlignment="1">
      <alignment horizontal="right" vertical="center" wrapText="1"/>
    </xf>
    <xf numFmtId="0" fontId="28" fillId="21" borderId="17" xfId="0" applyFont="1" applyFill="1" applyBorder="1" applyAlignment="1">
      <alignment vertical="top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2" fillId="19" borderId="10" xfId="37" applyFont="1" applyFill="1" applyBorder="1" applyAlignment="1">
      <alignment horizontal="center" vertical="center" wrapText="1"/>
    </xf>
    <xf numFmtId="0" fontId="30" fillId="0" borderId="0" xfId="37" applyFont="1" applyAlignment="1">
      <alignment horizontal="center" vertical="center" wrapText="1"/>
    </xf>
    <xf numFmtId="0" fontId="2" fillId="19" borderId="19" xfId="37" applyFont="1" applyFill="1" applyBorder="1" applyAlignment="1">
      <alignment horizontal="center" vertical="center" wrapText="1"/>
    </xf>
    <xf numFmtId="0" fontId="2" fillId="19" borderId="20" xfId="37" applyFont="1" applyFill="1" applyBorder="1" applyAlignment="1">
      <alignment horizontal="center" vertical="center" wrapText="1"/>
    </xf>
    <xf numFmtId="0" fontId="2" fillId="19" borderId="12" xfId="37" applyFont="1" applyFill="1" applyBorder="1" applyAlignment="1">
      <alignment horizontal="center" vertical="center" wrapText="1"/>
    </xf>
    <xf numFmtId="0" fontId="2" fillId="19" borderId="10" xfId="37" applyNumberFormat="1" applyFont="1" applyFill="1" applyBorder="1" applyAlignment="1">
      <alignment horizontal="center" vertical="center" wrapText="1"/>
    </xf>
    <xf numFmtId="0" fontId="2" fillId="0" borderId="15" xfId="37" applyFont="1" applyFill="1" applyBorder="1" applyAlignment="1">
      <alignment horizontal="left" vertical="center" wrapText="1"/>
    </xf>
    <xf numFmtId="0" fontId="2" fillId="0" borderId="14" xfId="37" applyFont="1" applyFill="1" applyBorder="1" applyAlignment="1">
      <alignment horizontal="left" vertical="center" wrapText="1"/>
    </xf>
    <xf numFmtId="0" fontId="2" fillId="0" borderId="11" xfId="37" applyFont="1" applyFill="1" applyBorder="1" applyAlignment="1">
      <alignment horizontal="left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0" fontId="6" fillId="0" borderId="0" xfId="37" applyFont="1" applyAlignment="1">
      <alignment horizontal="lef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4" xfId="37" applyFont="1" applyFill="1" applyBorder="1" applyAlignment="1">
      <alignment horizontal="center" vertical="center" wrapText="1"/>
    </xf>
    <xf numFmtId="3" fontId="7" fillId="0" borderId="15" xfId="37" applyNumberFormat="1" applyFont="1" applyFill="1" applyBorder="1" applyAlignment="1">
      <alignment horizontal="right" vertical="center" wrapText="1"/>
    </xf>
    <xf numFmtId="3" fontId="7" fillId="0" borderId="11" xfId="37" applyNumberFormat="1" applyFont="1" applyFill="1" applyBorder="1" applyAlignment="1">
      <alignment horizontal="right" vertical="center" wrapText="1"/>
    </xf>
    <xf numFmtId="4" fontId="7" fillId="0" borderId="15" xfId="37" applyNumberFormat="1" applyFont="1" applyFill="1" applyBorder="1" applyAlignment="1">
      <alignment horizontal="right" vertical="center" wrapText="1"/>
    </xf>
    <xf numFmtId="4" fontId="7" fillId="0" borderId="11" xfId="37" applyNumberFormat="1" applyFont="1" applyFill="1" applyBorder="1" applyAlignment="1">
      <alignment horizontal="right" vertical="center" wrapText="1"/>
    </xf>
    <xf numFmtId="0" fontId="2" fillId="19" borderId="21" xfId="37" applyFont="1" applyFill="1" applyBorder="1" applyAlignment="1">
      <alignment horizontal="center" vertical="center" wrapText="1"/>
    </xf>
    <xf numFmtId="0" fontId="2" fillId="19" borderId="23" xfId="37" applyFont="1" applyFill="1" applyBorder="1" applyAlignment="1">
      <alignment horizontal="center" vertical="center" wrapText="1"/>
    </xf>
    <xf numFmtId="0" fontId="2" fillId="19" borderId="13" xfId="37" applyFont="1" applyFill="1" applyBorder="1" applyAlignment="1">
      <alignment horizontal="center" vertical="center" wrapText="1"/>
    </xf>
    <xf numFmtId="0" fontId="27" fillId="0" borderId="0" xfId="37" applyFont="1" applyFill="1" applyBorder="1" applyAlignment="1">
      <alignment horizontal="center" vertical="center" wrapText="1"/>
    </xf>
    <xf numFmtId="0" fontId="8" fillId="19" borderId="19" xfId="37" applyFont="1" applyFill="1" applyBorder="1" applyAlignment="1">
      <alignment horizontal="center" vertical="center" wrapText="1"/>
    </xf>
    <xf numFmtId="0" fontId="8" fillId="19" borderId="20" xfId="37" applyFont="1" applyFill="1" applyBorder="1" applyAlignment="1">
      <alignment horizontal="center" vertical="center" wrapText="1"/>
    </xf>
    <xf numFmtId="0" fontId="8" fillId="19" borderId="12" xfId="37" applyFont="1" applyFill="1" applyBorder="1" applyAlignment="1">
      <alignment horizontal="center" vertical="center" wrapText="1"/>
    </xf>
    <xf numFmtId="0" fontId="8" fillId="19" borderId="15" xfId="37" applyFont="1" applyFill="1" applyBorder="1" applyAlignment="1">
      <alignment horizontal="center" vertical="center" wrapText="1"/>
    </xf>
    <xf numFmtId="0" fontId="8" fillId="19" borderId="14" xfId="37" applyFont="1" applyFill="1" applyBorder="1" applyAlignment="1">
      <alignment horizontal="center" vertical="center" wrapText="1"/>
    </xf>
    <xf numFmtId="0" fontId="8" fillId="19" borderId="11" xfId="37" applyFont="1" applyFill="1" applyBorder="1" applyAlignment="1">
      <alignment horizontal="center" vertical="center" wrapText="1"/>
    </xf>
  </cellXfs>
  <cellStyles count="43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Explanatory Text" xfId="28" xr:uid="{00000000-0005-0000-0000-00001B000000}"/>
    <cellStyle name="Good" xfId="29" xr:uid="{00000000-0005-0000-0000-00001C000000}"/>
    <cellStyle name="Heading 1" xfId="30" xr:uid="{00000000-0005-0000-0000-00001D000000}"/>
    <cellStyle name="Heading 2" xfId="31" xr:uid="{00000000-0005-0000-0000-00001E000000}"/>
    <cellStyle name="Heading 3" xfId="32" xr:uid="{00000000-0005-0000-0000-00001F000000}"/>
    <cellStyle name="Heading 4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alny" xfId="0" builtinId="0"/>
    <cellStyle name="Normalny_Zeszyt1" xfId="37" xr:uid="{00000000-0005-0000-0000-000025000000}"/>
    <cellStyle name="Note" xfId="38" xr:uid="{00000000-0005-0000-0000-000026000000}"/>
    <cellStyle name="Output" xfId="39" xr:uid="{00000000-0005-0000-0000-000027000000}"/>
    <cellStyle name="Title" xfId="40" xr:uid="{00000000-0005-0000-0000-000028000000}"/>
    <cellStyle name="Total" xfId="41" xr:uid="{00000000-0005-0000-0000-000029000000}"/>
    <cellStyle name="Warning Text" xfId="42" xr:uid="{00000000-0005-0000-0000-00002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Q96"/>
  <sheetViews>
    <sheetView tabSelected="1" zoomScaleNormal="100" zoomScaleSheetLayoutView="50" workbookViewId="0">
      <selection sqref="A1:M1"/>
    </sheetView>
  </sheetViews>
  <sheetFormatPr defaultRowHeight="13.5" customHeight="1" x14ac:dyDescent="0.2"/>
  <cols>
    <col min="1" max="1" width="16.42578125" style="2" customWidth="1"/>
    <col min="2" max="2" width="14.7109375" style="2" customWidth="1"/>
    <col min="3" max="3" width="15.140625" style="2" customWidth="1"/>
    <col min="4" max="4" width="12.5703125" style="2" customWidth="1"/>
    <col min="5" max="5" width="11.42578125" style="2" customWidth="1"/>
    <col min="6" max="7" width="12.5703125" style="2" customWidth="1"/>
    <col min="8" max="8" width="12" style="2" customWidth="1"/>
    <col min="9" max="9" width="11.7109375" style="2" customWidth="1"/>
    <col min="10" max="10" width="13" style="2" customWidth="1"/>
    <col min="11" max="11" width="12.140625" style="2" customWidth="1"/>
    <col min="12" max="12" width="13.28515625" style="2" customWidth="1"/>
    <col min="13" max="13" width="12.85546875" style="2" customWidth="1"/>
    <col min="14" max="14" width="12" style="2" customWidth="1"/>
    <col min="15" max="17" width="11.7109375" style="2" customWidth="1"/>
    <col min="18" max="16384" width="9.140625" style="2"/>
  </cols>
  <sheetData>
    <row r="1" spans="1:17" ht="75" customHeight="1" x14ac:dyDescent="0.2">
      <c r="A1" s="33" t="str">
        <f>CONCATENATE("Informacja z wykonania budżetów jednostek samorządu terytorialnego za ",$C$94," ",$B$95," roku")</f>
        <v>Informacja z wykonania budżetów jednostek samorządu terytorialnego za I Kwartał 2025 roku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43" t="s">
        <v>60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5" spans="1:17" ht="13.5" customHeight="1" x14ac:dyDescent="0.2">
      <c r="B5" s="11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10"/>
      <c r="O5" s="10"/>
      <c r="P5" s="10"/>
      <c r="Q5" s="10"/>
    </row>
    <row r="6" spans="1:17" ht="13.5" customHeight="1" x14ac:dyDescent="0.2">
      <c r="A6" s="69" t="s">
        <v>0</v>
      </c>
      <c r="B6" s="34" t="s">
        <v>61</v>
      </c>
      <c r="C6" s="29" t="s">
        <v>65</v>
      </c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29" t="s">
        <v>64</v>
      </c>
      <c r="P6" s="30"/>
      <c r="Q6" s="31"/>
    </row>
    <row r="7" spans="1:17" ht="13.5" customHeight="1" x14ac:dyDescent="0.2">
      <c r="A7" s="70"/>
      <c r="B7" s="35"/>
      <c r="C7" s="36" t="s">
        <v>62</v>
      </c>
      <c r="D7" s="36" t="s">
        <v>73</v>
      </c>
      <c r="E7" s="36" t="s">
        <v>66</v>
      </c>
      <c r="F7" s="36" t="s">
        <v>67</v>
      </c>
      <c r="G7" s="36" t="s">
        <v>27</v>
      </c>
      <c r="H7" s="36" t="s">
        <v>28</v>
      </c>
      <c r="I7" s="66" t="s">
        <v>63</v>
      </c>
      <c r="J7" s="36" t="s">
        <v>16</v>
      </c>
      <c r="K7" s="36" t="s">
        <v>17</v>
      </c>
      <c r="L7" s="36" t="s">
        <v>18</v>
      </c>
      <c r="M7" s="36" t="s">
        <v>19</v>
      </c>
      <c r="N7" s="35" t="s">
        <v>20</v>
      </c>
      <c r="O7" s="32" t="s">
        <v>21</v>
      </c>
      <c r="P7" s="32" t="s">
        <v>22</v>
      </c>
      <c r="Q7" s="32" t="s">
        <v>23</v>
      </c>
    </row>
    <row r="8" spans="1:17" ht="13.5" customHeight="1" x14ac:dyDescent="0.2">
      <c r="A8" s="70"/>
      <c r="B8" s="35"/>
      <c r="C8" s="32"/>
      <c r="D8" s="32"/>
      <c r="E8" s="32"/>
      <c r="F8" s="32"/>
      <c r="G8" s="32"/>
      <c r="H8" s="32"/>
      <c r="I8" s="66"/>
      <c r="J8" s="32"/>
      <c r="K8" s="32"/>
      <c r="L8" s="32"/>
      <c r="M8" s="32"/>
      <c r="N8" s="35"/>
      <c r="O8" s="32"/>
      <c r="P8" s="32"/>
      <c r="Q8" s="32"/>
    </row>
    <row r="9" spans="1:17" ht="13.5" customHeight="1" x14ac:dyDescent="0.2">
      <c r="A9" s="70"/>
      <c r="B9" s="35"/>
      <c r="C9" s="32"/>
      <c r="D9" s="32"/>
      <c r="E9" s="32"/>
      <c r="F9" s="32"/>
      <c r="G9" s="32"/>
      <c r="H9" s="32"/>
      <c r="I9" s="66"/>
      <c r="J9" s="32"/>
      <c r="K9" s="32"/>
      <c r="L9" s="32"/>
      <c r="M9" s="32"/>
      <c r="N9" s="35"/>
      <c r="O9" s="32"/>
      <c r="P9" s="32"/>
      <c r="Q9" s="32"/>
    </row>
    <row r="10" spans="1:17" ht="11.25" customHeight="1" x14ac:dyDescent="0.2">
      <c r="A10" s="70"/>
      <c r="B10" s="35"/>
      <c r="C10" s="32"/>
      <c r="D10" s="32"/>
      <c r="E10" s="32"/>
      <c r="F10" s="32"/>
      <c r="G10" s="32"/>
      <c r="H10" s="32"/>
      <c r="I10" s="66"/>
      <c r="J10" s="32"/>
      <c r="K10" s="32"/>
      <c r="L10" s="32"/>
      <c r="M10" s="32"/>
      <c r="N10" s="35"/>
      <c r="O10" s="32"/>
      <c r="P10" s="32"/>
      <c r="Q10" s="32"/>
    </row>
    <row r="11" spans="1:17" ht="27.75" customHeight="1" x14ac:dyDescent="0.2">
      <c r="A11" s="71"/>
      <c r="B11" s="36"/>
      <c r="C11" s="32"/>
      <c r="D11" s="32"/>
      <c r="E11" s="32"/>
      <c r="F11" s="32"/>
      <c r="G11" s="32"/>
      <c r="H11" s="32"/>
      <c r="I11" s="67"/>
      <c r="J11" s="32"/>
      <c r="K11" s="32"/>
      <c r="L11" s="32"/>
      <c r="M11" s="32"/>
      <c r="N11" s="36"/>
      <c r="O11" s="32"/>
      <c r="P11" s="32"/>
      <c r="Q11" s="32"/>
    </row>
    <row r="12" spans="1:17" ht="13.5" customHeight="1" x14ac:dyDescent="0.2">
      <c r="A12" s="12">
        <v>1</v>
      </c>
      <c r="B12" s="12">
        <v>2</v>
      </c>
      <c r="C12" s="12">
        <v>3</v>
      </c>
      <c r="D12" s="12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  <c r="J12" s="12">
        <v>10</v>
      </c>
      <c r="K12" s="12">
        <v>11</v>
      </c>
      <c r="L12" s="12">
        <v>12</v>
      </c>
      <c r="M12" s="12">
        <v>13</v>
      </c>
      <c r="N12" s="12">
        <v>14</v>
      </c>
      <c r="O12" s="12">
        <v>15</v>
      </c>
      <c r="P12" s="12">
        <v>16</v>
      </c>
      <c r="Q12" s="12">
        <v>17</v>
      </c>
    </row>
    <row r="13" spans="1:17" ht="52.5" customHeight="1" x14ac:dyDescent="0.2">
      <c r="A13" s="19" t="s">
        <v>45</v>
      </c>
      <c r="B13" s="21">
        <f>108891568871.48</f>
        <v>108891568871.48</v>
      </c>
      <c r="C13" s="21">
        <f>83918399934.1</f>
        <v>83918399934.100006</v>
      </c>
      <c r="D13" s="21">
        <f>3632683369.4</f>
        <v>3632683369.4000001</v>
      </c>
      <c r="E13" s="21">
        <f>1097290203.52</f>
        <v>1097290203.52</v>
      </c>
      <c r="F13" s="21">
        <f>653093081.92</f>
        <v>653093081.91999996</v>
      </c>
      <c r="G13" s="21">
        <f>1880351488.98</f>
        <v>1880351488.98</v>
      </c>
      <c r="H13" s="21">
        <f>1948594.98</f>
        <v>1948594.98</v>
      </c>
      <c r="I13" s="21">
        <f>0</f>
        <v>0</v>
      </c>
      <c r="J13" s="21">
        <f>75846091050.18</f>
        <v>75846091050.179993</v>
      </c>
      <c r="K13" s="21">
        <f>3234473118.97</f>
        <v>3234473118.9699998</v>
      </c>
      <c r="L13" s="21">
        <f>1163715885.09</f>
        <v>1163715885.0899999</v>
      </c>
      <c r="M13" s="21">
        <f>23905569.2</f>
        <v>23905569.199999999</v>
      </c>
      <c r="N13" s="21">
        <f>17530941.26</f>
        <v>17530941.260000002</v>
      </c>
      <c r="O13" s="21">
        <f>24973168937.38</f>
        <v>24973168937.380001</v>
      </c>
      <c r="P13" s="21">
        <f>24953035403.98</f>
        <v>24953035403.98</v>
      </c>
      <c r="Q13" s="21">
        <f>20133533.4</f>
        <v>20133533.399999999</v>
      </c>
    </row>
    <row r="14" spans="1:17" ht="41.25" customHeight="1" x14ac:dyDescent="0.2">
      <c r="A14" s="19" t="s">
        <v>75</v>
      </c>
      <c r="B14" s="21">
        <f>9719440445.15</f>
        <v>9719440445.1499996</v>
      </c>
      <c r="C14" s="21">
        <f>9719440445.15</f>
        <v>9719440445.1499996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9506990445.15</f>
        <v>9506990445.1499996</v>
      </c>
      <c r="K14" s="21">
        <f>212450000</f>
        <v>212450000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22.5" x14ac:dyDescent="0.2">
      <c r="A15" s="16" t="s">
        <v>46</v>
      </c>
      <c r="B15" s="22">
        <f>2148778.41</f>
        <v>2148778.41</v>
      </c>
      <c r="C15" s="22">
        <f>2148778.41</f>
        <v>2148778.41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2148778.41</f>
        <v>2148778.41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23.25" customHeight="1" x14ac:dyDescent="0.2">
      <c r="A16" s="16" t="s">
        <v>47</v>
      </c>
      <c r="B16" s="22">
        <f>9717291666.74</f>
        <v>9717291666.7399998</v>
      </c>
      <c r="C16" s="22">
        <f>9717291666.74</f>
        <v>9717291666.7399998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9504841666.74</f>
        <v>9504841666.7399998</v>
      </c>
      <c r="K16" s="22">
        <f>212450000</f>
        <v>212450000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3" customHeight="1" x14ac:dyDescent="0.2">
      <c r="A17" s="19" t="s">
        <v>76</v>
      </c>
      <c r="B17" s="21">
        <f>99086151793.61</f>
        <v>99086151793.610001</v>
      </c>
      <c r="C17" s="21">
        <f>74112984809.63</f>
        <v>74112984809.630005</v>
      </c>
      <c r="D17" s="21">
        <f>3602996049.24</f>
        <v>3602996049.2399998</v>
      </c>
      <c r="E17" s="21">
        <f>1097068778.19</f>
        <v>1097068778.1900001</v>
      </c>
      <c r="F17" s="21">
        <f>653050512.85</f>
        <v>653050512.85000002</v>
      </c>
      <c r="G17" s="21">
        <f>1852876758.2</f>
        <v>1852876758.2</v>
      </c>
      <c r="H17" s="21">
        <f>0</f>
        <v>0</v>
      </c>
      <c r="I17" s="21">
        <f>0</f>
        <v>0</v>
      </c>
      <c r="J17" s="21">
        <f>66339100605.03</f>
        <v>66339100605.029999</v>
      </c>
      <c r="K17" s="21">
        <f>3021276832.97</f>
        <v>3021276832.9699998</v>
      </c>
      <c r="L17" s="21">
        <f>1132288324.69</f>
        <v>1132288324.6900001</v>
      </c>
      <c r="M17" s="21">
        <f>3358335.89</f>
        <v>3358335.89</v>
      </c>
      <c r="N17" s="21">
        <f>13964661.81</f>
        <v>13964661.810000001</v>
      </c>
      <c r="O17" s="21">
        <f>24973166983.98</f>
        <v>24973166983.98</v>
      </c>
      <c r="P17" s="21">
        <f>24953035403.98</f>
        <v>24953035403.98</v>
      </c>
      <c r="Q17" s="21">
        <f>20131580</f>
        <v>20131580</v>
      </c>
    </row>
    <row r="18" spans="1:17" ht="22.5" x14ac:dyDescent="0.2">
      <c r="A18" s="16" t="s">
        <v>48</v>
      </c>
      <c r="B18" s="22">
        <f>400057209</f>
        <v>400057209</v>
      </c>
      <c r="C18" s="22">
        <f>400057209</f>
        <v>400057209</v>
      </c>
      <c r="D18" s="22">
        <f>71386116.21</f>
        <v>71386116.209999993</v>
      </c>
      <c r="E18" s="22">
        <f>61386653.11</f>
        <v>61386653.109999999</v>
      </c>
      <c r="F18" s="22">
        <f>3945505</f>
        <v>3945505</v>
      </c>
      <c r="G18" s="22">
        <f>6053958.1</f>
        <v>6053958.0999999996</v>
      </c>
      <c r="H18" s="22">
        <f>0</f>
        <v>0</v>
      </c>
      <c r="I18" s="22">
        <f>0</f>
        <v>0</v>
      </c>
      <c r="J18" s="22">
        <f>326960111.82</f>
        <v>326960111.81999999</v>
      </c>
      <c r="K18" s="22">
        <f>245000</f>
        <v>245000</v>
      </c>
      <c r="L18" s="22">
        <f>245980.97</f>
        <v>245980.97</v>
      </c>
      <c r="M18" s="22">
        <f>20000</f>
        <v>20000</v>
      </c>
      <c r="N18" s="22">
        <f>1200000</f>
        <v>1200000</v>
      </c>
      <c r="O18" s="22">
        <f>0</f>
        <v>0</v>
      </c>
      <c r="P18" s="22">
        <f>0</f>
        <v>0</v>
      </c>
      <c r="Q18" s="22">
        <f>0</f>
        <v>0</v>
      </c>
    </row>
    <row r="19" spans="1:17" ht="24" customHeight="1" x14ac:dyDescent="0.2">
      <c r="A19" s="16" t="s">
        <v>49</v>
      </c>
      <c r="B19" s="22">
        <f>98686094584.61</f>
        <v>98686094584.610001</v>
      </c>
      <c r="C19" s="22">
        <f>73712927600.63</f>
        <v>73712927600.630005</v>
      </c>
      <c r="D19" s="22">
        <f>3531609933.03</f>
        <v>3531609933.0300002</v>
      </c>
      <c r="E19" s="22">
        <f>1035682125.08</f>
        <v>1035682125.08</v>
      </c>
      <c r="F19" s="22">
        <f>649105007.85</f>
        <v>649105007.85000002</v>
      </c>
      <c r="G19" s="22">
        <f>1846822800.1</f>
        <v>1846822800.0999999</v>
      </c>
      <c r="H19" s="22">
        <f>0</f>
        <v>0</v>
      </c>
      <c r="I19" s="22">
        <f>0</f>
        <v>0</v>
      </c>
      <c r="J19" s="22">
        <f>66012140493.21</f>
        <v>66012140493.209999</v>
      </c>
      <c r="K19" s="22">
        <f>3021031832.97</f>
        <v>3021031832.9699998</v>
      </c>
      <c r="L19" s="22">
        <f>1132042343.72</f>
        <v>1132042343.72</v>
      </c>
      <c r="M19" s="22">
        <f>3338335.89</f>
        <v>3338335.89</v>
      </c>
      <c r="N19" s="22">
        <f>12764661.81</f>
        <v>12764661.810000001</v>
      </c>
      <c r="O19" s="22">
        <f>24973166983.98</f>
        <v>24973166983.98</v>
      </c>
      <c r="P19" s="22">
        <f>24953035403.98</f>
        <v>24953035403.98</v>
      </c>
      <c r="Q19" s="22">
        <f>20131580</f>
        <v>20131580</v>
      </c>
    </row>
    <row r="20" spans="1:17" ht="24.75" customHeight="1" x14ac:dyDescent="0.2">
      <c r="A20" s="26" t="s">
        <v>50</v>
      </c>
      <c r="B20" s="27">
        <f>13000000</f>
        <v>13000000</v>
      </c>
      <c r="C20" s="27">
        <f>13000000</f>
        <v>13000000</v>
      </c>
      <c r="D20" s="27">
        <f>13000000</f>
        <v>13000000</v>
      </c>
      <c r="E20" s="27">
        <f>0</f>
        <v>0</v>
      </c>
      <c r="F20" s="27">
        <f>0</f>
        <v>0</v>
      </c>
      <c r="G20" s="27">
        <f>13000000</f>
        <v>13000000</v>
      </c>
      <c r="H20" s="27">
        <f>0</f>
        <v>0</v>
      </c>
      <c r="I20" s="27">
        <f>0</f>
        <v>0</v>
      </c>
      <c r="J20" s="27">
        <f>0</f>
        <v>0</v>
      </c>
      <c r="K20" s="27">
        <f>0</f>
        <v>0</v>
      </c>
      <c r="L20" s="27">
        <f>0</f>
        <v>0</v>
      </c>
      <c r="M20" s="27">
        <f>0</f>
        <v>0</v>
      </c>
      <c r="N20" s="27">
        <f>0</f>
        <v>0</v>
      </c>
      <c r="O20" s="27">
        <f>0</f>
        <v>0</v>
      </c>
      <c r="P20" s="27">
        <f>0</f>
        <v>0</v>
      </c>
      <c r="Q20" s="27">
        <f>0</f>
        <v>0</v>
      </c>
    </row>
    <row r="21" spans="1:17" ht="38.25" customHeight="1" x14ac:dyDescent="0.2">
      <c r="A21" s="20" t="s">
        <v>77</v>
      </c>
      <c r="B21" s="21">
        <f>72976632.72</f>
        <v>72976632.719999999</v>
      </c>
      <c r="C21" s="21">
        <f>72974679.32</f>
        <v>72974679.319999993</v>
      </c>
      <c r="D21" s="21">
        <f>16687320.16</f>
        <v>16687320.16</v>
      </c>
      <c r="E21" s="21">
        <f>221425.33</f>
        <v>221425.33</v>
      </c>
      <c r="F21" s="21">
        <f>42569.07</f>
        <v>42569.07</v>
      </c>
      <c r="G21" s="21">
        <f>14474730.78</f>
        <v>14474730.779999999</v>
      </c>
      <c r="H21" s="21">
        <f>1948594.98</f>
        <v>1948594.98</v>
      </c>
      <c r="I21" s="21">
        <f>0</f>
        <v>0</v>
      </c>
      <c r="J21" s="21">
        <f>0</f>
        <v>0</v>
      </c>
      <c r="K21" s="21">
        <f>746286</f>
        <v>746286</v>
      </c>
      <c r="L21" s="21">
        <f>31427560.4</f>
        <v>31427560.399999999</v>
      </c>
      <c r="M21" s="21">
        <f>20547233.31</f>
        <v>20547233.309999999</v>
      </c>
      <c r="N21" s="21">
        <f>3566279.45</f>
        <v>3566279.45</v>
      </c>
      <c r="O21" s="21">
        <f>1953.4</f>
        <v>1953.4</v>
      </c>
      <c r="P21" s="21">
        <f>0</f>
        <v>0</v>
      </c>
      <c r="Q21" s="21">
        <f>1953.4</f>
        <v>1953.4</v>
      </c>
    </row>
    <row r="22" spans="1:17" ht="33" customHeight="1" x14ac:dyDescent="0.2">
      <c r="A22" s="17" t="s">
        <v>51</v>
      </c>
      <c r="B22" s="22">
        <f>44103274.8</f>
        <v>44103274.799999997</v>
      </c>
      <c r="C22" s="22">
        <f>44103274.8</f>
        <v>44103274.799999997</v>
      </c>
      <c r="D22" s="22">
        <f>1935668.75</f>
        <v>1935668.75</v>
      </c>
      <c r="E22" s="22">
        <f>1716.43</f>
        <v>1716.43</v>
      </c>
      <c r="F22" s="22">
        <f>0</f>
        <v>0</v>
      </c>
      <c r="G22" s="22">
        <f>1933952.32</f>
        <v>1933952.32</v>
      </c>
      <c r="H22" s="22">
        <f>0</f>
        <v>0</v>
      </c>
      <c r="I22" s="22">
        <f>0</f>
        <v>0</v>
      </c>
      <c r="J22" s="22">
        <f>0</f>
        <v>0</v>
      </c>
      <c r="K22" s="22">
        <f>736254.93</f>
        <v>736254.93</v>
      </c>
      <c r="L22" s="22">
        <f>22070278.12</f>
        <v>22070278.120000001</v>
      </c>
      <c r="M22" s="22">
        <f>15906254.27</f>
        <v>15906254.27</v>
      </c>
      <c r="N22" s="22">
        <f>3454818.73</f>
        <v>3454818.73</v>
      </c>
      <c r="O22" s="22">
        <f>0</f>
        <v>0</v>
      </c>
      <c r="P22" s="22">
        <f>0</f>
        <v>0</v>
      </c>
      <c r="Q22" s="22">
        <f>0</f>
        <v>0</v>
      </c>
    </row>
    <row r="23" spans="1:17" ht="23.25" customHeight="1" x14ac:dyDescent="0.2">
      <c r="A23" s="17" t="s">
        <v>52</v>
      </c>
      <c r="B23" s="22">
        <f>28873357.92</f>
        <v>28873357.920000002</v>
      </c>
      <c r="C23" s="22">
        <f>28871404.52</f>
        <v>28871404.52</v>
      </c>
      <c r="D23" s="22">
        <f>14751651.41</f>
        <v>14751651.41</v>
      </c>
      <c r="E23" s="22">
        <f>219708.9</f>
        <v>219708.9</v>
      </c>
      <c r="F23" s="22">
        <f>42569.07</f>
        <v>42569.07</v>
      </c>
      <c r="G23" s="22">
        <f>12540778.46</f>
        <v>12540778.460000001</v>
      </c>
      <c r="H23" s="22">
        <f>1948594.98</f>
        <v>1948594.98</v>
      </c>
      <c r="I23" s="22">
        <f>0</f>
        <v>0</v>
      </c>
      <c r="J23" s="22">
        <f>0</f>
        <v>0</v>
      </c>
      <c r="K23" s="22">
        <f>10031.07</f>
        <v>10031.07</v>
      </c>
      <c r="L23" s="22">
        <f>9357282.28</f>
        <v>9357282.2799999993</v>
      </c>
      <c r="M23" s="22">
        <f>4640979.04</f>
        <v>4640979.04</v>
      </c>
      <c r="N23" s="22">
        <f>111460.72</f>
        <v>111460.72</v>
      </c>
      <c r="O23" s="22">
        <f>1953.4</f>
        <v>1953.4</v>
      </c>
      <c r="P23" s="22">
        <f>0</f>
        <v>0</v>
      </c>
      <c r="Q23" s="22">
        <f>1953.4</f>
        <v>1953.4</v>
      </c>
    </row>
    <row r="24" spans="1:17" ht="19.5" customHeight="1" x14ac:dyDescent="0.2">
      <c r="A24" s="13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</row>
    <row r="25" spans="1:17" ht="19.5" customHeight="1" x14ac:dyDescent="0.2">
      <c r="A25" s="13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</row>
    <row r="26" spans="1:17" ht="19.5" customHeight="1" x14ac:dyDescent="0.2">
      <c r="A26" s="13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ht="19.5" customHeight="1" x14ac:dyDescent="0.2">
      <c r="A27" s="13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ht="19.5" customHeight="1" x14ac:dyDescent="0.2">
      <c r="A28" s="13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ht="19.5" customHeight="1" x14ac:dyDescent="0.2">
      <c r="A29" s="13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ht="45.75" customHeight="1" x14ac:dyDescent="0.2">
      <c r="A30" s="33" t="str">
        <f>CONCATENATE("Informacja z wykonania budżetów jednostek samorządu terytorialnego za ",$C$94," ",$B$95," roku")</f>
        <v>Informacja z wykonania budżetów jednostek samorządu terytorialnego za I Kwartał 2025 roku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</row>
    <row r="32" spans="1:17" ht="13.5" customHeight="1" x14ac:dyDescent="0.2">
      <c r="A32" s="43" t="s">
        <v>11</v>
      </c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</row>
    <row r="34" spans="1:17" ht="13.5" customHeight="1" x14ac:dyDescent="0.2">
      <c r="A34" s="69" t="s">
        <v>0</v>
      </c>
      <c r="B34" s="34" t="s">
        <v>12</v>
      </c>
      <c r="C34" s="72" t="s">
        <v>14</v>
      </c>
      <c r="D34" s="73"/>
      <c r="E34" s="73"/>
      <c r="F34" s="73"/>
      <c r="G34" s="73"/>
      <c r="H34" s="73"/>
      <c r="I34" s="73"/>
      <c r="J34" s="73"/>
      <c r="K34" s="73"/>
      <c r="L34" s="73"/>
      <c r="M34" s="73"/>
      <c r="N34" s="74"/>
      <c r="O34" s="72" t="s">
        <v>24</v>
      </c>
      <c r="P34" s="73"/>
      <c r="Q34" s="74"/>
    </row>
    <row r="35" spans="1:17" ht="13.5" customHeight="1" x14ac:dyDescent="0.2">
      <c r="A35" s="70"/>
      <c r="B35" s="35"/>
      <c r="C35" s="35" t="s">
        <v>13</v>
      </c>
      <c r="D35" s="32" t="s">
        <v>15</v>
      </c>
      <c r="E35" s="32" t="s">
        <v>25</v>
      </c>
      <c r="F35" s="32" t="s">
        <v>26</v>
      </c>
      <c r="G35" s="32" t="s">
        <v>70</v>
      </c>
      <c r="H35" s="32" t="s">
        <v>28</v>
      </c>
      <c r="I35" s="32" t="s">
        <v>1</v>
      </c>
      <c r="J35" s="32" t="s">
        <v>16</v>
      </c>
      <c r="K35" s="32" t="s">
        <v>17</v>
      </c>
      <c r="L35" s="32" t="s">
        <v>18</v>
      </c>
      <c r="M35" s="32" t="s">
        <v>19</v>
      </c>
      <c r="N35" s="37" t="s">
        <v>20</v>
      </c>
      <c r="O35" s="32" t="s">
        <v>21</v>
      </c>
      <c r="P35" s="32" t="s">
        <v>22</v>
      </c>
      <c r="Q35" s="34" t="s">
        <v>23</v>
      </c>
    </row>
    <row r="36" spans="1:17" ht="13.5" customHeight="1" x14ac:dyDescent="0.2">
      <c r="A36" s="70"/>
      <c r="B36" s="35"/>
      <c r="C36" s="35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7"/>
      <c r="O36" s="32"/>
      <c r="P36" s="32"/>
      <c r="Q36" s="35"/>
    </row>
    <row r="37" spans="1:17" ht="11.25" customHeight="1" x14ac:dyDescent="0.2">
      <c r="A37" s="70"/>
      <c r="B37" s="35"/>
      <c r="C37" s="35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7"/>
      <c r="O37" s="32"/>
      <c r="P37" s="32"/>
      <c r="Q37" s="35"/>
    </row>
    <row r="38" spans="1:17" ht="32.25" customHeight="1" x14ac:dyDescent="0.2">
      <c r="A38" s="71"/>
      <c r="B38" s="36"/>
      <c r="C38" s="36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7"/>
      <c r="O38" s="32"/>
      <c r="P38" s="32"/>
      <c r="Q38" s="36"/>
    </row>
    <row r="39" spans="1:17" ht="13.5" customHeight="1" x14ac:dyDescent="0.2">
      <c r="A39" s="12">
        <v>1</v>
      </c>
      <c r="B39" s="12">
        <v>2</v>
      </c>
      <c r="C39" s="12">
        <v>3</v>
      </c>
      <c r="D39" s="12">
        <v>4</v>
      </c>
      <c r="E39" s="12">
        <v>5</v>
      </c>
      <c r="F39" s="12">
        <v>6</v>
      </c>
      <c r="G39" s="12">
        <v>7</v>
      </c>
      <c r="H39" s="12">
        <v>8</v>
      </c>
      <c r="I39" s="12">
        <v>9</v>
      </c>
      <c r="J39" s="12">
        <v>10</v>
      </c>
      <c r="K39" s="12">
        <v>11</v>
      </c>
      <c r="L39" s="12">
        <v>12</v>
      </c>
      <c r="M39" s="12">
        <v>13</v>
      </c>
      <c r="N39" s="12">
        <v>14</v>
      </c>
      <c r="O39" s="12">
        <v>15</v>
      </c>
      <c r="P39" s="12">
        <v>16</v>
      </c>
      <c r="Q39" s="12">
        <v>17</v>
      </c>
    </row>
    <row r="40" spans="1:17" ht="35.25" customHeight="1" x14ac:dyDescent="0.2">
      <c r="A40" s="28" t="s">
        <v>40</v>
      </c>
      <c r="B40" s="23">
        <f>157945000.26</f>
        <v>157945000.25999999</v>
      </c>
      <c r="C40" s="23">
        <f>157945000.26</f>
        <v>157945000.25999999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157730566.66</f>
        <v>157730566.66</v>
      </c>
      <c r="K40" s="23">
        <f>0</f>
        <v>0</v>
      </c>
      <c r="L40" s="23">
        <f>214433.6</f>
        <v>214433.6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8.5" customHeight="1" x14ac:dyDescent="0.2">
      <c r="A41" s="18" t="s">
        <v>29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8.5" customHeight="1" x14ac:dyDescent="0.2">
      <c r="A42" s="18" t="s">
        <v>30</v>
      </c>
      <c r="B42" s="24">
        <f>157945000.26</f>
        <v>157945000.25999999</v>
      </c>
      <c r="C42" s="24">
        <f>157945000.26</f>
        <v>157945000.25999999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157730566.66</f>
        <v>157730566.66</v>
      </c>
      <c r="K42" s="24">
        <f>0</f>
        <v>0</v>
      </c>
      <c r="L42" s="24">
        <f>214433.6</f>
        <v>214433.6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8.5" customHeight="1" x14ac:dyDescent="0.2">
      <c r="A43" s="28" t="s">
        <v>41</v>
      </c>
      <c r="B43" s="23">
        <f>1801844146.27</f>
        <v>1801844146.27</v>
      </c>
      <c r="C43" s="23">
        <f>1801830470.05</f>
        <v>1801830470.05</v>
      </c>
      <c r="D43" s="23">
        <f>970035942.24</f>
        <v>970035942.24000001</v>
      </c>
      <c r="E43" s="23">
        <f>157955.53</f>
        <v>157955.53</v>
      </c>
      <c r="F43" s="23">
        <f>3033401.9</f>
        <v>3033401.9</v>
      </c>
      <c r="G43" s="23">
        <f>962542000.81</f>
        <v>962542000.80999994</v>
      </c>
      <c r="H43" s="23">
        <f>4302584</f>
        <v>4302584</v>
      </c>
      <c r="I43" s="23">
        <f>0</f>
        <v>0</v>
      </c>
      <c r="J43" s="23">
        <f>4268124.16</f>
        <v>4268124.1600000001</v>
      </c>
      <c r="K43" s="23">
        <f>0</f>
        <v>0</v>
      </c>
      <c r="L43" s="23">
        <f>467972308.32</f>
        <v>467972308.31999999</v>
      </c>
      <c r="M43" s="23">
        <f>318456913.81</f>
        <v>318456913.81</v>
      </c>
      <c r="N43" s="23">
        <f>41097181.52</f>
        <v>41097181.520000003</v>
      </c>
      <c r="O43" s="23">
        <f>13676.22</f>
        <v>13676.22</v>
      </c>
      <c r="P43" s="23">
        <f>13676.22</f>
        <v>13676.22</v>
      </c>
      <c r="Q43" s="23">
        <f>0</f>
        <v>0</v>
      </c>
    </row>
    <row r="44" spans="1:17" ht="32.25" customHeight="1" x14ac:dyDescent="0.2">
      <c r="A44" s="18" t="s">
        <v>31</v>
      </c>
      <c r="B44" s="24">
        <f>201916705.8</f>
        <v>201916705.80000001</v>
      </c>
      <c r="C44" s="24">
        <f>201916705.8</f>
        <v>201916705.80000001</v>
      </c>
      <c r="D44" s="24">
        <f>107022620.15</f>
        <v>107022620.15000001</v>
      </c>
      <c r="E44" s="24">
        <f>28984</f>
        <v>28984</v>
      </c>
      <c r="F44" s="24">
        <f>3000000</f>
        <v>3000000</v>
      </c>
      <c r="G44" s="24">
        <f>99693636.15</f>
        <v>99693636.150000006</v>
      </c>
      <c r="H44" s="24">
        <f>4300000</f>
        <v>4300000</v>
      </c>
      <c r="I44" s="24">
        <f>0</f>
        <v>0</v>
      </c>
      <c r="J44" s="24">
        <f>4101454.3</f>
        <v>4101454.3</v>
      </c>
      <c r="K44" s="24">
        <f>0</f>
        <v>0</v>
      </c>
      <c r="L44" s="24">
        <f>55713980.31</f>
        <v>55713980.310000002</v>
      </c>
      <c r="M44" s="24">
        <f>24405553.4</f>
        <v>24405553.399999999</v>
      </c>
      <c r="N44" s="24">
        <f>10673097.64</f>
        <v>10673097.640000001</v>
      </c>
      <c r="O44" s="24">
        <f>0</f>
        <v>0</v>
      </c>
      <c r="P44" s="24">
        <f>0</f>
        <v>0</v>
      </c>
      <c r="Q44" s="24">
        <f>0</f>
        <v>0</v>
      </c>
    </row>
    <row r="45" spans="1:17" ht="32.25" customHeight="1" x14ac:dyDescent="0.2">
      <c r="A45" s="18" t="s">
        <v>32</v>
      </c>
      <c r="B45" s="24">
        <f>1599927440.47</f>
        <v>1599927440.47</v>
      </c>
      <c r="C45" s="24">
        <f>1599913764.25</f>
        <v>1599913764.25</v>
      </c>
      <c r="D45" s="24">
        <f>863013322.09</f>
        <v>863013322.09000003</v>
      </c>
      <c r="E45" s="24">
        <f>128971.53</f>
        <v>128971.53</v>
      </c>
      <c r="F45" s="24">
        <f>33401.9</f>
        <v>33401.9</v>
      </c>
      <c r="G45" s="24">
        <f>862848364.66</f>
        <v>862848364.65999997</v>
      </c>
      <c r="H45" s="24">
        <f>2584</f>
        <v>2584</v>
      </c>
      <c r="I45" s="24">
        <f>0</f>
        <v>0</v>
      </c>
      <c r="J45" s="24">
        <f>166669.86</f>
        <v>166669.85999999999</v>
      </c>
      <c r="K45" s="24">
        <f>0</f>
        <v>0</v>
      </c>
      <c r="L45" s="24">
        <f>412258328.01</f>
        <v>412258328.00999999</v>
      </c>
      <c r="M45" s="24">
        <f>294051360.41</f>
        <v>294051360.41000003</v>
      </c>
      <c r="N45" s="24">
        <f>30424083.88</f>
        <v>30424083.879999999</v>
      </c>
      <c r="O45" s="24">
        <f>13676.22</f>
        <v>13676.22</v>
      </c>
      <c r="P45" s="24">
        <f>13676.22</f>
        <v>13676.22</v>
      </c>
      <c r="Q45" s="24">
        <f>0</f>
        <v>0</v>
      </c>
    </row>
    <row r="46" spans="1:17" ht="35.25" customHeight="1" x14ac:dyDescent="0.2">
      <c r="A46" s="28" t="s">
        <v>42</v>
      </c>
      <c r="B46" s="23">
        <f>84045393325.73</f>
        <v>84045393325.729996</v>
      </c>
      <c r="C46" s="23">
        <f>84045132274.98</f>
        <v>84045132274.979996</v>
      </c>
      <c r="D46" s="23">
        <f>24561120.85</f>
        <v>24561120.850000001</v>
      </c>
      <c r="E46" s="23">
        <f>498757.57</f>
        <v>498757.57</v>
      </c>
      <c r="F46" s="23">
        <f>50890.16</f>
        <v>50890.16</v>
      </c>
      <c r="G46" s="23">
        <f>24011473.12</f>
        <v>24011473.120000001</v>
      </c>
      <c r="H46" s="23">
        <f>0</f>
        <v>0</v>
      </c>
      <c r="I46" s="23">
        <f>13385964.17</f>
        <v>13385964.17</v>
      </c>
      <c r="J46" s="23">
        <f>83975957465.35</f>
        <v>83975957465.350006</v>
      </c>
      <c r="K46" s="23">
        <f>12446126.33</f>
        <v>12446126.33</v>
      </c>
      <c r="L46" s="23">
        <f>18470227.2</f>
        <v>18470227.199999999</v>
      </c>
      <c r="M46" s="23">
        <f>216439.05</f>
        <v>216439.05</v>
      </c>
      <c r="N46" s="23">
        <f>94932.03</f>
        <v>94932.03</v>
      </c>
      <c r="O46" s="23">
        <f>261050.75</f>
        <v>261050.75</v>
      </c>
      <c r="P46" s="23">
        <f>261050.75</f>
        <v>261050.75</v>
      </c>
      <c r="Q46" s="23">
        <f>0</f>
        <v>0</v>
      </c>
    </row>
    <row r="47" spans="1:17" ht="28.5" customHeight="1" x14ac:dyDescent="0.2">
      <c r="A47" s="18" t="s">
        <v>33</v>
      </c>
      <c r="B47" s="24">
        <f>19136320.27</f>
        <v>19136320.27</v>
      </c>
      <c r="C47" s="24">
        <f>19136320.27</f>
        <v>19136320.27</v>
      </c>
      <c r="D47" s="24">
        <f>19136320.27</f>
        <v>19136320.27</v>
      </c>
      <c r="E47" s="24">
        <f>0</f>
        <v>0</v>
      </c>
      <c r="F47" s="24">
        <f>0</f>
        <v>0</v>
      </c>
      <c r="G47" s="24">
        <f>19136320.27</f>
        <v>19136320.27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8.5" customHeight="1" x14ac:dyDescent="0.2">
      <c r="A48" s="18" t="s">
        <v>34</v>
      </c>
      <c r="B48" s="24">
        <f>55744952581.46</f>
        <v>55744952581.459999</v>
      </c>
      <c r="C48" s="24">
        <f>55744952581.46</f>
        <v>55744952581.459999</v>
      </c>
      <c r="D48" s="24">
        <f>4761865.78</f>
        <v>4761865.78</v>
      </c>
      <c r="E48" s="24">
        <f>87801.01</f>
        <v>87801.01</v>
      </c>
      <c r="F48" s="24">
        <f>3300</f>
        <v>3300</v>
      </c>
      <c r="G48" s="24">
        <f>4670764.77</f>
        <v>4670764.7699999996</v>
      </c>
      <c r="H48" s="24">
        <f>0</f>
        <v>0</v>
      </c>
      <c r="I48" s="24">
        <f>13302179.64</f>
        <v>13302179.640000001</v>
      </c>
      <c r="J48" s="24">
        <f>55719606637.4</f>
        <v>55719606637.400002</v>
      </c>
      <c r="K48" s="24">
        <f>429755.11</f>
        <v>429755.11</v>
      </c>
      <c r="L48" s="24">
        <f>6715156.71</f>
        <v>6715156.71</v>
      </c>
      <c r="M48" s="24">
        <f>42703.7</f>
        <v>42703.7</v>
      </c>
      <c r="N48" s="24">
        <f>94283.12</f>
        <v>94283.12</v>
      </c>
      <c r="O48" s="24">
        <f>0</f>
        <v>0</v>
      </c>
      <c r="P48" s="24">
        <f>0</f>
        <v>0</v>
      </c>
      <c r="Q48" s="24">
        <f>0</f>
        <v>0</v>
      </c>
    </row>
    <row r="49" spans="1:17" ht="28.5" customHeight="1" x14ac:dyDescent="0.2">
      <c r="A49" s="18" t="s">
        <v>35</v>
      </c>
      <c r="B49" s="24">
        <f>28281304424</f>
        <v>28281304424</v>
      </c>
      <c r="C49" s="24">
        <f>28281043373.25</f>
        <v>28281043373.25</v>
      </c>
      <c r="D49" s="24">
        <f>662934.8</f>
        <v>662934.80000000005</v>
      </c>
      <c r="E49" s="24">
        <f>410956.56</f>
        <v>410956.56</v>
      </c>
      <c r="F49" s="24">
        <f>47590.16</f>
        <v>47590.16</v>
      </c>
      <c r="G49" s="24">
        <f>204388.08</f>
        <v>204388.08</v>
      </c>
      <c r="H49" s="24">
        <f>0</f>
        <v>0</v>
      </c>
      <c r="I49" s="24">
        <f>83784.53</f>
        <v>83784.53</v>
      </c>
      <c r="J49" s="24">
        <f>28256350827.95</f>
        <v>28256350827.950001</v>
      </c>
      <c r="K49" s="24">
        <f>12016371.22</f>
        <v>12016371.220000001</v>
      </c>
      <c r="L49" s="24">
        <f>11755070.49</f>
        <v>11755070.49</v>
      </c>
      <c r="M49" s="24">
        <f>173735.35</f>
        <v>173735.35</v>
      </c>
      <c r="N49" s="24">
        <f>648.91</f>
        <v>648.91</v>
      </c>
      <c r="O49" s="24">
        <f>261050.75</f>
        <v>261050.75</v>
      </c>
      <c r="P49" s="24">
        <f>261050.75</f>
        <v>261050.75</v>
      </c>
      <c r="Q49" s="24">
        <f>0</f>
        <v>0</v>
      </c>
    </row>
    <row r="50" spans="1:17" ht="35.25" customHeight="1" x14ac:dyDescent="0.2">
      <c r="A50" s="28" t="s">
        <v>43</v>
      </c>
      <c r="B50" s="23">
        <f>29828107236.01</f>
        <v>29828107236.009998</v>
      </c>
      <c r="C50" s="23">
        <f>29741544962.82</f>
        <v>29741544962.82</v>
      </c>
      <c r="D50" s="23">
        <f>472532746.64</f>
        <v>472532746.63999999</v>
      </c>
      <c r="E50" s="23">
        <f>139785814.24</f>
        <v>139785814.24000001</v>
      </c>
      <c r="F50" s="23">
        <f>10385285.92</f>
        <v>10385285.92</v>
      </c>
      <c r="G50" s="23">
        <f>320980352.06</f>
        <v>320980352.06</v>
      </c>
      <c r="H50" s="23">
        <f>1381294.42</f>
        <v>1381294.42</v>
      </c>
      <c r="I50" s="23">
        <f>2</f>
        <v>2</v>
      </c>
      <c r="J50" s="23">
        <f>20759699.03</f>
        <v>20759699.030000001</v>
      </c>
      <c r="K50" s="23">
        <f>38299210.41</f>
        <v>38299210.409999996</v>
      </c>
      <c r="L50" s="23">
        <f>7583718353.79</f>
        <v>7583718353.79</v>
      </c>
      <c r="M50" s="23">
        <f>21416630717.6</f>
        <v>21416630717.599998</v>
      </c>
      <c r="N50" s="23">
        <f>209604233.35</f>
        <v>209604233.34999999</v>
      </c>
      <c r="O50" s="23">
        <f>86562273.19</f>
        <v>86562273.189999998</v>
      </c>
      <c r="P50" s="23">
        <f>33249979.48</f>
        <v>33249979.48</v>
      </c>
      <c r="Q50" s="23">
        <f>53312293.71</f>
        <v>53312293.710000001</v>
      </c>
    </row>
    <row r="51" spans="1:17" ht="28.5" customHeight="1" x14ac:dyDescent="0.2">
      <c r="A51" s="18" t="s">
        <v>36</v>
      </c>
      <c r="B51" s="24">
        <f>7084439707.86</f>
        <v>7084439707.8599997</v>
      </c>
      <c r="C51" s="24">
        <f>7052021440.39</f>
        <v>7052021440.3900003</v>
      </c>
      <c r="D51" s="24">
        <f>77321190.36</f>
        <v>77321190.359999999</v>
      </c>
      <c r="E51" s="24">
        <f>2020624.56</f>
        <v>2020624.56</v>
      </c>
      <c r="F51" s="24">
        <f>3063682.13</f>
        <v>3063682.13</v>
      </c>
      <c r="G51" s="24">
        <f>71593422.42</f>
        <v>71593422.420000002</v>
      </c>
      <c r="H51" s="24">
        <f>643461.25</f>
        <v>643461.25</v>
      </c>
      <c r="I51" s="24">
        <f>0</f>
        <v>0</v>
      </c>
      <c r="J51" s="24">
        <f>773990.09</f>
        <v>773990.09</v>
      </c>
      <c r="K51" s="24">
        <f>1107425.77</f>
        <v>1107425.77</v>
      </c>
      <c r="L51" s="24">
        <f>1201831194.57</f>
        <v>1201831194.5699999</v>
      </c>
      <c r="M51" s="24">
        <f>5688703751.37</f>
        <v>5688703751.3699999</v>
      </c>
      <c r="N51" s="24">
        <f>82283888.23</f>
        <v>82283888.230000004</v>
      </c>
      <c r="O51" s="24">
        <f>32418267.47</f>
        <v>32418267.469999999</v>
      </c>
      <c r="P51" s="24">
        <f>1039965.4</f>
        <v>1039965.4</v>
      </c>
      <c r="Q51" s="24">
        <f>31378302.07</f>
        <v>31378302.07</v>
      </c>
    </row>
    <row r="52" spans="1:17" ht="28.5" customHeight="1" x14ac:dyDescent="0.2">
      <c r="A52" s="18" t="s">
        <v>37</v>
      </c>
      <c r="B52" s="24">
        <f>22743667528.15</f>
        <v>22743667528.150002</v>
      </c>
      <c r="C52" s="24">
        <f>22689523522.43</f>
        <v>22689523522.43</v>
      </c>
      <c r="D52" s="24">
        <f>395211556.28</f>
        <v>395211556.27999997</v>
      </c>
      <c r="E52" s="24">
        <f>137765189.68</f>
        <v>137765189.68000001</v>
      </c>
      <c r="F52" s="24">
        <f>7321603.79</f>
        <v>7321603.79</v>
      </c>
      <c r="G52" s="24">
        <f>249386929.64</f>
        <v>249386929.63999999</v>
      </c>
      <c r="H52" s="24">
        <f>737833.17</f>
        <v>737833.17</v>
      </c>
      <c r="I52" s="24">
        <f>2</f>
        <v>2</v>
      </c>
      <c r="J52" s="24">
        <f>19985708.94</f>
        <v>19985708.940000001</v>
      </c>
      <c r="K52" s="24">
        <f>37191784.64</f>
        <v>37191784.640000001</v>
      </c>
      <c r="L52" s="24">
        <f>6381887159.22</f>
        <v>6381887159.2200003</v>
      </c>
      <c r="M52" s="24">
        <f>15727926966.23</f>
        <v>15727926966.23</v>
      </c>
      <c r="N52" s="24">
        <f>127320345.12</f>
        <v>127320345.12</v>
      </c>
      <c r="O52" s="24">
        <f>54144005.72</f>
        <v>54144005.719999999</v>
      </c>
      <c r="P52" s="24">
        <f>32210014.08</f>
        <v>32210014.079999998</v>
      </c>
      <c r="Q52" s="24">
        <f>21933991.64</f>
        <v>21933991.640000001</v>
      </c>
    </row>
    <row r="53" spans="1:17" ht="35.25" customHeight="1" x14ac:dyDescent="0.2">
      <c r="A53" s="28" t="s">
        <v>44</v>
      </c>
      <c r="B53" s="23">
        <f>41065829213.35</f>
        <v>41065829213.349998</v>
      </c>
      <c r="C53" s="23">
        <f>41031734673.39</f>
        <v>41031734673.389999</v>
      </c>
      <c r="D53" s="23">
        <f>2354611429.03</f>
        <v>2354611429.0300002</v>
      </c>
      <c r="E53" s="23">
        <f>965668587.59</f>
        <v>965668587.59000003</v>
      </c>
      <c r="F53" s="23">
        <f>192525111.68</f>
        <v>192525111.68000001</v>
      </c>
      <c r="G53" s="23">
        <f>1148594147.2</f>
        <v>1148594147.2</v>
      </c>
      <c r="H53" s="23">
        <f>47823582.56</f>
        <v>47823582.560000002</v>
      </c>
      <c r="I53" s="23">
        <f>4766027.93</f>
        <v>4766027.93</v>
      </c>
      <c r="J53" s="23">
        <f>52645940.13</f>
        <v>52645940.130000003</v>
      </c>
      <c r="K53" s="23">
        <f>208357406.21</f>
        <v>208357406.21000001</v>
      </c>
      <c r="L53" s="23">
        <f>23410564979.2</f>
        <v>23410564979.200001</v>
      </c>
      <c r="M53" s="23">
        <f>14392067045.12</f>
        <v>14392067045.120001</v>
      </c>
      <c r="N53" s="23">
        <f>608721845.77</f>
        <v>608721845.76999998</v>
      </c>
      <c r="O53" s="23">
        <f>34094539.96</f>
        <v>34094539.960000001</v>
      </c>
      <c r="P53" s="23">
        <f>28749541.3</f>
        <v>28749541.300000001</v>
      </c>
      <c r="Q53" s="23">
        <f>5344998.66</f>
        <v>5344998.66</v>
      </c>
    </row>
    <row r="54" spans="1:17" ht="28.5" customHeight="1" x14ac:dyDescent="0.2">
      <c r="A54" s="18" t="s">
        <v>38</v>
      </c>
      <c r="B54" s="24">
        <f>2566064205.93</f>
        <v>2566064205.9299998</v>
      </c>
      <c r="C54" s="24">
        <f>2562306061.13</f>
        <v>2562306061.1300001</v>
      </c>
      <c r="D54" s="24">
        <f>216103533.78</f>
        <v>216103533.78</v>
      </c>
      <c r="E54" s="24">
        <f>27313679.09</f>
        <v>27313679.09</v>
      </c>
      <c r="F54" s="24">
        <f>8131009.67</f>
        <v>8131009.6699999999</v>
      </c>
      <c r="G54" s="24">
        <f>161298122.26</f>
        <v>161298122.25999999</v>
      </c>
      <c r="H54" s="24">
        <f>19360722.76</f>
        <v>19360722.760000002</v>
      </c>
      <c r="I54" s="24">
        <f>2952</f>
        <v>2952</v>
      </c>
      <c r="J54" s="24">
        <f>1495131.35</f>
        <v>1495131.35</v>
      </c>
      <c r="K54" s="24">
        <f>2301660.82</f>
        <v>2301660.8199999998</v>
      </c>
      <c r="L54" s="24">
        <f>1042486770.08</f>
        <v>1042486770.08</v>
      </c>
      <c r="M54" s="24">
        <f>1258740067.28</f>
        <v>1258740067.28</v>
      </c>
      <c r="N54" s="24">
        <f>41175945.82</f>
        <v>41175945.82</v>
      </c>
      <c r="O54" s="24">
        <f>3758144.8</f>
        <v>3758144.8</v>
      </c>
      <c r="P54" s="24">
        <f>2860954.41</f>
        <v>2860954.41</v>
      </c>
      <c r="Q54" s="24">
        <f>897190.39</f>
        <v>897190.39</v>
      </c>
    </row>
    <row r="55" spans="1:17" ht="47.25" customHeight="1" x14ac:dyDescent="0.2">
      <c r="A55" s="18" t="s">
        <v>78</v>
      </c>
      <c r="B55" s="24">
        <f>23752009888.34</f>
        <v>23752009888.34</v>
      </c>
      <c r="C55" s="24">
        <f>23728722529.8</f>
        <v>23728722529.799999</v>
      </c>
      <c r="D55" s="24">
        <f>739309150.23</f>
        <v>739309150.23000002</v>
      </c>
      <c r="E55" s="24">
        <f>269722085.76</f>
        <v>269722085.75999999</v>
      </c>
      <c r="F55" s="24">
        <f>133356570.27</f>
        <v>133356570.27</v>
      </c>
      <c r="G55" s="24">
        <f>326167237.43</f>
        <v>326167237.43000001</v>
      </c>
      <c r="H55" s="24">
        <f>10063256.77</f>
        <v>10063256.77</v>
      </c>
      <c r="I55" s="24">
        <f>4569460.41</f>
        <v>4569460.41</v>
      </c>
      <c r="J55" s="24">
        <f>42897676.65</f>
        <v>42897676.649999999</v>
      </c>
      <c r="K55" s="24">
        <f>88879032.06</f>
        <v>88879032.060000002</v>
      </c>
      <c r="L55" s="24">
        <f>15787982961.94</f>
        <v>15787982961.940001</v>
      </c>
      <c r="M55" s="24">
        <f>6942224505.71</f>
        <v>6942224505.71</v>
      </c>
      <c r="N55" s="24">
        <f>122859742.8</f>
        <v>122859742.8</v>
      </c>
      <c r="O55" s="24">
        <f>23287358.54</f>
        <v>23287358.539999999</v>
      </c>
      <c r="P55" s="24">
        <f>20097361.33</f>
        <v>20097361.329999998</v>
      </c>
      <c r="Q55" s="24">
        <f>3189997.21</f>
        <v>3189997.21</v>
      </c>
    </row>
    <row r="56" spans="1:17" ht="35.25" customHeight="1" x14ac:dyDescent="0.2">
      <c r="A56" s="18" t="s">
        <v>39</v>
      </c>
      <c r="B56" s="24">
        <f>14747755119.08</f>
        <v>14747755119.08</v>
      </c>
      <c r="C56" s="24">
        <f>14740706082.46</f>
        <v>14740706082.459999</v>
      </c>
      <c r="D56" s="24">
        <f>1399198745.02</f>
        <v>1399198745.02</v>
      </c>
      <c r="E56" s="24">
        <f>668632822.74</f>
        <v>668632822.74000001</v>
      </c>
      <c r="F56" s="24">
        <f>51037531.74</f>
        <v>51037531.740000002</v>
      </c>
      <c r="G56" s="24">
        <f>661128787.51</f>
        <v>661128787.50999999</v>
      </c>
      <c r="H56" s="24">
        <f>18399603.03</f>
        <v>18399603.030000001</v>
      </c>
      <c r="I56" s="24">
        <f>193615.52</f>
        <v>193615.52</v>
      </c>
      <c r="J56" s="24">
        <f>8253132.13</f>
        <v>8253132.1299999999</v>
      </c>
      <c r="K56" s="24">
        <f>117176713.33</f>
        <v>117176713.33</v>
      </c>
      <c r="L56" s="24">
        <f>6580095247.18</f>
        <v>6580095247.1800003</v>
      </c>
      <c r="M56" s="24">
        <f>6191102472.13</f>
        <v>6191102472.1300001</v>
      </c>
      <c r="N56" s="24">
        <f>444686157.15</f>
        <v>444686157.14999998</v>
      </c>
      <c r="O56" s="24">
        <f>7049036.62</f>
        <v>7049036.6200000001</v>
      </c>
      <c r="P56" s="24">
        <f>5791225.56</f>
        <v>5791225.5599999996</v>
      </c>
      <c r="Q56" s="24">
        <f>1257811.06</f>
        <v>1257811.06</v>
      </c>
    </row>
    <row r="67" spans="1:13" ht="75" customHeight="1" x14ac:dyDescent="0.2">
      <c r="A67" s="33" t="str">
        <f>CONCATENATE("Informacja z wykonania budżetów jednostek samorządu terytorialnego za ",$C$94," ",$B$95," roku")</f>
        <v>Informacja z wykonania budżetów jednostek samorządu terytorialnego za I Kwartał 2025 roku</v>
      </c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</row>
    <row r="68" spans="1:13" ht="13.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3.5" customHeight="1" x14ac:dyDescent="0.2">
      <c r="B69" s="43" t="s">
        <v>2</v>
      </c>
      <c r="C69" s="43"/>
      <c r="D69" s="43"/>
      <c r="E69" s="43"/>
      <c r="F69" s="43"/>
      <c r="G69" s="43"/>
      <c r="H69" s="43"/>
      <c r="I69" s="43"/>
      <c r="J69" s="43"/>
      <c r="K69" s="43"/>
      <c r="L69" s="43"/>
      <c r="M69" s="43"/>
    </row>
    <row r="71" spans="1:13" ht="13.5" customHeight="1" x14ac:dyDescent="0.2">
      <c r="B71" s="46" t="s">
        <v>0</v>
      </c>
      <c r="C71" s="47"/>
      <c r="D71" s="47"/>
      <c r="E71" s="48"/>
      <c r="F71" s="65" t="s">
        <v>68</v>
      </c>
      <c r="G71" s="29" t="s">
        <v>74</v>
      </c>
      <c r="H71" s="30"/>
      <c r="I71" s="30"/>
      <c r="J71" s="30"/>
      <c r="K71" s="30"/>
      <c r="L71" s="31"/>
    </row>
    <row r="72" spans="1:13" ht="13.5" customHeight="1" x14ac:dyDescent="0.2">
      <c r="B72" s="49"/>
      <c r="C72" s="50"/>
      <c r="D72" s="50"/>
      <c r="E72" s="51"/>
      <c r="F72" s="66"/>
      <c r="G72" s="32" t="s">
        <v>69</v>
      </c>
      <c r="H72" s="32" t="s">
        <v>66</v>
      </c>
      <c r="I72" s="32" t="s">
        <v>67</v>
      </c>
      <c r="J72" s="32" t="s">
        <v>70</v>
      </c>
      <c r="K72" s="32" t="s">
        <v>71</v>
      </c>
      <c r="L72" s="37" t="s">
        <v>72</v>
      </c>
    </row>
    <row r="73" spans="1:13" ht="13.5" customHeight="1" x14ac:dyDescent="0.2">
      <c r="B73" s="49"/>
      <c r="C73" s="50"/>
      <c r="D73" s="50"/>
      <c r="E73" s="51"/>
      <c r="F73" s="66"/>
      <c r="G73" s="32"/>
      <c r="H73" s="32"/>
      <c r="I73" s="32"/>
      <c r="J73" s="32"/>
      <c r="K73" s="32"/>
      <c r="L73" s="37"/>
    </row>
    <row r="74" spans="1:13" ht="11.25" customHeight="1" x14ac:dyDescent="0.2">
      <c r="B74" s="49"/>
      <c r="C74" s="50"/>
      <c r="D74" s="50"/>
      <c r="E74" s="51"/>
      <c r="F74" s="66"/>
      <c r="G74" s="32"/>
      <c r="H74" s="32"/>
      <c r="I74" s="32"/>
      <c r="J74" s="32"/>
      <c r="K74" s="32"/>
      <c r="L74" s="37"/>
    </row>
    <row r="75" spans="1:13" ht="20.25" customHeight="1" x14ac:dyDescent="0.2">
      <c r="B75" s="52"/>
      <c r="C75" s="53"/>
      <c r="D75" s="53"/>
      <c r="E75" s="54"/>
      <c r="F75" s="67"/>
      <c r="G75" s="32"/>
      <c r="H75" s="32"/>
      <c r="I75" s="32"/>
      <c r="J75" s="32"/>
      <c r="K75" s="32"/>
      <c r="L75" s="37"/>
    </row>
    <row r="76" spans="1:13" ht="13.5" customHeight="1" x14ac:dyDescent="0.2">
      <c r="B76" s="32">
        <v>1</v>
      </c>
      <c r="C76" s="32"/>
      <c r="D76" s="32"/>
      <c r="E76" s="32"/>
      <c r="F76" s="15">
        <v>2</v>
      </c>
      <c r="G76" s="15">
        <v>3</v>
      </c>
      <c r="H76" s="15">
        <v>4</v>
      </c>
      <c r="I76" s="15">
        <v>5</v>
      </c>
      <c r="J76" s="15">
        <v>6</v>
      </c>
      <c r="K76" s="15">
        <v>7</v>
      </c>
      <c r="L76" s="15">
        <v>8</v>
      </c>
    </row>
    <row r="77" spans="1:13" ht="33.75" customHeight="1" x14ac:dyDescent="0.2">
      <c r="B77" s="55" t="s">
        <v>53</v>
      </c>
      <c r="C77" s="56"/>
      <c r="D77" s="56"/>
      <c r="E77" s="57"/>
      <c r="F77" s="22">
        <f>4234668059.76</f>
        <v>4234668059.7600002</v>
      </c>
      <c r="G77" s="22">
        <f>1131595661.63</f>
        <v>1131595661.6300001</v>
      </c>
      <c r="H77" s="22">
        <f>70567945.02</f>
        <v>70567945.019999996</v>
      </c>
      <c r="I77" s="22">
        <f>218195528.57</f>
        <v>218195528.56999999</v>
      </c>
      <c r="J77" s="22">
        <f>812928071.44</f>
        <v>812928071.44000006</v>
      </c>
      <c r="K77" s="22">
        <f>29904116.6</f>
        <v>29904116.600000001</v>
      </c>
      <c r="L77" s="22">
        <f>3103072398.13</f>
        <v>3103072398.1300001</v>
      </c>
    </row>
    <row r="78" spans="1:13" ht="33.75" customHeight="1" x14ac:dyDescent="0.2">
      <c r="B78" s="38" t="s">
        <v>54</v>
      </c>
      <c r="C78" s="39"/>
      <c r="D78" s="39"/>
      <c r="E78" s="40"/>
      <c r="F78" s="25">
        <f>29151074.22</f>
        <v>29151074.219999999</v>
      </c>
      <c r="G78" s="25">
        <f>17239495</f>
        <v>17239495</v>
      </c>
      <c r="H78" s="25">
        <f>489495</f>
        <v>489495</v>
      </c>
      <c r="I78" s="25">
        <f>0</f>
        <v>0</v>
      </c>
      <c r="J78" s="25">
        <f>16750000</f>
        <v>16750000</v>
      </c>
      <c r="K78" s="25">
        <f>0</f>
        <v>0</v>
      </c>
      <c r="L78" s="25">
        <f>11911579.22</f>
        <v>11911579.220000001</v>
      </c>
    </row>
    <row r="79" spans="1:13" ht="33.75" customHeight="1" x14ac:dyDescent="0.2">
      <c r="B79" s="38" t="s">
        <v>55</v>
      </c>
      <c r="C79" s="39"/>
      <c r="D79" s="39"/>
      <c r="E79" s="40"/>
      <c r="F79" s="25">
        <f>73803909.23</f>
        <v>73803909.230000004</v>
      </c>
      <c r="G79" s="25">
        <f>10803551.01</f>
        <v>10803551.01</v>
      </c>
      <c r="H79" s="25">
        <f>20960</f>
        <v>20960</v>
      </c>
      <c r="I79" s="25">
        <f>0</f>
        <v>0</v>
      </c>
      <c r="J79" s="25">
        <f>10673004.97</f>
        <v>10673004.970000001</v>
      </c>
      <c r="K79" s="25">
        <f>109586.04</f>
        <v>109586.04</v>
      </c>
      <c r="L79" s="25">
        <f>63000358.22</f>
        <v>63000358.219999999</v>
      </c>
    </row>
    <row r="80" spans="1:13" ht="22.5" customHeight="1" x14ac:dyDescent="0.2">
      <c r="B80" s="38" t="s">
        <v>56</v>
      </c>
      <c r="C80" s="39"/>
      <c r="D80" s="39"/>
      <c r="E80" s="40"/>
      <c r="F80" s="25">
        <f>129476137</f>
        <v>129476137</v>
      </c>
      <c r="G80" s="25">
        <f>84346957.81</f>
        <v>84346957.810000002</v>
      </c>
      <c r="H80" s="25">
        <f>0</f>
        <v>0</v>
      </c>
      <c r="I80" s="25">
        <f>0</f>
        <v>0</v>
      </c>
      <c r="J80" s="25">
        <f>84346957.81</f>
        <v>84346957.810000002</v>
      </c>
      <c r="K80" s="25">
        <f>0</f>
        <v>0</v>
      </c>
      <c r="L80" s="25">
        <f>45129179.19</f>
        <v>45129179.189999998</v>
      </c>
    </row>
    <row r="81" spans="1:13" ht="33.75" customHeight="1" x14ac:dyDescent="0.2">
      <c r="B81" s="38" t="s">
        <v>57</v>
      </c>
      <c r="C81" s="39"/>
      <c r="D81" s="39"/>
      <c r="E81" s="40"/>
      <c r="F81" s="25">
        <f>22130155.7</f>
        <v>22130155.699999999</v>
      </c>
      <c r="G81" s="25">
        <f>21434863.04</f>
        <v>21434863.039999999</v>
      </c>
      <c r="H81" s="25">
        <f>0</f>
        <v>0</v>
      </c>
      <c r="I81" s="25">
        <f>0</f>
        <v>0</v>
      </c>
      <c r="J81" s="25">
        <f>21434863.04</f>
        <v>21434863.039999999</v>
      </c>
      <c r="K81" s="25">
        <f>0</f>
        <v>0</v>
      </c>
      <c r="L81" s="25">
        <f>695292.66</f>
        <v>695292.66</v>
      </c>
    </row>
    <row r="82" spans="1:13" ht="33.75" customHeight="1" x14ac:dyDescent="0.2">
      <c r="B82" s="38" t="s">
        <v>58</v>
      </c>
      <c r="C82" s="39"/>
      <c r="D82" s="39"/>
      <c r="E82" s="40"/>
      <c r="F82" s="25">
        <f>9285472.77</f>
        <v>9285472.7699999996</v>
      </c>
      <c r="G82" s="25">
        <f>6260707.97</f>
        <v>6260707.9699999997</v>
      </c>
      <c r="H82" s="25">
        <f>0</f>
        <v>0</v>
      </c>
      <c r="I82" s="25">
        <f>0</f>
        <v>0</v>
      </c>
      <c r="J82" s="25">
        <f>6260707.97</f>
        <v>6260707.9699999997</v>
      </c>
      <c r="K82" s="25">
        <f>0</f>
        <v>0</v>
      </c>
      <c r="L82" s="25">
        <f>3024764.8</f>
        <v>3024764.8</v>
      </c>
    </row>
    <row r="83" spans="1:13" ht="33" customHeight="1" x14ac:dyDescent="0.2">
      <c r="B83" s="55" t="s">
        <v>59</v>
      </c>
      <c r="C83" s="56"/>
      <c r="D83" s="56"/>
      <c r="E83" s="57"/>
      <c r="F83" s="22">
        <f>30228.56</f>
        <v>30228.560000000001</v>
      </c>
      <c r="G83" s="22">
        <f>228.56</f>
        <v>228.56</v>
      </c>
      <c r="H83" s="22">
        <f>0</f>
        <v>0</v>
      </c>
      <c r="I83" s="22">
        <f>0</f>
        <v>0</v>
      </c>
      <c r="J83" s="22">
        <f>228.56</f>
        <v>228.56</v>
      </c>
      <c r="K83" s="22">
        <f>0</f>
        <v>0</v>
      </c>
      <c r="L83" s="22">
        <f>30000</f>
        <v>30000</v>
      </c>
    </row>
    <row r="86" spans="1:13" ht="75" customHeight="1" x14ac:dyDescent="0.2">
      <c r="A86" s="33" t="str">
        <f>CONCATENATE("Informacja z wykonania budżetów jednostek samorządu terytorialnego za ",$C$94," ",$B$95," roku")</f>
        <v>Informacja z wykonania budżetów jednostek samorządu terytorialnego za I Kwartał 2025 roku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</row>
    <row r="87" spans="1:13" ht="13.5" customHeight="1" x14ac:dyDescent="0.2">
      <c r="B87" s="3"/>
    </row>
    <row r="88" spans="1:13" ht="13.5" customHeight="1" x14ac:dyDescent="0.2">
      <c r="B88" s="4"/>
      <c r="C88" s="44"/>
      <c r="D88" s="60"/>
      <c r="E88" s="60"/>
      <c r="F88" s="45"/>
      <c r="G88" s="44" t="s">
        <v>3</v>
      </c>
      <c r="H88" s="45"/>
      <c r="I88" s="44" t="s">
        <v>4</v>
      </c>
      <c r="J88" s="45"/>
      <c r="K88" s="4"/>
    </row>
    <row r="89" spans="1:13" ht="13.5" customHeight="1" x14ac:dyDescent="0.2">
      <c r="B89" s="5"/>
      <c r="C89" s="55" t="s">
        <v>5</v>
      </c>
      <c r="D89" s="56"/>
      <c r="E89" s="56"/>
      <c r="F89" s="57"/>
      <c r="G89" s="58">
        <f>2773</f>
        <v>2773</v>
      </c>
      <c r="H89" s="59"/>
      <c r="I89" s="41">
        <f>41442627466.48</f>
        <v>41442627466.480003</v>
      </c>
      <c r="J89" s="42"/>
      <c r="K89" s="6"/>
    </row>
    <row r="90" spans="1:13" ht="13.5" customHeight="1" x14ac:dyDescent="0.2">
      <c r="B90" s="5"/>
      <c r="C90" s="38" t="s">
        <v>6</v>
      </c>
      <c r="D90" s="39"/>
      <c r="E90" s="39"/>
      <c r="F90" s="40"/>
      <c r="G90" s="61">
        <f>36</f>
        <v>36</v>
      </c>
      <c r="H90" s="62"/>
      <c r="I90" s="63">
        <f>-128389187.9</f>
        <v>-128389187.90000001</v>
      </c>
      <c r="J90" s="64"/>
      <c r="K90" s="6"/>
    </row>
    <row r="91" spans="1:13" ht="13.5" customHeight="1" x14ac:dyDescent="0.2">
      <c r="B91" s="5"/>
      <c r="C91" s="55" t="s">
        <v>7</v>
      </c>
      <c r="D91" s="56"/>
      <c r="E91" s="56"/>
      <c r="F91" s="57"/>
      <c r="G91" s="58">
        <f>0</f>
        <v>0</v>
      </c>
      <c r="H91" s="59"/>
      <c r="I91" s="41">
        <f>0</f>
        <v>0</v>
      </c>
      <c r="J91" s="42"/>
      <c r="K91" s="6"/>
    </row>
    <row r="94" spans="1:13" ht="13.5" customHeight="1" x14ac:dyDescent="0.2">
      <c r="A94" s="7" t="s">
        <v>8</v>
      </c>
      <c r="B94" s="7">
        <f>1</f>
        <v>1</v>
      </c>
      <c r="C94" s="7" t="str">
        <f>IF(B94=1,"I Kwartał",IF(B94=2,"II Kwartały",IF(B94=3,"III Kwartały",IF(B94=4,"IV Kwartały","-"))))</f>
        <v>I Kwartał</v>
      </c>
    </row>
    <row r="95" spans="1:13" ht="13.5" customHeight="1" x14ac:dyDescent="0.2">
      <c r="A95" s="7" t="s">
        <v>9</v>
      </c>
      <c r="B95" s="7">
        <f>2025</f>
        <v>2025</v>
      </c>
      <c r="C95" s="8"/>
    </row>
    <row r="96" spans="1:13" ht="13.5" customHeight="1" x14ac:dyDescent="0.2">
      <c r="A96" s="7" t="s">
        <v>10</v>
      </c>
      <c r="B96" s="9" t="str">
        <f>"May 17 2025 12:00AM"</f>
        <v>May 17 2025 12:00AM</v>
      </c>
      <c r="C96" s="8"/>
    </row>
  </sheetData>
  <mergeCells count="75">
    <mergeCell ref="K72:K75"/>
    <mergeCell ref="G35:G38"/>
    <mergeCell ref="Q7:Q11"/>
    <mergeCell ref="C34:N34"/>
    <mergeCell ref="L7:L11"/>
    <mergeCell ref="M7:M11"/>
    <mergeCell ref="N7:N11"/>
    <mergeCell ref="P7:P11"/>
    <mergeCell ref="G7:G11"/>
    <mergeCell ref="F7:F11"/>
    <mergeCell ref="I7:I11"/>
    <mergeCell ref="J7:J11"/>
    <mergeCell ref="H35:H38"/>
    <mergeCell ref="K35:K38"/>
    <mergeCell ref="I35:I38"/>
    <mergeCell ref="J35:J38"/>
    <mergeCell ref="E35:E38"/>
    <mergeCell ref="H72:H75"/>
    <mergeCell ref="I72:I75"/>
    <mergeCell ref="J72:J75"/>
    <mergeCell ref="A1:M1"/>
    <mergeCell ref="C5:M5"/>
    <mergeCell ref="A3:M3"/>
    <mergeCell ref="K7:K11"/>
    <mergeCell ref="C7:C11"/>
    <mergeCell ref="B6:B11"/>
    <mergeCell ref="A6:A11"/>
    <mergeCell ref="C6:N6"/>
    <mergeCell ref="D7:D11"/>
    <mergeCell ref="E7:E11"/>
    <mergeCell ref="L72:L75"/>
    <mergeCell ref="F35:F38"/>
    <mergeCell ref="A30:M30"/>
    <mergeCell ref="G91:H91"/>
    <mergeCell ref="I91:J91"/>
    <mergeCell ref="C88:F88"/>
    <mergeCell ref="C89:F89"/>
    <mergeCell ref="C90:F90"/>
    <mergeCell ref="C91:F91"/>
    <mergeCell ref="G89:H89"/>
    <mergeCell ref="G88:H88"/>
    <mergeCell ref="G90:H90"/>
    <mergeCell ref="I90:J90"/>
    <mergeCell ref="B82:E82"/>
    <mergeCell ref="I89:J89"/>
    <mergeCell ref="B69:M69"/>
    <mergeCell ref="I88:J88"/>
    <mergeCell ref="B76:E76"/>
    <mergeCell ref="B71:E75"/>
    <mergeCell ref="B83:E83"/>
    <mergeCell ref="A86:M86"/>
    <mergeCell ref="B79:E79"/>
    <mergeCell ref="B80:E80"/>
    <mergeCell ref="B81:E81"/>
    <mergeCell ref="B78:E78"/>
    <mergeCell ref="B77:E77"/>
    <mergeCell ref="F71:F75"/>
    <mergeCell ref="G72:G75"/>
    <mergeCell ref="G71:L71"/>
    <mergeCell ref="O6:Q6"/>
    <mergeCell ref="O7:O11"/>
    <mergeCell ref="A67:M67"/>
    <mergeCell ref="L35:L38"/>
    <mergeCell ref="P35:P38"/>
    <mergeCell ref="Q35:Q38"/>
    <mergeCell ref="N35:N38"/>
    <mergeCell ref="O35:O38"/>
    <mergeCell ref="D35:D38"/>
    <mergeCell ref="H7:H11"/>
    <mergeCell ref="M35:M38"/>
    <mergeCell ref="O34:Q34"/>
    <mergeCell ref="A32:M32"/>
    <mergeCell ref="B34:B38"/>
    <mergeCell ref="A34:A38"/>
    <mergeCell ref="C35:C38"/>
  </mergeCells>
  <phoneticPr fontId="4" type="noConversion"/>
  <pageMargins left="0" right="0" top="0.19685039370078741" bottom="0.19685039370078741" header="0" footer="0"/>
  <pageSetup paperSize="9" scale="67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2016-08-26T11:29:32Z</cp:lastPrinted>
  <dcterms:created xsi:type="dcterms:W3CDTF">2001-05-17T08:58:03Z</dcterms:created>
  <dcterms:modified xsi:type="dcterms:W3CDTF">2025-05-21T12:04:39Z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2025-05-21T14:04:32.6572144+02:00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GRN-1f10593f-ff41-4e63-9ca1-1d5b059518c6</vt:lpwstr>
  </property>
  <property fmtid="{D5CDD505-2E9C-101B-9397-08002B2CF9AE}" pid="7" name="MFHash">
    <vt:lpwstr>l6ewq8nl7/w5mu9wSTi7Ifhq5bYcJMtpjJ7JaXPELtM=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